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Engineering\Design Data\"/>
    </mc:Choice>
  </mc:AlternateContent>
  <bookViews>
    <workbookView xWindow="-30" yWindow="540" windowWidth="17670" windowHeight="10605" tabRatio="882" activeTab="2" xr2:uid="{00000000-000D-0000-FFFF-FFFF00000000}"/>
  </bookViews>
  <sheets>
    <sheet name="RECTIFIERS" sheetId="5" r:id="rId1"/>
    <sheet name="1PH Battery Chargers" sheetId="8" r:id="rId2"/>
    <sheet name="3PH Battery Chargers" sheetId="6" r:id="rId3"/>
    <sheet name="HS250-DATA" sheetId="4" r:id="rId4"/>
    <sheet name="HS250-TEST" sheetId="20" r:id="rId5"/>
    <sheet name="FUSE DATA" sheetId="1" r:id="rId6"/>
    <sheet name="Circuit Breakers" sheetId="16" r:id="rId7"/>
    <sheet name="Air Conditionning" sheetId="10" r:id="rId8"/>
    <sheet name="Cooling Data" sheetId="9" r:id="rId9"/>
    <sheet name="AC Line Reactor+Harmonic Filter" sheetId="11" r:id="rId10"/>
    <sheet name="Wire-Cables Ampacities" sheetId="15" r:id="rId11"/>
    <sheet name="Wire-Cable Ampacity Calculation" sheetId="17" r:id="rId12"/>
    <sheet name="Heat Sinks" sheetId="19" r:id="rId13"/>
    <sheet name="Idc Max for SCR-Diod Assemblies" sheetId="12" r:id="rId14"/>
    <sheet name="SCR-Diode DATA" sheetId="2" r:id="rId15"/>
    <sheet name="SCR Mechanical" sheetId="13" r:id="rId16"/>
    <sheet name="SCR Assemblies" sheetId="21" r:id="rId17"/>
    <sheet name="SCR ASSEMBLIES-PRODUCTION" sheetId="25" r:id="rId18"/>
    <sheet name="TX Short Circuit" sheetId="23" r:id="rId19"/>
    <sheet name="Capacitor Discharge " sheetId="24" r:id="rId20"/>
    <sheet name="Capacitor Service Life" sheetId="26" r:id="rId21"/>
  </sheets>
  <definedNames>
    <definedName name="cbridge" localSheetId="14">'SCR-Diode DATA'!#REF!</definedName>
    <definedName name="con" localSheetId="14">'SCR-Diode DATA'!#REF!</definedName>
    <definedName name="CORRECTION" localSheetId="10">'Wire-Cables Ampacities'!$B$56</definedName>
    <definedName name="COURANT" localSheetId="10">'Wire-Cables Ampacities'!$G$40</definedName>
    <definedName name="MASSES" localSheetId="10">'Wire-Cables Ampacities'!#REF!</definedName>
    <definedName name="skbt28" localSheetId="14">'SCR-Diode DATA'!#REF!</definedName>
    <definedName name="skdt60" localSheetId="14">'SCR-Diode DATA'!#REF!</definedName>
  </definedNames>
  <calcPr calcId="171027"/>
</workbook>
</file>

<file path=xl/calcChain.xml><?xml version="1.0" encoding="utf-8"?>
<calcChain xmlns="http://schemas.openxmlformats.org/spreadsheetml/2006/main">
  <c r="H15" i="23" l="1"/>
  <c r="Q57" i="26"/>
  <c r="C30" i="26"/>
  <c r="C31" i="26"/>
  <c r="C32" i="26" s="1"/>
  <c r="C33" i="26" s="1"/>
  <c r="C34" i="26" s="1"/>
  <c r="M54" i="26"/>
  <c r="M55" i="26"/>
  <c r="Q55" i="26" s="1"/>
  <c r="M56" i="26"/>
  <c r="M57" i="26" s="1"/>
  <c r="M58" i="26" s="1"/>
  <c r="C54" i="26"/>
  <c r="C55" i="26" s="1"/>
  <c r="C56" i="26" s="1"/>
  <c r="C57" i="26" s="1"/>
  <c r="C58" i="26" s="1"/>
  <c r="G46" i="26"/>
  <c r="V362" i="12"/>
  <c r="V361" i="12"/>
  <c r="V360" i="12"/>
  <c r="V359" i="12"/>
  <c r="V357" i="12"/>
  <c r="V356" i="12"/>
  <c r="V378" i="12"/>
  <c r="V310" i="12"/>
  <c r="V309" i="12"/>
  <c r="V379" i="12"/>
  <c r="V377" i="12"/>
  <c r="V376" i="12"/>
  <c r="V375" i="12"/>
  <c r="B443" i="12"/>
  <c r="D443" i="12"/>
  <c r="H443" i="12"/>
  <c r="AD443" i="12" s="1"/>
  <c r="Z443" i="12"/>
  <c r="AE443" i="12"/>
  <c r="AJ443" i="12"/>
  <c r="AK443" i="12"/>
  <c r="AL443" i="12"/>
  <c r="AS443" i="12"/>
  <c r="AU443" i="12" s="1"/>
  <c r="B438" i="12"/>
  <c r="D438" i="12" s="1"/>
  <c r="AF438" i="12" s="1"/>
  <c r="AG438" i="12" s="1"/>
  <c r="H438" i="12"/>
  <c r="Z438" i="12"/>
  <c r="AE438" i="12"/>
  <c r="AJ438" i="12"/>
  <c r="AK438" i="12"/>
  <c r="AL438" i="12"/>
  <c r="AS438" i="12"/>
  <c r="AU438" i="12" s="1"/>
  <c r="AS435" i="12"/>
  <c r="AU435" i="12" s="1"/>
  <c r="AL435" i="12"/>
  <c r="AK435" i="12"/>
  <c r="AJ435" i="12"/>
  <c r="AH435" i="12" s="1"/>
  <c r="AE435" i="12"/>
  <c r="Z435" i="12"/>
  <c r="H435" i="12"/>
  <c r="B435" i="12"/>
  <c r="D435" i="12" s="1"/>
  <c r="AS434" i="12"/>
  <c r="AU434" i="12"/>
  <c r="AL434" i="12"/>
  <c r="AK434" i="12"/>
  <c r="AJ434" i="12"/>
  <c r="AE434" i="12"/>
  <c r="Z434" i="12"/>
  <c r="H434" i="12"/>
  <c r="AD434" i="12"/>
  <c r="B434" i="12"/>
  <c r="D434" i="12" s="1"/>
  <c r="AS442" i="12"/>
  <c r="AU442" i="12" s="1"/>
  <c r="AL442" i="12"/>
  <c r="AK442" i="12"/>
  <c r="AJ442" i="12"/>
  <c r="AE442" i="12"/>
  <c r="Z442" i="12"/>
  <c r="AF442" i="12" s="1"/>
  <c r="H442" i="12"/>
  <c r="B442" i="12"/>
  <c r="D442" i="12" s="1"/>
  <c r="AS441" i="12"/>
  <c r="AU441" i="12" s="1"/>
  <c r="AL441" i="12"/>
  <c r="AK441" i="12"/>
  <c r="AJ441" i="12"/>
  <c r="AE441" i="12"/>
  <c r="Z441" i="12"/>
  <c r="AF441" i="12" s="1"/>
  <c r="AG441" i="12" s="1"/>
  <c r="G441" i="12" s="1"/>
  <c r="H441" i="12"/>
  <c r="AD441" i="12" s="1"/>
  <c r="B441" i="12"/>
  <c r="D441" i="12"/>
  <c r="AS440" i="12"/>
  <c r="AU440" i="12" s="1"/>
  <c r="AL440" i="12"/>
  <c r="AK440" i="12"/>
  <c r="AJ440" i="12"/>
  <c r="AH440" i="12" s="1"/>
  <c r="AE440" i="12"/>
  <c r="Z440" i="12"/>
  <c r="H440" i="12"/>
  <c r="B440" i="12"/>
  <c r="D440" i="12" s="1"/>
  <c r="AS439" i="12"/>
  <c r="AU439" i="12" s="1"/>
  <c r="AL439" i="12"/>
  <c r="AK439" i="12"/>
  <c r="AJ439" i="12"/>
  <c r="AE439" i="12"/>
  <c r="Z439" i="12"/>
  <c r="AF439" i="12"/>
  <c r="H439" i="12"/>
  <c r="AD439" i="12" s="1"/>
  <c r="B439" i="12"/>
  <c r="D439" i="12" s="1"/>
  <c r="AS437" i="12"/>
  <c r="AU437" i="12"/>
  <c r="AL437" i="12"/>
  <c r="AK437" i="12"/>
  <c r="AJ437" i="12"/>
  <c r="AE437" i="12"/>
  <c r="Z437" i="12"/>
  <c r="H437" i="12"/>
  <c r="B437" i="12"/>
  <c r="D437" i="12"/>
  <c r="AS436" i="12"/>
  <c r="AU436" i="12"/>
  <c r="AL436" i="12"/>
  <c r="AK436" i="12"/>
  <c r="AJ436" i="12"/>
  <c r="AH436" i="12" s="1"/>
  <c r="AE436" i="12"/>
  <c r="Z436" i="12"/>
  <c r="AF436" i="12"/>
  <c r="H436" i="12"/>
  <c r="AD436" i="12"/>
  <c r="D436" i="12"/>
  <c r="B436" i="12"/>
  <c r="AL416" i="12"/>
  <c r="AK416" i="12"/>
  <c r="AJ416" i="12"/>
  <c r="AE416" i="12"/>
  <c r="Z416" i="12"/>
  <c r="H416" i="12"/>
  <c r="AD416" i="12" s="1"/>
  <c r="B416" i="12"/>
  <c r="D416" i="12"/>
  <c r="AL415" i="12"/>
  <c r="AK415" i="12"/>
  <c r="AJ415" i="12"/>
  <c r="AE415" i="12"/>
  <c r="Z415" i="12"/>
  <c r="H415" i="12"/>
  <c r="AD415" i="12" s="1"/>
  <c r="B415" i="12"/>
  <c r="D415" i="12"/>
  <c r="AL414" i="12"/>
  <c r="AK414" i="12"/>
  <c r="AJ414" i="12"/>
  <c r="AH414" i="12"/>
  <c r="AE414" i="12"/>
  <c r="Z414" i="12"/>
  <c r="H414" i="12"/>
  <c r="AD414" i="12"/>
  <c r="B414" i="12"/>
  <c r="D414" i="12"/>
  <c r="AL413" i="12"/>
  <c r="AK413" i="12"/>
  <c r="AJ413" i="12"/>
  <c r="AE413" i="12"/>
  <c r="Z413" i="12"/>
  <c r="H413" i="12"/>
  <c r="AD413" i="12" s="1"/>
  <c r="B413" i="12"/>
  <c r="D413" i="12" s="1"/>
  <c r="AL412" i="12"/>
  <c r="AH412" i="12" s="1"/>
  <c r="AK412" i="12"/>
  <c r="AJ412" i="12"/>
  <c r="AE412" i="12"/>
  <c r="Z412" i="12"/>
  <c r="H412" i="12"/>
  <c r="AD412" i="12"/>
  <c r="B412" i="12"/>
  <c r="D412" i="12" s="1"/>
  <c r="AL422" i="12"/>
  <c r="AK422" i="12"/>
  <c r="AJ422" i="12"/>
  <c r="AE422" i="12"/>
  <c r="Z422" i="12"/>
  <c r="H422" i="12"/>
  <c r="AD422" i="12"/>
  <c r="B422" i="12"/>
  <c r="D422" i="12"/>
  <c r="AL421" i="12"/>
  <c r="AK421" i="12"/>
  <c r="AJ421" i="12"/>
  <c r="AE421" i="12"/>
  <c r="Z421" i="12"/>
  <c r="H421" i="12"/>
  <c r="AD421" i="12" s="1"/>
  <c r="B421" i="12"/>
  <c r="D421" i="12" s="1"/>
  <c r="AL420" i="12"/>
  <c r="AK420" i="12"/>
  <c r="AJ420" i="12"/>
  <c r="AE420" i="12"/>
  <c r="Z420" i="12"/>
  <c r="H420" i="12"/>
  <c r="AD420" i="12"/>
  <c r="B420" i="12"/>
  <c r="D420" i="12"/>
  <c r="AL419" i="12"/>
  <c r="AK419" i="12"/>
  <c r="AJ419" i="12"/>
  <c r="AH419" i="12" s="1"/>
  <c r="AE419" i="12"/>
  <c r="Z419" i="12"/>
  <c r="H419" i="12"/>
  <c r="AD419" i="12" s="1"/>
  <c r="B419" i="12"/>
  <c r="D419" i="12" s="1"/>
  <c r="AL418" i="12"/>
  <c r="AK418" i="12"/>
  <c r="AJ418" i="12"/>
  <c r="AE418" i="12"/>
  <c r="Z418" i="12"/>
  <c r="H418" i="12"/>
  <c r="AD418" i="12"/>
  <c r="B418" i="12"/>
  <c r="D418" i="12"/>
  <c r="AL428" i="12"/>
  <c r="AK428" i="12"/>
  <c r="AJ428" i="12"/>
  <c r="AE428" i="12"/>
  <c r="Z428" i="12"/>
  <c r="H428" i="12"/>
  <c r="AD428" i="12" s="1"/>
  <c r="B428" i="12"/>
  <c r="D428" i="12" s="1"/>
  <c r="AL427" i="12"/>
  <c r="AK427" i="12"/>
  <c r="AJ427" i="12"/>
  <c r="AE427" i="12"/>
  <c r="Z427" i="12"/>
  <c r="H427" i="12"/>
  <c r="AD427" i="12"/>
  <c r="B427" i="12"/>
  <c r="D427" i="12"/>
  <c r="AL426" i="12"/>
  <c r="AK426" i="12"/>
  <c r="AJ426" i="12"/>
  <c r="AE426" i="12"/>
  <c r="Z426" i="12"/>
  <c r="H426" i="12"/>
  <c r="AD426" i="12" s="1"/>
  <c r="B426" i="12"/>
  <c r="D426" i="12" s="1"/>
  <c r="AL425" i="12"/>
  <c r="AK425" i="12"/>
  <c r="AJ425" i="12"/>
  <c r="AE425" i="12"/>
  <c r="Z425" i="12"/>
  <c r="H425" i="12"/>
  <c r="AD425" i="12" s="1"/>
  <c r="B425" i="12"/>
  <c r="D425" i="12"/>
  <c r="AL424" i="12"/>
  <c r="AK424" i="12"/>
  <c r="AJ424" i="12"/>
  <c r="AE424" i="12"/>
  <c r="Z424" i="12"/>
  <c r="H424" i="12"/>
  <c r="AD424" i="12" s="1"/>
  <c r="B424" i="12"/>
  <c r="D424" i="12" s="1"/>
  <c r="AL408" i="12"/>
  <c r="AK408" i="12"/>
  <c r="AJ408" i="12"/>
  <c r="AE408" i="12"/>
  <c r="Z408" i="12"/>
  <c r="H408" i="12"/>
  <c r="AD408" i="12"/>
  <c r="B408" i="12"/>
  <c r="D408" i="12"/>
  <c r="AL407" i="12"/>
  <c r="AK407" i="12"/>
  <c r="AJ407" i="12"/>
  <c r="AE407" i="12"/>
  <c r="Z407" i="12"/>
  <c r="H407" i="12"/>
  <c r="AD407" i="12" s="1"/>
  <c r="B407" i="12"/>
  <c r="D407" i="12" s="1"/>
  <c r="AL406" i="12"/>
  <c r="AK406" i="12"/>
  <c r="AJ406" i="12"/>
  <c r="AE406" i="12"/>
  <c r="Z406" i="12"/>
  <c r="H406" i="12"/>
  <c r="AD406" i="12"/>
  <c r="B406" i="12"/>
  <c r="D406" i="12"/>
  <c r="AL405" i="12"/>
  <c r="AK405" i="12"/>
  <c r="AJ405" i="12"/>
  <c r="AE405" i="12"/>
  <c r="AG405" i="12" s="1"/>
  <c r="Z405" i="12"/>
  <c r="H405" i="12"/>
  <c r="AD405" i="12" s="1"/>
  <c r="B405" i="12"/>
  <c r="D405" i="12" s="1"/>
  <c r="AL404" i="12"/>
  <c r="AK404" i="12"/>
  <c r="AJ404" i="12"/>
  <c r="AE404" i="12"/>
  <c r="Z404" i="12"/>
  <c r="H404" i="12"/>
  <c r="AD404" i="12"/>
  <c r="B404" i="12"/>
  <c r="D404" i="12"/>
  <c r="Z379" i="12"/>
  <c r="V299" i="12"/>
  <c r="AL379" i="12"/>
  <c r="AK379" i="12"/>
  <c r="AJ379" i="12"/>
  <c r="AH379" i="12" s="1"/>
  <c r="AE379" i="12"/>
  <c r="H379" i="12"/>
  <c r="AD379" i="12"/>
  <c r="B379" i="12"/>
  <c r="D379" i="12"/>
  <c r="AL378" i="12"/>
  <c r="AK378" i="12"/>
  <c r="AJ378" i="12"/>
  <c r="AE378" i="12"/>
  <c r="Z378" i="12"/>
  <c r="H378" i="12"/>
  <c r="AD378" i="12" s="1"/>
  <c r="B378" i="12"/>
  <c r="D378" i="12" s="1"/>
  <c r="AL377" i="12"/>
  <c r="AK377" i="12"/>
  <c r="AJ377" i="12"/>
  <c r="AH377" i="12" s="1"/>
  <c r="AE377" i="12"/>
  <c r="Z377" i="12"/>
  <c r="H377" i="12"/>
  <c r="AD377" i="12"/>
  <c r="B377" i="12"/>
  <c r="D377" i="12"/>
  <c r="AL376" i="12"/>
  <c r="AK376" i="12"/>
  <c r="AJ376" i="12"/>
  <c r="AE376" i="12"/>
  <c r="Z376" i="12"/>
  <c r="H376" i="12"/>
  <c r="AD376" i="12" s="1"/>
  <c r="B376" i="12"/>
  <c r="D376" i="12" s="1"/>
  <c r="AL375" i="12"/>
  <c r="AK375" i="12"/>
  <c r="AJ375" i="12"/>
  <c r="AE375" i="12"/>
  <c r="Z375" i="12"/>
  <c r="H375" i="12"/>
  <c r="AD375" i="12"/>
  <c r="B375" i="12"/>
  <c r="D375" i="12" s="1"/>
  <c r="AL374" i="12"/>
  <c r="AK374" i="12"/>
  <c r="AJ374" i="12"/>
  <c r="AE374" i="12"/>
  <c r="Z374" i="12"/>
  <c r="V374" i="12"/>
  <c r="H374" i="12"/>
  <c r="AD374" i="12" s="1"/>
  <c r="B374" i="12"/>
  <c r="D374" i="12"/>
  <c r="AL373" i="12"/>
  <c r="AK373" i="12"/>
  <c r="AJ373" i="12"/>
  <c r="AE373" i="12"/>
  <c r="Z373" i="12"/>
  <c r="V373" i="12"/>
  <c r="H373" i="12"/>
  <c r="AD373" i="12"/>
  <c r="B373" i="12"/>
  <c r="D373" i="12"/>
  <c r="AL372" i="12"/>
  <c r="AK372" i="12"/>
  <c r="AJ372" i="12"/>
  <c r="AE372" i="12"/>
  <c r="Z372" i="12"/>
  <c r="V372" i="12"/>
  <c r="H372" i="12"/>
  <c r="AD372" i="12"/>
  <c r="B372" i="12"/>
  <c r="D372" i="12"/>
  <c r="AL371" i="12"/>
  <c r="AK371" i="12"/>
  <c r="AJ371" i="12"/>
  <c r="AE371" i="12"/>
  <c r="Z371" i="12"/>
  <c r="V371" i="12"/>
  <c r="H371" i="12"/>
  <c r="AD371" i="12"/>
  <c r="B371" i="12"/>
  <c r="D371" i="12" s="1"/>
  <c r="AL370" i="12"/>
  <c r="AK370" i="12"/>
  <c r="AJ370" i="12"/>
  <c r="AE370" i="12"/>
  <c r="Z370" i="12"/>
  <c r="V370" i="12"/>
  <c r="H370" i="12"/>
  <c r="AD370" i="12" s="1"/>
  <c r="B370" i="12"/>
  <c r="D370" i="12"/>
  <c r="V365" i="12"/>
  <c r="V366" i="12"/>
  <c r="V367" i="12"/>
  <c r="V368" i="12"/>
  <c r="AL368" i="12"/>
  <c r="AH368" i="12" s="1"/>
  <c r="AK368" i="12"/>
  <c r="AJ368" i="12"/>
  <c r="AE368" i="12"/>
  <c r="Z368" i="12"/>
  <c r="H368" i="12"/>
  <c r="AD368" i="12" s="1"/>
  <c r="D368" i="12"/>
  <c r="B368" i="12"/>
  <c r="AL367" i="12"/>
  <c r="AK367" i="12"/>
  <c r="AJ367" i="12"/>
  <c r="AH367" i="12" s="1"/>
  <c r="AE367" i="12"/>
  <c r="Z367" i="12"/>
  <c r="H367" i="12"/>
  <c r="AD367" i="12"/>
  <c r="B367" i="12"/>
  <c r="D367" i="12" s="1"/>
  <c r="AL366" i="12"/>
  <c r="AK366" i="12"/>
  <c r="AJ366" i="12"/>
  <c r="AE366" i="12"/>
  <c r="Z366" i="12"/>
  <c r="H366" i="12"/>
  <c r="AD366" i="12"/>
  <c r="B366" i="12"/>
  <c r="D366" i="12" s="1"/>
  <c r="AL365" i="12"/>
  <c r="AK365" i="12"/>
  <c r="AJ365" i="12"/>
  <c r="AE365" i="12"/>
  <c r="Z365" i="12"/>
  <c r="H365" i="12"/>
  <c r="AD365" i="12" s="1"/>
  <c r="B365" i="12"/>
  <c r="D365" i="12" s="1"/>
  <c r="Z6" i="21"/>
  <c r="AT113" i="21"/>
  <c r="AO113" i="21"/>
  <c r="AT110" i="21"/>
  <c r="V74" i="21"/>
  <c r="AT104" i="21"/>
  <c r="AT107" i="21"/>
  <c r="AS107" i="21"/>
  <c r="V87" i="21"/>
  <c r="AS104" i="21"/>
  <c r="AT100" i="21"/>
  <c r="AS100" i="21"/>
  <c r="AT97" i="21"/>
  <c r="AO130" i="21"/>
  <c r="AN130" i="21"/>
  <c r="AO127" i="21"/>
  <c r="AN127" i="21"/>
  <c r="AO124" i="21"/>
  <c r="AN124" i="21"/>
  <c r="AO121" i="21"/>
  <c r="AN121" i="21"/>
  <c r="AO110" i="21"/>
  <c r="AO107" i="21"/>
  <c r="AO104" i="21"/>
  <c r="AO100" i="21"/>
  <c r="AO97" i="21"/>
  <c r="AO94" i="21"/>
  <c r="AN113" i="21"/>
  <c r="AN110" i="21"/>
  <c r="AN107" i="21"/>
  <c r="AN104" i="21"/>
  <c r="AN100" i="21"/>
  <c r="AN97" i="21"/>
  <c r="AN94" i="21"/>
  <c r="I76" i="20"/>
  <c r="H76" i="20"/>
  <c r="B76" i="20"/>
  <c r="I74" i="20"/>
  <c r="H74" i="20"/>
  <c r="S74" i="20" s="1"/>
  <c r="B74" i="20"/>
  <c r="V93" i="21"/>
  <c r="V90" i="21"/>
  <c r="V103" i="21"/>
  <c r="V112" i="21"/>
  <c r="V109" i="21"/>
  <c r="V106" i="21"/>
  <c r="AL362" i="12"/>
  <c r="AK362" i="12"/>
  <c r="AJ362" i="12"/>
  <c r="AE362" i="12"/>
  <c r="Z362" i="12"/>
  <c r="H362" i="12"/>
  <c r="AD362" i="12" s="1"/>
  <c r="B362" i="12"/>
  <c r="D362" i="12" s="1"/>
  <c r="AL361" i="12"/>
  <c r="AK361" i="12"/>
  <c r="AJ361" i="12"/>
  <c r="AE361" i="12"/>
  <c r="Z361" i="12"/>
  <c r="H361" i="12"/>
  <c r="AD361" i="12"/>
  <c r="B361" i="12"/>
  <c r="D361" i="12"/>
  <c r="AL360" i="12"/>
  <c r="AK360" i="12"/>
  <c r="AJ360" i="12"/>
  <c r="AE360" i="12"/>
  <c r="Z360" i="12"/>
  <c r="H360" i="12"/>
  <c r="AD360" i="12" s="1"/>
  <c r="B360" i="12"/>
  <c r="D360" i="12" s="1"/>
  <c r="AL359" i="12"/>
  <c r="AK359" i="12"/>
  <c r="AJ359" i="12"/>
  <c r="AE359" i="12"/>
  <c r="Z359" i="12"/>
  <c r="H359" i="12"/>
  <c r="AD359" i="12"/>
  <c r="B359" i="12"/>
  <c r="D359" i="12"/>
  <c r="AL90" i="21"/>
  <c r="AK90" i="21"/>
  <c r="AJ90" i="21"/>
  <c r="AE90" i="21"/>
  <c r="Z90" i="21"/>
  <c r="H90" i="21"/>
  <c r="AD90" i="21" s="1"/>
  <c r="B90" i="21"/>
  <c r="D90" i="21" s="1"/>
  <c r="AL357" i="12"/>
  <c r="AK357" i="12"/>
  <c r="AJ357" i="12"/>
  <c r="AE357" i="12"/>
  <c r="Z357" i="12"/>
  <c r="H357" i="12"/>
  <c r="AD357" i="12"/>
  <c r="B357" i="12"/>
  <c r="D357" i="12"/>
  <c r="AL356" i="12"/>
  <c r="AK356" i="12"/>
  <c r="AJ356" i="12"/>
  <c r="AE356" i="12"/>
  <c r="Z356" i="12"/>
  <c r="H356" i="12"/>
  <c r="B356" i="12"/>
  <c r="D356" i="12"/>
  <c r="V129" i="21"/>
  <c r="V126" i="21"/>
  <c r="AS129" i="21"/>
  <c r="AU129" i="21"/>
  <c r="AL129" i="21"/>
  <c r="AK129" i="21"/>
  <c r="AJ129" i="21"/>
  <c r="AE129" i="21"/>
  <c r="Z129" i="21"/>
  <c r="H129" i="21"/>
  <c r="B129" i="21"/>
  <c r="D129" i="21"/>
  <c r="V33" i="21"/>
  <c r="AS31" i="21"/>
  <c r="AU31" i="21" s="1"/>
  <c r="AL31" i="21"/>
  <c r="AK31" i="21"/>
  <c r="AJ31" i="21"/>
  <c r="AE31" i="21"/>
  <c r="Z31" i="21"/>
  <c r="V31" i="21"/>
  <c r="H31" i="21"/>
  <c r="B31" i="21"/>
  <c r="D31" i="21"/>
  <c r="AS126" i="21"/>
  <c r="AU126" i="21" s="1"/>
  <c r="AL126" i="21"/>
  <c r="AK126" i="21"/>
  <c r="AJ126" i="21"/>
  <c r="AE126" i="21"/>
  <c r="Z126" i="21"/>
  <c r="H126" i="21"/>
  <c r="B126" i="21"/>
  <c r="D126" i="21" s="1"/>
  <c r="AF126" i="21"/>
  <c r="AS123" i="21"/>
  <c r="AU123" i="21" s="1"/>
  <c r="AL123" i="21"/>
  <c r="AK123" i="21"/>
  <c r="AJ123" i="21"/>
  <c r="AE123" i="21"/>
  <c r="Z123" i="21"/>
  <c r="V123" i="21"/>
  <c r="H123" i="21"/>
  <c r="B123" i="21"/>
  <c r="D123" i="21"/>
  <c r="AS120" i="21"/>
  <c r="AU120" i="21" s="1"/>
  <c r="AL120" i="21"/>
  <c r="AK120" i="21"/>
  <c r="AJ120" i="21"/>
  <c r="AE120" i="21"/>
  <c r="Z120" i="21"/>
  <c r="V120" i="21"/>
  <c r="H120" i="21"/>
  <c r="AD120" i="21"/>
  <c r="B120" i="21"/>
  <c r="D120" i="21"/>
  <c r="AS112" i="21"/>
  <c r="AL112" i="21"/>
  <c r="AK112" i="21"/>
  <c r="AJ112" i="21"/>
  <c r="AE112" i="21"/>
  <c r="Z112" i="21"/>
  <c r="H112" i="21"/>
  <c r="AD112" i="21"/>
  <c r="B112" i="21"/>
  <c r="D112" i="21"/>
  <c r="AS109" i="21"/>
  <c r="AL109" i="21"/>
  <c r="AK109" i="21"/>
  <c r="AJ109" i="21"/>
  <c r="AH109" i="21" s="1"/>
  <c r="AE109" i="21"/>
  <c r="Z109" i="21"/>
  <c r="H109" i="21"/>
  <c r="AD109" i="21"/>
  <c r="B109" i="21"/>
  <c r="D109" i="21"/>
  <c r="AS106" i="21"/>
  <c r="AL106" i="21"/>
  <c r="AK106" i="21"/>
  <c r="AJ106" i="21"/>
  <c r="AE106" i="21"/>
  <c r="Z106" i="21"/>
  <c r="AF106" i="21" s="1"/>
  <c r="AG106" i="21" s="1"/>
  <c r="G106" i="21" s="1"/>
  <c r="H106" i="21"/>
  <c r="AD106" i="21"/>
  <c r="B106" i="21"/>
  <c r="D106" i="21"/>
  <c r="AS99" i="21"/>
  <c r="AU99" i="21"/>
  <c r="AL99" i="21"/>
  <c r="AK99" i="21"/>
  <c r="AJ99" i="21"/>
  <c r="AE99" i="21"/>
  <c r="Z99" i="21"/>
  <c r="V99" i="21"/>
  <c r="AF99" i="21" s="1"/>
  <c r="H99" i="21"/>
  <c r="AD99" i="21"/>
  <c r="B99" i="21"/>
  <c r="D99" i="21"/>
  <c r="AS103" i="21"/>
  <c r="AL103" i="21"/>
  <c r="AK103" i="21"/>
  <c r="AJ103" i="21"/>
  <c r="AH103" i="21" s="1"/>
  <c r="AE103" i="21"/>
  <c r="Z103" i="21"/>
  <c r="H103" i="21"/>
  <c r="AD103" i="21"/>
  <c r="B103" i="21"/>
  <c r="D103" i="21"/>
  <c r="V22" i="21"/>
  <c r="AS97" i="21"/>
  <c r="AU97" i="21" s="1"/>
  <c r="AQ97" i="21"/>
  <c r="AS96" i="21"/>
  <c r="AU96" i="21" s="1"/>
  <c r="AL96" i="21"/>
  <c r="AK96" i="21"/>
  <c r="AJ96" i="21"/>
  <c r="AH96" i="21" s="1"/>
  <c r="AE96" i="21"/>
  <c r="Z96" i="21"/>
  <c r="V96" i="21"/>
  <c r="H96" i="21"/>
  <c r="B96" i="21"/>
  <c r="D96" i="21"/>
  <c r="AT94" i="21"/>
  <c r="AS94" i="21"/>
  <c r="AU94" i="21" s="1"/>
  <c r="AQ94" i="21"/>
  <c r="AS93" i="21"/>
  <c r="AU93" i="21" s="1"/>
  <c r="AL93" i="21"/>
  <c r="AK93" i="21"/>
  <c r="AJ93" i="21"/>
  <c r="AE93" i="21"/>
  <c r="Z93" i="21"/>
  <c r="H93" i="21"/>
  <c r="AD93" i="21"/>
  <c r="B93" i="21"/>
  <c r="D93" i="21"/>
  <c r="V35" i="21"/>
  <c r="V38" i="21"/>
  <c r="V41" i="21"/>
  <c r="Z49" i="21"/>
  <c r="AL88" i="21"/>
  <c r="AK88" i="21"/>
  <c r="AJ88" i="21"/>
  <c r="AE88" i="21"/>
  <c r="Z88" i="21"/>
  <c r="V88" i="21"/>
  <c r="H88" i="21"/>
  <c r="AD88" i="21"/>
  <c r="B88" i="21"/>
  <c r="D88" i="21"/>
  <c r="AL87" i="21"/>
  <c r="AK87" i="21"/>
  <c r="AJ87" i="21"/>
  <c r="AE87" i="21"/>
  <c r="Z87" i="21"/>
  <c r="H87" i="21"/>
  <c r="AD87" i="21" s="1"/>
  <c r="B87" i="21"/>
  <c r="D87" i="21" s="1"/>
  <c r="AL86" i="21"/>
  <c r="AK86" i="21"/>
  <c r="AJ86" i="21"/>
  <c r="AE86" i="21"/>
  <c r="Z86" i="21"/>
  <c r="V86" i="21"/>
  <c r="H86" i="21"/>
  <c r="AD86" i="21" s="1"/>
  <c r="B86" i="21"/>
  <c r="D86" i="21" s="1"/>
  <c r="AL85" i="21"/>
  <c r="AK85" i="21"/>
  <c r="AJ85" i="21"/>
  <c r="AE85" i="21"/>
  <c r="Z85" i="21"/>
  <c r="V85" i="21"/>
  <c r="H85" i="21"/>
  <c r="AD85" i="21" s="1"/>
  <c r="B85" i="21"/>
  <c r="D85" i="21" s="1"/>
  <c r="AL84" i="21"/>
  <c r="AK84" i="21"/>
  <c r="AJ84" i="21"/>
  <c r="AE84" i="21"/>
  <c r="Z84" i="21"/>
  <c r="V84" i="21"/>
  <c r="H84" i="21"/>
  <c r="AD84" i="21" s="1"/>
  <c r="B84" i="21"/>
  <c r="D84" i="21"/>
  <c r="V49" i="21"/>
  <c r="V28" i="21"/>
  <c r="AS13" i="21"/>
  <c r="AQ13" i="21"/>
  <c r="AT7" i="21"/>
  <c r="AS7" i="21"/>
  <c r="AU7" i="21" s="1"/>
  <c r="AQ7" i="21"/>
  <c r="AL77" i="21"/>
  <c r="AK77" i="21"/>
  <c r="AJ77" i="21"/>
  <c r="AE77" i="21"/>
  <c r="Z77" i="21"/>
  <c r="V77" i="21"/>
  <c r="H77" i="21"/>
  <c r="AD77" i="21"/>
  <c r="B77" i="21"/>
  <c r="D77" i="21" s="1"/>
  <c r="AL76" i="21"/>
  <c r="AK76" i="21"/>
  <c r="AJ76" i="21"/>
  <c r="AE76" i="21"/>
  <c r="Z76" i="21"/>
  <c r="V76" i="21"/>
  <c r="H76" i="21"/>
  <c r="AD76" i="21" s="1"/>
  <c r="B76" i="21"/>
  <c r="D76" i="21"/>
  <c r="AL75" i="21"/>
  <c r="AK75" i="21"/>
  <c r="AJ75" i="21"/>
  <c r="AE75" i="21"/>
  <c r="Z75" i="21"/>
  <c r="V75" i="21"/>
  <c r="H75" i="21"/>
  <c r="AD75" i="21"/>
  <c r="B75" i="21"/>
  <c r="D75" i="21"/>
  <c r="AL74" i="21"/>
  <c r="AK74" i="21"/>
  <c r="AJ74" i="21"/>
  <c r="AE74" i="21"/>
  <c r="Z74" i="21"/>
  <c r="H74" i="21"/>
  <c r="AD74" i="21" s="1"/>
  <c r="B74" i="21"/>
  <c r="D74" i="21" s="1"/>
  <c r="AL73" i="21"/>
  <c r="AK73" i="21"/>
  <c r="AJ73" i="21"/>
  <c r="AE73" i="21"/>
  <c r="Z73" i="21"/>
  <c r="V73" i="21"/>
  <c r="H73" i="21"/>
  <c r="AD73" i="21" s="1"/>
  <c r="B73" i="21"/>
  <c r="D73" i="21"/>
  <c r="AL72" i="21"/>
  <c r="AK72" i="21"/>
  <c r="AJ72" i="21"/>
  <c r="AE72" i="21"/>
  <c r="Z72" i="21"/>
  <c r="V72" i="21"/>
  <c r="H72" i="21"/>
  <c r="AD72" i="21"/>
  <c r="B72" i="21"/>
  <c r="D72" i="21" s="1"/>
  <c r="AL71" i="21"/>
  <c r="AK71" i="21"/>
  <c r="AJ71" i="21"/>
  <c r="AE71" i="21"/>
  <c r="Z71" i="21"/>
  <c r="V71" i="21"/>
  <c r="H71" i="21"/>
  <c r="AD71" i="21" s="1"/>
  <c r="B71" i="21"/>
  <c r="D71" i="21" s="1"/>
  <c r="AL70" i="21"/>
  <c r="AK70" i="21"/>
  <c r="AJ70" i="21"/>
  <c r="AE70" i="21"/>
  <c r="Z70" i="21"/>
  <c r="V70" i="21"/>
  <c r="H70" i="21"/>
  <c r="AD70" i="21" s="1"/>
  <c r="B70" i="21"/>
  <c r="D70" i="21" s="1"/>
  <c r="AL69" i="21"/>
  <c r="AK69" i="21"/>
  <c r="AJ69" i="21"/>
  <c r="AE69" i="21"/>
  <c r="Z69" i="21"/>
  <c r="V69" i="21"/>
  <c r="H69" i="21"/>
  <c r="AD69" i="21" s="1"/>
  <c r="B69" i="21"/>
  <c r="D69" i="21"/>
  <c r="AL68" i="21"/>
  <c r="AK68" i="21"/>
  <c r="AJ68" i="21"/>
  <c r="AE68" i="21"/>
  <c r="Z68" i="21"/>
  <c r="V68" i="21"/>
  <c r="H68" i="21"/>
  <c r="AD68" i="21"/>
  <c r="B68" i="21"/>
  <c r="D68" i="21" s="1"/>
  <c r="AL67" i="21"/>
  <c r="AK67" i="21"/>
  <c r="AJ67" i="21"/>
  <c r="AE67" i="21"/>
  <c r="Z67" i="21"/>
  <c r="V67" i="21"/>
  <c r="H67" i="21"/>
  <c r="AD67" i="21" s="1"/>
  <c r="B67" i="21"/>
  <c r="D67" i="21" s="1"/>
  <c r="AL66" i="21"/>
  <c r="AH66" i="21" s="1"/>
  <c r="AK66" i="21"/>
  <c r="AJ66" i="21"/>
  <c r="AE66" i="21"/>
  <c r="Z66" i="21"/>
  <c r="V66" i="21"/>
  <c r="H66" i="21"/>
  <c r="AD66" i="21" s="1"/>
  <c r="B66" i="21"/>
  <c r="D66" i="21" s="1"/>
  <c r="AL65" i="21"/>
  <c r="AK65" i="21"/>
  <c r="AJ65" i="21"/>
  <c r="AE65" i="21"/>
  <c r="Z65" i="21"/>
  <c r="V65" i="21"/>
  <c r="H65" i="21"/>
  <c r="AD65" i="21" s="1"/>
  <c r="B65" i="21"/>
  <c r="D65" i="21" s="1"/>
  <c r="AL64" i="21"/>
  <c r="AK64" i="21"/>
  <c r="AJ64" i="21"/>
  <c r="AE64" i="21"/>
  <c r="Z64" i="21"/>
  <c r="V64" i="21"/>
  <c r="H64" i="21"/>
  <c r="AD64" i="21" s="1"/>
  <c r="B64" i="21"/>
  <c r="D64" i="21" s="1"/>
  <c r="AL63" i="21"/>
  <c r="AK63" i="21"/>
  <c r="AJ63" i="21"/>
  <c r="AH63" i="21" s="1"/>
  <c r="AE63" i="21"/>
  <c r="Z63" i="21"/>
  <c r="V63" i="21"/>
  <c r="H63" i="21"/>
  <c r="AD63" i="21" s="1"/>
  <c r="B63" i="21"/>
  <c r="D63" i="21" s="1"/>
  <c r="AL62" i="21"/>
  <c r="AK62" i="21"/>
  <c r="AJ62" i="21"/>
  <c r="AE62" i="21"/>
  <c r="Z62" i="21"/>
  <c r="V62" i="21"/>
  <c r="H62" i="21"/>
  <c r="AD62" i="21" s="1"/>
  <c r="B62" i="21"/>
  <c r="D62" i="21" s="1"/>
  <c r="AL61" i="21"/>
  <c r="AK61" i="21"/>
  <c r="AJ61" i="21"/>
  <c r="AE61" i="21"/>
  <c r="Z61" i="21"/>
  <c r="V61" i="21"/>
  <c r="H61" i="21"/>
  <c r="AD61" i="21" s="1"/>
  <c r="B61" i="21"/>
  <c r="D61" i="21" s="1"/>
  <c r="AL60" i="21"/>
  <c r="AK60" i="21"/>
  <c r="AJ60" i="21"/>
  <c r="AE60" i="21"/>
  <c r="Z60" i="21"/>
  <c r="V60" i="21"/>
  <c r="H60" i="21"/>
  <c r="AD60" i="21" s="1"/>
  <c r="B60" i="21"/>
  <c r="D60" i="21" s="1"/>
  <c r="AL59" i="21"/>
  <c r="AK59" i="21"/>
  <c r="AJ59" i="21"/>
  <c r="AE59" i="21"/>
  <c r="Z59" i="21"/>
  <c r="V59" i="21"/>
  <c r="H59" i="21"/>
  <c r="AD59" i="21" s="1"/>
  <c r="B59" i="21"/>
  <c r="D59" i="21" s="1"/>
  <c r="AL58" i="21"/>
  <c r="AK58" i="21"/>
  <c r="AJ58" i="21"/>
  <c r="AE58" i="21"/>
  <c r="Z58" i="21"/>
  <c r="V58" i="21"/>
  <c r="H58" i="21"/>
  <c r="AD58" i="21" s="1"/>
  <c r="B58" i="21"/>
  <c r="D58" i="21" s="1"/>
  <c r="AL57" i="21"/>
  <c r="AK57" i="21"/>
  <c r="AJ57" i="21"/>
  <c r="AE57" i="21"/>
  <c r="Z57" i="21"/>
  <c r="V57" i="21"/>
  <c r="H57" i="21"/>
  <c r="AD57" i="21" s="1"/>
  <c r="B57" i="21"/>
  <c r="D57" i="21"/>
  <c r="AL56" i="21"/>
  <c r="AK56" i="21"/>
  <c r="AJ56" i="21"/>
  <c r="AE56" i="21"/>
  <c r="Z56" i="21"/>
  <c r="V56" i="21"/>
  <c r="H56" i="21"/>
  <c r="AD56" i="21"/>
  <c r="B56" i="21"/>
  <c r="D56" i="21" s="1"/>
  <c r="AL52" i="21"/>
  <c r="AK52" i="21"/>
  <c r="AJ52" i="21"/>
  <c r="AE52" i="21"/>
  <c r="Z52" i="21"/>
  <c r="V52" i="21"/>
  <c r="H52" i="21"/>
  <c r="AD52" i="21" s="1"/>
  <c r="B52" i="21"/>
  <c r="D52" i="21" s="1"/>
  <c r="AL51" i="21"/>
  <c r="AH51" i="21" s="1"/>
  <c r="AK51" i="21"/>
  <c r="AJ51" i="21"/>
  <c r="AE51" i="21"/>
  <c r="Z51" i="21"/>
  <c r="V51" i="21"/>
  <c r="H51" i="21"/>
  <c r="AD51" i="21" s="1"/>
  <c r="B51" i="21"/>
  <c r="D51" i="21" s="1"/>
  <c r="AL50" i="21"/>
  <c r="AK50" i="21"/>
  <c r="AJ50" i="21"/>
  <c r="AE50" i="21"/>
  <c r="Z50" i="21"/>
  <c r="V50" i="21"/>
  <c r="H50" i="21"/>
  <c r="AD50" i="21" s="1"/>
  <c r="B50" i="21"/>
  <c r="D50" i="21"/>
  <c r="AL49" i="21"/>
  <c r="AK49" i="21"/>
  <c r="AJ49" i="21"/>
  <c r="AE49" i="21"/>
  <c r="H49" i="21"/>
  <c r="AD49" i="21" s="1"/>
  <c r="B49" i="21"/>
  <c r="D49" i="21" s="1"/>
  <c r="AL48" i="21"/>
  <c r="AH48" i="21" s="1"/>
  <c r="AK48" i="21"/>
  <c r="AJ48" i="21"/>
  <c r="AE48" i="21"/>
  <c r="Z48" i="21"/>
  <c r="V48" i="21"/>
  <c r="H48" i="21"/>
  <c r="AD48" i="21" s="1"/>
  <c r="B48" i="21"/>
  <c r="D48" i="21" s="1"/>
  <c r="AL47" i="21"/>
  <c r="AK47" i="21"/>
  <c r="AJ47" i="21"/>
  <c r="AE47" i="21"/>
  <c r="Z47" i="21"/>
  <c r="V47" i="21"/>
  <c r="H47" i="21"/>
  <c r="AD47" i="21" s="1"/>
  <c r="B47" i="21"/>
  <c r="D47" i="21" s="1"/>
  <c r="AS41" i="21"/>
  <c r="AU41" i="21" s="1"/>
  <c r="AL41" i="21"/>
  <c r="AK41" i="21"/>
  <c r="AJ41" i="21"/>
  <c r="AE41" i="21"/>
  <c r="Z41" i="21"/>
  <c r="H41" i="21"/>
  <c r="AD41" i="21" s="1"/>
  <c r="B41" i="21"/>
  <c r="D41" i="21" s="1"/>
  <c r="AS38" i="21"/>
  <c r="AU38" i="21" s="1"/>
  <c r="AL38" i="21"/>
  <c r="AK38" i="21"/>
  <c r="AJ38" i="21"/>
  <c r="AE38" i="21"/>
  <c r="Z38" i="21"/>
  <c r="H38" i="21"/>
  <c r="AD38" i="21" s="1"/>
  <c r="B38" i="21"/>
  <c r="D38" i="21" s="1"/>
  <c r="AS35" i="21"/>
  <c r="AU35" i="21" s="1"/>
  <c r="AL35" i="21"/>
  <c r="AK35" i="21"/>
  <c r="AJ35" i="21"/>
  <c r="AE35" i="21"/>
  <c r="Z35" i="21"/>
  <c r="H35" i="21"/>
  <c r="AD35" i="21" s="1"/>
  <c r="B35" i="21"/>
  <c r="D35" i="21" s="1"/>
  <c r="AF35" i="21" s="1"/>
  <c r="AS33" i="21"/>
  <c r="AU33" i="21" s="1"/>
  <c r="AL33" i="21"/>
  <c r="AK33" i="21"/>
  <c r="AJ33" i="21"/>
  <c r="AE33" i="21"/>
  <c r="Z33" i="21"/>
  <c r="AF33" i="21" s="1"/>
  <c r="H33" i="21"/>
  <c r="B33" i="21"/>
  <c r="D33" i="21" s="1"/>
  <c r="AS28" i="21"/>
  <c r="AU28" i="21" s="1"/>
  <c r="AL28" i="21"/>
  <c r="AK28" i="21"/>
  <c r="AJ28" i="21"/>
  <c r="AE28" i="21"/>
  <c r="Z28" i="21"/>
  <c r="AF28" i="21" s="1"/>
  <c r="AG28" i="21" s="1"/>
  <c r="G28" i="21" s="1"/>
  <c r="H28" i="21"/>
  <c r="AD28" i="21"/>
  <c r="B28" i="21"/>
  <c r="D28" i="21"/>
  <c r="AS25" i="21"/>
  <c r="AU25" i="21"/>
  <c r="AL25" i="21"/>
  <c r="AK25" i="21"/>
  <c r="AJ25" i="21"/>
  <c r="AE25" i="21"/>
  <c r="Z25" i="21"/>
  <c r="V25" i="21"/>
  <c r="H25" i="21"/>
  <c r="AD25" i="21"/>
  <c r="B25" i="21"/>
  <c r="D25" i="21"/>
  <c r="AS22" i="21"/>
  <c r="AU22" i="21" s="1"/>
  <c r="AL22" i="21"/>
  <c r="AH22" i="21" s="1"/>
  <c r="AI23" i="21" s="1"/>
  <c r="AK22" i="21"/>
  <c r="AJ22" i="21"/>
  <c r="AE22" i="21"/>
  <c r="Z22" i="21"/>
  <c r="H22" i="21"/>
  <c r="AD22" i="21"/>
  <c r="B22" i="21"/>
  <c r="D22" i="21"/>
  <c r="AS19" i="21"/>
  <c r="AU19" i="21" s="1"/>
  <c r="AL19" i="21"/>
  <c r="AK19" i="21"/>
  <c r="AJ19" i="21"/>
  <c r="AE19" i="21"/>
  <c r="Z19" i="21"/>
  <c r="V19" i="21"/>
  <c r="H19" i="21"/>
  <c r="AD19" i="21" s="1"/>
  <c r="B19" i="21"/>
  <c r="D19" i="21" s="1"/>
  <c r="AS16" i="21"/>
  <c r="AU16" i="21" s="1"/>
  <c r="AL16" i="21"/>
  <c r="AK16" i="21"/>
  <c r="AJ16" i="21"/>
  <c r="AE16" i="21"/>
  <c r="Z16" i="21"/>
  <c r="V16" i="21"/>
  <c r="H16" i="21"/>
  <c r="AD16" i="21" s="1"/>
  <c r="B16" i="21"/>
  <c r="D16" i="21" s="1"/>
  <c r="AS14" i="21"/>
  <c r="AU14" i="21" s="1"/>
  <c r="AL14" i="21"/>
  <c r="AH14" i="21" s="1"/>
  <c r="AK14" i="21"/>
  <c r="AJ14" i="21"/>
  <c r="AE14" i="21"/>
  <c r="Z14" i="21"/>
  <c r="V14" i="21"/>
  <c r="H14" i="21"/>
  <c r="AD14" i="21"/>
  <c r="B14" i="21"/>
  <c r="D14" i="21" s="1"/>
  <c r="AS12" i="21"/>
  <c r="AU12" i="21" s="1"/>
  <c r="AL12" i="21"/>
  <c r="AK12" i="21"/>
  <c r="AJ12" i="21"/>
  <c r="AE12" i="21"/>
  <c r="Z12" i="21"/>
  <c r="V12" i="21"/>
  <c r="H12" i="21"/>
  <c r="AD12" i="21" s="1"/>
  <c r="B12" i="21"/>
  <c r="D12" i="21" s="1"/>
  <c r="AS9" i="21"/>
  <c r="AU9" i="21" s="1"/>
  <c r="AL9" i="21"/>
  <c r="AK9" i="21"/>
  <c r="AJ9" i="21"/>
  <c r="AE9" i="21"/>
  <c r="Z9" i="21"/>
  <c r="V9" i="21"/>
  <c r="H9" i="21"/>
  <c r="AD9" i="21" s="1"/>
  <c r="B9" i="21"/>
  <c r="D9" i="21" s="1"/>
  <c r="AS6" i="21"/>
  <c r="AU6" i="21" s="1"/>
  <c r="AL6" i="21"/>
  <c r="AK6" i="21"/>
  <c r="AJ6" i="21"/>
  <c r="AE6" i="21"/>
  <c r="V6" i="21"/>
  <c r="H6" i="21"/>
  <c r="AD6" i="21" s="1"/>
  <c r="B6" i="21"/>
  <c r="D6" i="21" s="1"/>
  <c r="V353" i="12"/>
  <c r="V352" i="12"/>
  <c r="V351" i="12"/>
  <c r="V350" i="12"/>
  <c r="V348" i="12"/>
  <c r="V347" i="12"/>
  <c r="V346" i="12"/>
  <c r="V345" i="12"/>
  <c r="V344" i="12"/>
  <c r="V318" i="12"/>
  <c r="V342" i="12"/>
  <c r="AS318" i="12"/>
  <c r="AU318" i="12" s="1"/>
  <c r="AS317" i="12"/>
  <c r="AU317" i="12" s="1"/>
  <c r="AS316" i="12"/>
  <c r="AU316" i="12" s="1"/>
  <c r="AS315" i="12"/>
  <c r="AU315" i="12" s="1"/>
  <c r="AS313" i="12"/>
  <c r="AU313" i="12" s="1"/>
  <c r="AS312" i="12"/>
  <c r="AU312" i="12" s="1"/>
  <c r="AS310" i="12"/>
  <c r="AU310" i="12" s="1"/>
  <c r="AS309" i="12"/>
  <c r="AU309" i="12"/>
  <c r="AS307" i="12"/>
  <c r="AU307" i="12" s="1"/>
  <c r="AS306" i="12"/>
  <c r="AU306" i="12" s="1"/>
  <c r="AS305" i="12"/>
  <c r="AU305" i="12" s="1"/>
  <c r="AS304" i="12"/>
  <c r="AU304" i="12" s="1"/>
  <c r="AS302" i="12"/>
  <c r="AU302" i="12" s="1"/>
  <c r="AS301" i="12"/>
  <c r="AU301" i="12" s="1"/>
  <c r="AS300" i="12"/>
  <c r="AU300" i="12" s="1"/>
  <c r="AS299" i="12"/>
  <c r="AU299" i="12" s="1"/>
  <c r="AS297" i="12"/>
  <c r="AU297" i="12" s="1"/>
  <c r="AS296" i="12"/>
  <c r="AU296" i="12" s="1"/>
  <c r="AS295" i="12"/>
  <c r="AU295" i="12" s="1"/>
  <c r="AS294" i="12"/>
  <c r="AU294" i="12" s="1"/>
  <c r="AS292" i="12"/>
  <c r="AU292" i="12" s="1"/>
  <c r="AS291" i="12"/>
  <c r="AU291" i="12" s="1"/>
  <c r="AS290" i="12"/>
  <c r="AU290" i="12" s="1"/>
  <c r="AS289" i="12"/>
  <c r="AU289" i="12"/>
  <c r="AS288" i="12"/>
  <c r="AU288" i="12" s="1"/>
  <c r="AS287" i="12"/>
  <c r="AU287" i="12" s="1"/>
  <c r="AL342" i="12"/>
  <c r="AK342" i="12"/>
  <c r="AJ342" i="12"/>
  <c r="AE342" i="12"/>
  <c r="Z342" i="12"/>
  <c r="H342" i="12"/>
  <c r="AD342" i="12" s="1"/>
  <c r="B342" i="12"/>
  <c r="D342" i="12" s="1"/>
  <c r="AL340" i="12"/>
  <c r="AK340" i="12"/>
  <c r="AJ340" i="12"/>
  <c r="AE340" i="12"/>
  <c r="Z340" i="12"/>
  <c r="V340" i="12"/>
  <c r="H340" i="12"/>
  <c r="AD340" i="12" s="1"/>
  <c r="B340" i="12"/>
  <c r="D340" i="12"/>
  <c r="AL338" i="12"/>
  <c r="AK338" i="12"/>
  <c r="AJ338" i="12"/>
  <c r="AE338" i="12"/>
  <c r="Z338" i="12"/>
  <c r="V338" i="12"/>
  <c r="H338" i="12"/>
  <c r="AD338" i="12"/>
  <c r="B338" i="12"/>
  <c r="D338" i="12" s="1"/>
  <c r="AL336" i="12"/>
  <c r="AK336" i="12"/>
  <c r="AJ336" i="12"/>
  <c r="AE336" i="12"/>
  <c r="Z336" i="12"/>
  <c r="V336" i="12"/>
  <c r="H336" i="12"/>
  <c r="AD336" i="12" s="1"/>
  <c r="B336" i="12"/>
  <c r="D336" i="12" s="1"/>
  <c r="AL334" i="12"/>
  <c r="AK334" i="12"/>
  <c r="AJ334" i="12"/>
  <c r="AE334" i="12"/>
  <c r="Z334" i="12"/>
  <c r="V334" i="12"/>
  <c r="H334" i="12"/>
  <c r="AD334" i="12" s="1"/>
  <c r="B334" i="12"/>
  <c r="D334" i="12" s="1"/>
  <c r="AL349" i="12"/>
  <c r="AK349" i="12"/>
  <c r="AJ349" i="12"/>
  <c r="AE349" i="12"/>
  <c r="Z349" i="12"/>
  <c r="V349" i="12"/>
  <c r="H349" i="12"/>
  <c r="AD349" i="12" s="1"/>
  <c r="B349" i="12"/>
  <c r="D349" i="12" s="1"/>
  <c r="AL348" i="12"/>
  <c r="AK348" i="12"/>
  <c r="AJ348" i="12"/>
  <c r="AE348" i="12"/>
  <c r="Z348" i="12"/>
  <c r="H348" i="12"/>
  <c r="AD348" i="12" s="1"/>
  <c r="B348" i="12"/>
  <c r="D348" i="12" s="1"/>
  <c r="AL347" i="12"/>
  <c r="AK347" i="12"/>
  <c r="AJ347" i="12"/>
  <c r="AE347" i="12"/>
  <c r="Z347" i="12"/>
  <c r="H347" i="12"/>
  <c r="AD347" i="12" s="1"/>
  <c r="B347" i="12"/>
  <c r="D347" i="12"/>
  <c r="AL345" i="12"/>
  <c r="AK345" i="12"/>
  <c r="AJ345" i="12"/>
  <c r="AE345" i="12"/>
  <c r="Z345" i="12"/>
  <c r="H345" i="12"/>
  <c r="AD345" i="12" s="1"/>
  <c r="B345" i="12"/>
  <c r="D345" i="12" s="1"/>
  <c r="AL344" i="12"/>
  <c r="AK344" i="12"/>
  <c r="AJ344" i="12"/>
  <c r="AE344" i="12"/>
  <c r="Z344" i="12"/>
  <c r="AF344" i="12" s="1"/>
  <c r="H344" i="12"/>
  <c r="AD344" i="12"/>
  <c r="B344" i="12"/>
  <c r="D344" i="12"/>
  <c r="AL343" i="12"/>
  <c r="AK343" i="12"/>
  <c r="AJ343" i="12"/>
  <c r="AE343" i="12"/>
  <c r="Z343" i="12"/>
  <c r="AF343" i="12" s="1"/>
  <c r="V343" i="12"/>
  <c r="H343" i="12"/>
  <c r="AD343" i="12" s="1"/>
  <c r="B343" i="12"/>
  <c r="D343" i="12" s="1"/>
  <c r="AL339" i="12"/>
  <c r="AK339" i="12"/>
  <c r="AJ339" i="12"/>
  <c r="AE339" i="12"/>
  <c r="Z339" i="12"/>
  <c r="V339" i="12"/>
  <c r="H339" i="12"/>
  <c r="AD339" i="12"/>
  <c r="B339" i="12"/>
  <c r="D339" i="12"/>
  <c r="AL337" i="12"/>
  <c r="AK337" i="12"/>
  <c r="AJ337" i="12"/>
  <c r="AE337" i="12"/>
  <c r="Z337" i="12"/>
  <c r="V337" i="12"/>
  <c r="H337" i="12"/>
  <c r="AD337" i="12"/>
  <c r="B337" i="12"/>
  <c r="D337" i="12"/>
  <c r="AL335" i="12"/>
  <c r="AK335" i="12"/>
  <c r="AJ335" i="12"/>
  <c r="AE335" i="12"/>
  <c r="Z335" i="12"/>
  <c r="V335" i="12"/>
  <c r="AF335" i="12" s="1"/>
  <c r="H335" i="12"/>
  <c r="AD335" i="12"/>
  <c r="B335" i="12"/>
  <c r="D335" i="12"/>
  <c r="AL353" i="12"/>
  <c r="AK353" i="12"/>
  <c r="AJ353" i="12"/>
  <c r="AE353" i="12"/>
  <c r="Z353" i="12"/>
  <c r="H353" i="12"/>
  <c r="AD353" i="12" s="1"/>
  <c r="B353" i="12"/>
  <c r="D353" i="12" s="1"/>
  <c r="AL352" i="12"/>
  <c r="AK352" i="12"/>
  <c r="AJ352" i="12"/>
  <c r="AE352" i="12"/>
  <c r="Z352" i="12"/>
  <c r="AF352" i="12" s="1"/>
  <c r="AG352" i="12" s="1"/>
  <c r="H352" i="12"/>
  <c r="AD352" i="12"/>
  <c r="B352" i="12"/>
  <c r="D352" i="12" s="1"/>
  <c r="AL351" i="12"/>
  <c r="AK351" i="12"/>
  <c r="AJ351" i="12"/>
  <c r="AE351" i="12"/>
  <c r="Z351" i="12"/>
  <c r="H351" i="12"/>
  <c r="AD351" i="12" s="1"/>
  <c r="B351" i="12"/>
  <c r="D351" i="12"/>
  <c r="AL350" i="12"/>
  <c r="AK350" i="12"/>
  <c r="AJ350" i="12"/>
  <c r="AE350" i="12"/>
  <c r="AG350" i="12" s="1"/>
  <c r="G350" i="12" s="1"/>
  <c r="F350" i="12" s="1"/>
  <c r="Z350" i="12"/>
  <c r="AF350" i="12" s="1"/>
  <c r="H350" i="12"/>
  <c r="AD350" i="12" s="1"/>
  <c r="B350" i="12"/>
  <c r="D350" i="12" s="1"/>
  <c r="AL346" i="12"/>
  <c r="AK346" i="12"/>
  <c r="AJ346" i="12"/>
  <c r="AE346" i="12"/>
  <c r="Z346" i="12"/>
  <c r="H346" i="12"/>
  <c r="AD346" i="12"/>
  <c r="B346" i="12"/>
  <c r="D346" i="12"/>
  <c r="AL341" i="12"/>
  <c r="AK341" i="12"/>
  <c r="AJ341" i="12"/>
  <c r="AE341" i="12"/>
  <c r="Z341" i="12"/>
  <c r="V341" i="12"/>
  <c r="H341" i="12"/>
  <c r="AD341" i="12"/>
  <c r="B341" i="12"/>
  <c r="D341" i="12" s="1"/>
  <c r="AL333" i="12"/>
  <c r="AK333" i="12"/>
  <c r="AJ333" i="12"/>
  <c r="AE333" i="12"/>
  <c r="Z333" i="12"/>
  <c r="V333" i="12"/>
  <c r="H333" i="12"/>
  <c r="AD333" i="12" s="1"/>
  <c r="B333" i="12"/>
  <c r="D333" i="12"/>
  <c r="AL332" i="12"/>
  <c r="AK332" i="12"/>
  <c r="AJ332" i="12"/>
  <c r="AE332" i="12"/>
  <c r="Z332" i="12"/>
  <c r="V332" i="12"/>
  <c r="H332" i="12"/>
  <c r="AD332" i="12"/>
  <c r="B332" i="12"/>
  <c r="D332" i="12"/>
  <c r="Z294" i="12"/>
  <c r="Z299" i="12"/>
  <c r="V305" i="12"/>
  <c r="Z304" i="12"/>
  <c r="Z305" i="12"/>
  <c r="V307" i="12"/>
  <c r="Z306" i="12"/>
  <c r="Z310" i="12"/>
  <c r="Z313" i="12"/>
  <c r="Z318" i="12"/>
  <c r="J16" i="13"/>
  <c r="K16" i="13" s="1"/>
  <c r="G16" i="13"/>
  <c r="H16" i="13"/>
  <c r="J17" i="13"/>
  <c r="K17" i="13"/>
  <c r="G17" i="13"/>
  <c r="H17" i="13"/>
  <c r="J18" i="13"/>
  <c r="K18" i="13" s="1"/>
  <c r="G18" i="13"/>
  <c r="H18" i="13"/>
  <c r="J15" i="13"/>
  <c r="K15" i="13"/>
  <c r="G15" i="13"/>
  <c r="H15" i="13"/>
  <c r="J14" i="13"/>
  <c r="K14" i="13" s="1"/>
  <c r="G14" i="13"/>
  <c r="H14" i="13"/>
  <c r="V323" i="12"/>
  <c r="V324" i="12"/>
  <c r="B324" i="12"/>
  <c r="AL328" i="12"/>
  <c r="AK328" i="12"/>
  <c r="AJ328" i="12"/>
  <c r="AE328" i="12"/>
  <c r="Z328" i="12"/>
  <c r="AF328" i="12" s="1"/>
  <c r="AG328" i="12" s="1"/>
  <c r="G328" i="12" s="1"/>
  <c r="I328" i="12" s="1"/>
  <c r="V328" i="12"/>
  <c r="H328" i="12"/>
  <c r="AD328" i="12" s="1"/>
  <c r="B328" i="12"/>
  <c r="D328" i="12" s="1"/>
  <c r="AL327" i="12"/>
  <c r="AK327" i="12"/>
  <c r="AJ327" i="12"/>
  <c r="AE327" i="12"/>
  <c r="Z327" i="12"/>
  <c r="V327" i="12"/>
  <c r="AF327" i="12" s="1"/>
  <c r="H327" i="12"/>
  <c r="AD327" i="12"/>
  <c r="B327" i="12"/>
  <c r="D327" i="12"/>
  <c r="AL326" i="12"/>
  <c r="AH326" i="12" s="1"/>
  <c r="AK326" i="12"/>
  <c r="AJ326" i="12"/>
  <c r="AE326" i="12"/>
  <c r="Z326" i="12"/>
  <c r="V326" i="12"/>
  <c r="H326" i="12"/>
  <c r="AD326" i="12" s="1"/>
  <c r="B326" i="12"/>
  <c r="D326" i="12" s="1"/>
  <c r="AL325" i="12"/>
  <c r="AK325" i="12"/>
  <c r="AJ325" i="12"/>
  <c r="AE325" i="12"/>
  <c r="Z325" i="12"/>
  <c r="V325" i="12"/>
  <c r="H325" i="12"/>
  <c r="AD325" i="12"/>
  <c r="B325" i="12"/>
  <c r="D325" i="12" s="1"/>
  <c r="AL324" i="12"/>
  <c r="AK324" i="12"/>
  <c r="AJ324" i="12"/>
  <c r="AE324" i="12"/>
  <c r="Z324" i="12"/>
  <c r="H324" i="12"/>
  <c r="AD324" i="12" s="1"/>
  <c r="D324" i="12"/>
  <c r="AL323" i="12"/>
  <c r="AK323" i="12"/>
  <c r="AJ323" i="12"/>
  <c r="AE323" i="12"/>
  <c r="Z323" i="12"/>
  <c r="H323" i="12"/>
  <c r="AD323" i="12" s="1"/>
  <c r="B323" i="12"/>
  <c r="D323" i="12"/>
  <c r="AL37" i="12"/>
  <c r="AK37" i="12"/>
  <c r="AJ37" i="12"/>
  <c r="AL36" i="12"/>
  <c r="AK36" i="12"/>
  <c r="AJ36" i="12"/>
  <c r="AL35" i="12"/>
  <c r="AK35" i="12"/>
  <c r="AJ35" i="12"/>
  <c r="AL34" i="12"/>
  <c r="AK34" i="12"/>
  <c r="AJ34" i="12"/>
  <c r="AL32" i="12"/>
  <c r="AK32" i="12"/>
  <c r="AJ32" i="12"/>
  <c r="AL31" i="12"/>
  <c r="AH31" i="12" s="1"/>
  <c r="AK31" i="12"/>
  <c r="AJ31" i="12"/>
  <c r="AL29" i="12"/>
  <c r="AK29" i="12"/>
  <c r="AJ29" i="12"/>
  <c r="AL28" i="12"/>
  <c r="AK28" i="12"/>
  <c r="AJ28" i="12"/>
  <c r="AL26" i="12"/>
  <c r="AK26" i="12"/>
  <c r="AJ26" i="12"/>
  <c r="AL25" i="12"/>
  <c r="AK25" i="12"/>
  <c r="AJ25" i="12"/>
  <c r="AL24" i="12"/>
  <c r="AK24" i="12"/>
  <c r="AJ24" i="12"/>
  <c r="AL23" i="12"/>
  <c r="AK23" i="12"/>
  <c r="AJ23" i="12"/>
  <c r="AL21" i="12"/>
  <c r="AK21" i="12"/>
  <c r="AJ21" i="12"/>
  <c r="AL20" i="12"/>
  <c r="AK20" i="12"/>
  <c r="AJ20" i="12"/>
  <c r="AL19" i="12"/>
  <c r="AK19" i="12"/>
  <c r="AJ19" i="12"/>
  <c r="AL18" i="12"/>
  <c r="AK18" i="12"/>
  <c r="AJ18" i="12"/>
  <c r="AL16" i="12"/>
  <c r="AK16" i="12"/>
  <c r="AJ16" i="12"/>
  <c r="AL15" i="12"/>
  <c r="AK15" i="12"/>
  <c r="AJ15" i="12"/>
  <c r="AL14" i="12"/>
  <c r="AK14" i="12"/>
  <c r="AJ14" i="12"/>
  <c r="AL13" i="12"/>
  <c r="AK13" i="12"/>
  <c r="AJ13" i="12"/>
  <c r="AL11" i="12"/>
  <c r="AK11" i="12"/>
  <c r="AJ11" i="12"/>
  <c r="AL10" i="12"/>
  <c r="AH10" i="12" s="1"/>
  <c r="AK10" i="12"/>
  <c r="AJ10" i="12"/>
  <c r="AL9" i="12"/>
  <c r="AK9" i="12"/>
  <c r="AJ9" i="12"/>
  <c r="AL8" i="12"/>
  <c r="AK8" i="12"/>
  <c r="AJ8" i="12"/>
  <c r="AL7" i="12"/>
  <c r="AK7" i="12"/>
  <c r="AJ7" i="12"/>
  <c r="AL6" i="12"/>
  <c r="AK6" i="12"/>
  <c r="AJ6" i="12"/>
  <c r="AL71" i="12"/>
  <c r="AK71" i="12"/>
  <c r="AJ71" i="12"/>
  <c r="AL70" i="12"/>
  <c r="AK70" i="12"/>
  <c r="AJ70" i="12"/>
  <c r="AL69" i="12"/>
  <c r="AK69" i="12"/>
  <c r="AJ69" i="12"/>
  <c r="AL68" i="12"/>
  <c r="AH68" i="12" s="1"/>
  <c r="AK68" i="12"/>
  <c r="AJ68" i="12"/>
  <c r="AL66" i="12"/>
  <c r="AK66" i="12"/>
  <c r="AJ66" i="12"/>
  <c r="AL65" i="12"/>
  <c r="AK65" i="12"/>
  <c r="AJ65" i="12"/>
  <c r="AL63" i="12"/>
  <c r="AK63" i="12"/>
  <c r="AJ63" i="12"/>
  <c r="AL62" i="12"/>
  <c r="AK62" i="12"/>
  <c r="AJ62" i="12"/>
  <c r="AL60" i="12"/>
  <c r="AK60" i="12"/>
  <c r="AJ60" i="12"/>
  <c r="AL59" i="12"/>
  <c r="AK59" i="12"/>
  <c r="AJ59" i="12"/>
  <c r="AL58" i="12"/>
  <c r="AK58" i="12"/>
  <c r="AJ58" i="12"/>
  <c r="AL57" i="12"/>
  <c r="AH57" i="12" s="1"/>
  <c r="AK57" i="12"/>
  <c r="AJ57" i="12"/>
  <c r="AL55" i="12"/>
  <c r="AK55" i="12"/>
  <c r="AJ55" i="12"/>
  <c r="AL54" i="12"/>
  <c r="AK54" i="12"/>
  <c r="AJ54" i="12"/>
  <c r="AL53" i="12"/>
  <c r="AK53" i="12"/>
  <c r="AJ53" i="12"/>
  <c r="AL52" i="12"/>
  <c r="AK52" i="12"/>
  <c r="AJ52" i="12"/>
  <c r="AL50" i="12"/>
  <c r="AK50" i="12"/>
  <c r="AJ50" i="12"/>
  <c r="AL49" i="12"/>
  <c r="AK49" i="12"/>
  <c r="AJ49" i="12"/>
  <c r="AL48" i="12"/>
  <c r="AK48" i="12"/>
  <c r="AJ48" i="12"/>
  <c r="AL47" i="12"/>
  <c r="AK47" i="12"/>
  <c r="AJ47" i="12"/>
  <c r="AL45" i="12"/>
  <c r="AK45" i="12"/>
  <c r="AJ45" i="12"/>
  <c r="AL44" i="12"/>
  <c r="AK44" i="12"/>
  <c r="AJ44" i="12"/>
  <c r="AL43" i="12"/>
  <c r="AK43" i="12"/>
  <c r="AJ43" i="12"/>
  <c r="AL42" i="12"/>
  <c r="AK42" i="12"/>
  <c r="AJ42" i="12"/>
  <c r="AL41" i="12"/>
  <c r="AK41" i="12"/>
  <c r="AJ41" i="12"/>
  <c r="AL40" i="12"/>
  <c r="AK40" i="12"/>
  <c r="AJ40" i="12"/>
  <c r="AL105" i="12"/>
  <c r="AK105" i="12"/>
  <c r="AJ105" i="12"/>
  <c r="AL104" i="12"/>
  <c r="AK104" i="12"/>
  <c r="AJ104" i="12"/>
  <c r="AL103" i="12"/>
  <c r="AK103" i="12"/>
  <c r="AJ103" i="12"/>
  <c r="AL102" i="12"/>
  <c r="AK102" i="12"/>
  <c r="AJ102" i="12"/>
  <c r="AL100" i="12"/>
  <c r="AK100" i="12"/>
  <c r="AJ100" i="12"/>
  <c r="AL99" i="12"/>
  <c r="AK99" i="12"/>
  <c r="AJ99" i="12"/>
  <c r="AL97" i="12"/>
  <c r="AK97" i="12"/>
  <c r="AJ97" i="12"/>
  <c r="AL96" i="12"/>
  <c r="AK96" i="12"/>
  <c r="AJ96" i="12"/>
  <c r="AL94" i="12"/>
  <c r="AK94" i="12"/>
  <c r="AJ94" i="12"/>
  <c r="AL93" i="12"/>
  <c r="AH93" i="12" s="1"/>
  <c r="AK93" i="12"/>
  <c r="AJ93" i="12"/>
  <c r="AL92" i="12"/>
  <c r="AK92" i="12"/>
  <c r="AJ92" i="12"/>
  <c r="AL91" i="12"/>
  <c r="AK91" i="12"/>
  <c r="AJ91" i="12"/>
  <c r="AL89" i="12"/>
  <c r="AK89" i="12"/>
  <c r="AJ89" i="12"/>
  <c r="AL88" i="12"/>
  <c r="AK88" i="12"/>
  <c r="AJ88" i="12"/>
  <c r="AL87" i="12"/>
  <c r="AK87" i="12"/>
  <c r="AJ87" i="12"/>
  <c r="AL86" i="12"/>
  <c r="AK86" i="12"/>
  <c r="AJ86" i="12"/>
  <c r="AL84" i="12"/>
  <c r="AK84" i="12"/>
  <c r="AJ84" i="12"/>
  <c r="AL83" i="12"/>
  <c r="AK83" i="12"/>
  <c r="AJ83" i="12"/>
  <c r="AL82" i="12"/>
  <c r="AK82" i="12"/>
  <c r="AJ82" i="12"/>
  <c r="AL81" i="12"/>
  <c r="AK81" i="12"/>
  <c r="AJ81" i="12"/>
  <c r="AL79" i="12"/>
  <c r="AK79" i="12"/>
  <c r="AJ79" i="12"/>
  <c r="AL78" i="12"/>
  <c r="AK78" i="12"/>
  <c r="AJ78" i="12"/>
  <c r="AL77" i="12"/>
  <c r="AK77" i="12"/>
  <c r="AJ77" i="12"/>
  <c r="AL76" i="12"/>
  <c r="AK76" i="12"/>
  <c r="AJ76" i="12"/>
  <c r="AL75" i="12"/>
  <c r="AK75" i="12"/>
  <c r="AJ75" i="12"/>
  <c r="AL74" i="12"/>
  <c r="AK74" i="12"/>
  <c r="AJ74" i="12"/>
  <c r="AL139" i="12"/>
  <c r="AK139" i="12"/>
  <c r="AJ139" i="12"/>
  <c r="AL138" i="12"/>
  <c r="AK138" i="12"/>
  <c r="AJ138" i="12"/>
  <c r="AL137" i="12"/>
  <c r="AK137" i="12"/>
  <c r="AJ137" i="12"/>
  <c r="AL136" i="12"/>
  <c r="AK136" i="12"/>
  <c r="AJ136" i="12"/>
  <c r="AL134" i="12"/>
  <c r="AK134" i="12"/>
  <c r="AJ134" i="12"/>
  <c r="AL133" i="12"/>
  <c r="AK133" i="12"/>
  <c r="AJ133" i="12"/>
  <c r="AL131" i="12"/>
  <c r="AK131" i="12"/>
  <c r="AJ131" i="12"/>
  <c r="AL130" i="12"/>
  <c r="AK130" i="12"/>
  <c r="AJ130" i="12"/>
  <c r="AL128" i="12"/>
  <c r="AK128" i="12"/>
  <c r="AJ128" i="12"/>
  <c r="AL127" i="12"/>
  <c r="AK127" i="12"/>
  <c r="AJ127" i="12"/>
  <c r="AL126" i="12"/>
  <c r="AK126" i="12"/>
  <c r="AJ126" i="12"/>
  <c r="AL125" i="12"/>
  <c r="AK125" i="12"/>
  <c r="AJ125" i="12"/>
  <c r="AL123" i="12"/>
  <c r="AK123" i="12"/>
  <c r="AJ123" i="12"/>
  <c r="AL122" i="12"/>
  <c r="AK122" i="12"/>
  <c r="AJ122" i="12"/>
  <c r="AL121" i="12"/>
  <c r="AK121" i="12"/>
  <c r="AJ121" i="12"/>
  <c r="AL120" i="12"/>
  <c r="AK120" i="12"/>
  <c r="AJ120" i="12"/>
  <c r="AL118" i="12"/>
  <c r="AK118" i="12"/>
  <c r="AJ118" i="12"/>
  <c r="AL117" i="12"/>
  <c r="AK117" i="12"/>
  <c r="AJ117" i="12"/>
  <c r="AL116" i="12"/>
  <c r="AK116" i="12"/>
  <c r="AJ116" i="12"/>
  <c r="AL115" i="12"/>
  <c r="AK115" i="12"/>
  <c r="AJ115" i="12"/>
  <c r="AL113" i="12"/>
  <c r="AK113" i="12"/>
  <c r="AJ113" i="12"/>
  <c r="AL112" i="12"/>
  <c r="AK112" i="12"/>
  <c r="AJ112" i="12"/>
  <c r="AL111" i="12"/>
  <c r="AK111" i="12"/>
  <c r="AJ111" i="12"/>
  <c r="AL110" i="12"/>
  <c r="AH110" i="12" s="1"/>
  <c r="AK110" i="12"/>
  <c r="AJ110" i="12"/>
  <c r="AL109" i="12"/>
  <c r="AK109" i="12"/>
  <c r="AJ109" i="12"/>
  <c r="AL108" i="12"/>
  <c r="AK108" i="12"/>
  <c r="AJ108" i="12"/>
  <c r="AL177" i="12"/>
  <c r="AK177" i="12"/>
  <c r="AJ177" i="12"/>
  <c r="AL176" i="12"/>
  <c r="AK176" i="12"/>
  <c r="AJ176" i="12"/>
  <c r="AL175" i="12"/>
  <c r="AK175" i="12"/>
  <c r="AJ175" i="12"/>
  <c r="AL174" i="12"/>
  <c r="AK174" i="12"/>
  <c r="AJ174" i="12"/>
  <c r="AL172" i="12"/>
  <c r="AK172" i="12"/>
  <c r="AJ172" i="12"/>
  <c r="AL171" i="12"/>
  <c r="AK171" i="12"/>
  <c r="AJ171" i="12"/>
  <c r="AL169" i="12"/>
  <c r="AK169" i="12"/>
  <c r="AJ169" i="12"/>
  <c r="AL168" i="12"/>
  <c r="AK168" i="12"/>
  <c r="AJ168" i="12"/>
  <c r="AL166" i="12"/>
  <c r="AK166" i="12"/>
  <c r="AJ166" i="12"/>
  <c r="AL165" i="12"/>
  <c r="AK165" i="12"/>
  <c r="AJ165" i="12"/>
  <c r="AL164" i="12"/>
  <c r="AK164" i="12"/>
  <c r="AJ164" i="12"/>
  <c r="AL163" i="12"/>
  <c r="AK163" i="12"/>
  <c r="AJ163" i="12"/>
  <c r="AL161" i="12"/>
  <c r="AK161" i="12"/>
  <c r="AJ161" i="12"/>
  <c r="AL160" i="12"/>
  <c r="AH160" i="12" s="1"/>
  <c r="AK160" i="12"/>
  <c r="AJ160" i="12"/>
  <c r="AL159" i="12"/>
  <c r="AK159" i="12"/>
  <c r="AJ159" i="12"/>
  <c r="AL158" i="12"/>
  <c r="AK158" i="12"/>
  <c r="AJ158" i="12"/>
  <c r="AL156" i="12"/>
  <c r="AK156" i="12"/>
  <c r="AJ156" i="12"/>
  <c r="AL155" i="12"/>
  <c r="AK155" i="12"/>
  <c r="AJ155" i="12"/>
  <c r="AL154" i="12"/>
  <c r="AK154" i="12"/>
  <c r="AJ154" i="12"/>
  <c r="AL153" i="12"/>
  <c r="AK153" i="12"/>
  <c r="AJ153" i="12"/>
  <c r="AL151" i="12"/>
  <c r="AK151" i="12"/>
  <c r="AJ151" i="12"/>
  <c r="AL150" i="12"/>
  <c r="AK150" i="12"/>
  <c r="AJ150" i="12"/>
  <c r="AL149" i="12"/>
  <c r="AK149" i="12"/>
  <c r="AJ149" i="12"/>
  <c r="AL148" i="12"/>
  <c r="AK148" i="12"/>
  <c r="AJ148" i="12"/>
  <c r="AL147" i="12"/>
  <c r="AK147" i="12"/>
  <c r="AJ147" i="12"/>
  <c r="AL146" i="12"/>
  <c r="AK146" i="12"/>
  <c r="AJ146" i="12"/>
  <c r="AL211" i="12"/>
  <c r="AK211" i="12"/>
  <c r="AJ211" i="12"/>
  <c r="AL210" i="12"/>
  <c r="AK210" i="12"/>
  <c r="AJ210" i="12"/>
  <c r="AL209" i="12"/>
  <c r="AK209" i="12"/>
  <c r="AJ209" i="12"/>
  <c r="AL208" i="12"/>
  <c r="AH208" i="12" s="1"/>
  <c r="AK208" i="12"/>
  <c r="AJ208" i="12"/>
  <c r="AL206" i="12"/>
  <c r="AK206" i="12"/>
  <c r="AJ206" i="12"/>
  <c r="AL205" i="12"/>
  <c r="AK205" i="12"/>
  <c r="AJ205" i="12"/>
  <c r="AL203" i="12"/>
  <c r="AK203" i="12"/>
  <c r="AJ203" i="12"/>
  <c r="AL202" i="12"/>
  <c r="AK202" i="12"/>
  <c r="AJ202" i="12"/>
  <c r="AL200" i="12"/>
  <c r="AK200" i="12"/>
  <c r="AJ200" i="12"/>
  <c r="AL199" i="12"/>
  <c r="AK199" i="12"/>
  <c r="AJ199" i="12"/>
  <c r="AL198" i="12"/>
  <c r="AK198" i="12"/>
  <c r="AJ198" i="12"/>
  <c r="AL197" i="12"/>
  <c r="AK197" i="12"/>
  <c r="AJ197" i="12"/>
  <c r="AL195" i="12"/>
  <c r="AK195" i="12"/>
  <c r="AJ195" i="12"/>
  <c r="AL194" i="12"/>
  <c r="AK194" i="12"/>
  <c r="AJ194" i="12"/>
  <c r="AL193" i="12"/>
  <c r="AK193" i="12"/>
  <c r="AJ193" i="12"/>
  <c r="AL192" i="12"/>
  <c r="AK192" i="12"/>
  <c r="AJ192" i="12"/>
  <c r="AL190" i="12"/>
  <c r="AK190" i="12"/>
  <c r="AJ190" i="12"/>
  <c r="AL189" i="12"/>
  <c r="AK189" i="12"/>
  <c r="AJ189" i="12"/>
  <c r="AL188" i="12"/>
  <c r="AK188" i="12"/>
  <c r="AJ188" i="12"/>
  <c r="AL187" i="12"/>
  <c r="AH187" i="12" s="1"/>
  <c r="AK187" i="12"/>
  <c r="AJ187" i="12"/>
  <c r="AL185" i="12"/>
  <c r="AK185" i="12"/>
  <c r="AJ185" i="12"/>
  <c r="AL184" i="12"/>
  <c r="AK184" i="12"/>
  <c r="AJ184" i="12"/>
  <c r="AL183" i="12"/>
  <c r="AK183" i="12"/>
  <c r="AJ183" i="12"/>
  <c r="AL182" i="12"/>
  <c r="AK182" i="12"/>
  <c r="AJ182" i="12"/>
  <c r="AL181" i="12"/>
  <c r="AK181" i="12"/>
  <c r="AJ181" i="12"/>
  <c r="AL180" i="12"/>
  <c r="AK180" i="12"/>
  <c r="AJ180" i="12"/>
  <c r="AL245" i="12"/>
  <c r="AK245" i="12"/>
  <c r="AJ245" i="12"/>
  <c r="AL244" i="12"/>
  <c r="AK244" i="12"/>
  <c r="AJ244" i="12"/>
  <c r="AL243" i="12"/>
  <c r="AK243" i="12"/>
  <c r="AJ243" i="12"/>
  <c r="AL242" i="12"/>
  <c r="AK242" i="12"/>
  <c r="AJ242" i="12"/>
  <c r="AL240" i="12"/>
  <c r="AK240" i="12"/>
  <c r="AJ240" i="12"/>
  <c r="AL239" i="12"/>
  <c r="AK239" i="12"/>
  <c r="AJ239" i="12"/>
  <c r="AL237" i="12"/>
  <c r="AK237" i="12"/>
  <c r="AJ237" i="12"/>
  <c r="AL236" i="12"/>
  <c r="AK236" i="12"/>
  <c r="AJ236" i="12"/>
  <c r="AL234" i="12"/>
  <c r="AK234" i="12"/>
  <c r="AJ234" i="12"/>
  <c r="AL233" i="12"/>
  <c r="AH233" i="12" s="1"/>
  <c r="AK233" i="12"/>
  <c r="AJ233" i="12"/>
  <c r="AL232" i="12"/>
  <c r="AK232" i="12"/>
  <c r="AJ232" i="12"/>
  <c r="AL231" i="12"/>
  <c r="AK231" i="12"/>
  <c r="AJ231" i="12"/>
  <c r="AL229" i="12"/>
  <c r="AK229" i="12"/>
  <c r="AJ229" i="12"/>
  <c r="AL228" i="12"/>
  <c r="AK228" i="12"/>
  <c r="AJ228" i="12"/>
  <c r="AL227" i="12"/>
  <c r="AK227" i="12"/>
  <c r="AJ227" i="12"/>
  <c r="AL226" i="12"/>
  <c r="AK226" i="12"/>
  <c r="AJ226" i="12"/>
  <c r="AL224" i="12"/>
  <c r="AK224" i="12"/>
  <c r="AJ224" i="12"/>
  <c r="AL223" i="12"/>
  <c r="AK223" i="12"/>
  <c r="AJ223" i="12"/>
  <c r="AL222" i="12"/>
  <c r="AH222" i="12" s="1"/>
  <c r="AK222" i="12"/>
  <c r="AJ222" i="12"/>
  <c r="AL221" i="12"/>
  <c r="AK221" i="12"/>
  <c r="AJ221" i="12"/>
  <c r="AL219" i="12"/>
  <c r="AK219" i="12"/>
  <c r="AJ219" i="12"/>
  <c r="AL218" i="12"/>
  <c r="AK218" i="12"/>
  <c r="AJ218" i="12"/>
  <c r="AL217" i="12"/>
  <c r="AK217" i="12"/>
  <c r="AJ217" i="12"/>
  <c r="AL216" i="12"/>
  <c r="AK216" i="12"/>
  <c r="AJ216" i="12"/>
  <c r="AL215" i="12"/>
  <c r="AK215" i="12"/>
  <c r="AJ215" i="12"/>
  <c r="AL214" i="12"/>
  <c r="AH214" i="12" s="1"/>
  <c r="AK214" i="12"/>
  <c r="AJ214" i="12"/>
  <c r="AL279" i="12"/>
  <c r="AH279" i="12" s="1"/>
  <c r="AK279" i="12"/>
  <c r="AJ279" i="12"/>
  <c r="AL278" i="12"/>
  <c r="AK278" i="12"/>
  <c r="AJ278" i="12"/>
  <c r="AL277" i="12"/>
  <c r="AK277" i="12"/>
  <c r="AJ277" i="12"/>
  <c r="AL276" i="12"/>
  <c r="AK276" i="12"/>
  <c r="AJ276" i="12"/>
  <c r="AL274" i="12"/>
  <c r="AK274" i="12"/>
  <c r="AJ274" i="12"/>
  <c r="AL273" i="12"/>
  <c r="AK273" i="12"/>
  <c r="AJ273" i="12"/>
  <c r="AL271" i="12"/>
  <c r="AK271" i="12"/>
  <c r="AJ271" i="12"/>
  <c r="AL270" i="12"/>
  <c r="AH270" i="12" s="1"/>
  <c r="AK270" i="12"/>
  <c r="AJ270" i="12"/>
  <c r="AL268" i="12"/>
  <c r="AH268" i="12" s="1"/>
  <c r="AK268" i="12"/>
  <c r="AJ268" i="12"/>
  <c r="AL267" i="12"/>
  <c r="AK267" i="12"/>
  <c r="AJ267" i="12"/>
  <c r="AL266" i="12"/>
  <c r="AK266" i="12"/>
  <c r="AJ266" i="12"/>
  <c r="AL265" i="12"/>
  <c r="AK265" i="12"/>
  <c r="AJ265" i="12"/>
  <c r="AL263" i="12"/>
  <c r="AK263" i="12"/>
  <c r="AJ263" i="12"/>
  <c r="AL262" i="12"/>
  <c r="AK262" i="12"/>
  <c r="AJ262" i="12"/>
  <c r="AL261" i="12"/>
  <c r="AK261" i="12"/>
  <c r="AJ261" i="12"/>
  <c r="AL260" i="12"/>
  <c r="AK260" i="12"/>
  <c r="AJ260" i="12"/>
  <c r="AL258" i="12"/>
  <c r="AH258" i="12" s="1"/>
  <c r="AK258" i="12"/>
  <c r="AJ258" i="12"/>
  <c r="AL257" i="12"/>
  <c r="AK257" i="12"/>
  <c r="AJ257" i="12"/>
  <c r="AL256" i="12"/>
  <c r="AK256" i="12"/>
  <c r="AJ256" i="12"/>
  <c r="AL255" i="12"/>
  <c r="AK255" i="12"/>
  <c r="AJ255" i="12"/>
  <c r="AL253" i="12"/>
  <c r="AK253" i="12"/>
  <c r="AJ253" i="12"/>
  <c r="AL252" i="12"/>
  <c r="AK252" i="12"/>
  <c r="AJ252" i="12"/>
  <c r="AL251" i="12"/>
  <c r="AK251" i="12"/>
  <c r="AJ251" i="12"/>
  <c r="AL250" i="12"/>
  <c r="AK250" i="12"/>
  <c r="AJ250" i="12"/>
  <c r="AL249" i="12"/>
  <c r="AH249" i="12" s="1"/>
  <c r="AK249" i="12"/>
  <c r="AJ249" i="12"/>
  <c r="AL248" i="12"/>
  <c r="AK248" i="12"/>
  <c r="AJ248" i="12"/>
  <c r="AL318" i="12"/>
  <c r="AK318" i="12"/>
  <c r="AJ318" i="12"/>
  <c r="AL317" i="12"/>
  <c r="AK317" i="12"/>
  <c r="AJ317" i="12"/>
  <c r="AL316" i="12"/>
  <c r="AK316" i="12"/>
  <c r="AJ316" i="12"/>
  <c r="AL315" i="12"/>
  <c r="AK315" i="12"/>
  <c r="AJ315" i="12"/>
  <c r="AL313" i="12"/>
  <c r="AK313" i="12"/>
  <c r="AJ313" i="12"/>
  <c r="AL312" i="12"/>
  <c r="AK312" i="12"/>
  <c r="AJ312" i="12"/>
  <c r="AL310" i="12"/>
  <c r="AH310" i="12" s="1"/>
  <c r="AK310" i="12"/>
  <c r="AJ310" i="12"/>
  <c r="AL309" i="12"/>
  <c r="AK309" i="12"/>
  <c r="AJ309" i="12"/>
  <c r="AL307" i="12"/>
  <c r="AK307" i="12"/>
  <c r="AJ307" i="12"/>
  <c r="AH307" i="12" s="1"/>
  <c r="AL306" i="12"/>
  <c r="AK306" i="12"/>
  <c r="AJ306" i="12"/>
  <c r="AL305" i="12"/>
  <c r="AK305" i="12"/>
  <c r="AJ305" i="12"/>
  <c r="AL304" i="12"/>
  <c r="AK304" i="12"/>
  <c r="AJ304" i="12"/>
  <c r="AL302" i="12"/>
  <c r="AK302" i="12"/>
  <c r="AJ302" i="12"/>
  <c r="AL301" i="12"/>
  <c r="AK301" i="12"/>
  <c r="AJ301" i="12"/>
  <c r="AL300" i="12"/>
  <c r="AK300" i="12"/>
  <c r="AJ300" i="12"/>
  <c r="AL299" i="12"/>
  <c r="AK299" i="12"/>
  <c r="AJ299" i="12"/>
  <c r="AK297" i="12"/>
  <c r="AJ297" i="12"/>
  <c r="AK296" i="12"/>
  <c r="AJ296" i="12"/>
  <c r="AK295" i="12"/>
  <c r="AJ295" i="12"/>
  <c r="AK294" i="12"/>
  <c r="AJ294" i="12"/>
  <c r="AK292" i="12"/>
  <c r="AJ292" i="12"/>
  <c r="AK291" i="12"/>
  <c r="AJ291" i="12"/>
  <c r="AK290" i="12"/>
  <c r="AJ290" i="12"/>
  <c r="AK289" i="12"/>
  <c r="AJ289" i="12"/>
  <c r="AK288" i="12"/>
  <c r="AJ288" i="12"/>
  <c r="AL297" i="12"/>
  <c r="AL296" i="12"/>
  <c r="AL295" i="12"/>
  <c r="AL294" i="12"/>
  <c r="AL292" i="12"/>
  <c r="AL291" i="12"/>
  <c r="AL290" i="12"/>
  <c r="AL289" i="12"/>
  <c r="AL288" i="12"/>
  <c r="AH288" i="12" s="1"/>
  <c r="AL287" i="12"/>
  <c r="AK287" i="12"/>
  <c r="AJ287" i="12"/>
  <c r="AE318" i="12"/>
  <c r="H318" i="12"/>
  <c r="AD318" i="12" s="1"/>
  <c r="B318" i="12"/>
  <c r="D318" i="12"/>
  <c r="AF318" i="12"/>
  <c r="AG318" i="12" s="1"/>
  <c r="G318" i="12" s="1"/>
  <c r="AE317" i="12"/>
  <c r="Z317" i="12"/>
  <c r="V317" i="12"/>
  <c r="H317" i="12"/>
  <c r="AD317" i="12" s="1"/>
  <c r="B317" i="12"/>
  <c r="D317" i="12" s="1"/>
  <c r="AE316" i="12"/>
  <c r="Z316" i="12"/>
  <c r="V316" i="12"/>
  <c r="H316" i="12"/>
  <c r="AD316" i="12"/>
  <c r="B316" i="12"/>
  <c r="D316" i="12"/>
  <c r="AE315" i="12"/>
  <c r="Z315" i="12"/>
  <c r="V315" i="12"/>
  <c r="AF315" i="12" s="1"/>
  <c r="H315" i="12"/>
  <c r="AD315" i="12" s="1"/>
  <c r="B315" i="12"/>
  <c r="D315" i="12" s="1"/>
  <c r="AE313" i="12"/>
  <c r="V313" i="12"/>
  <c r="H313" i="12"/>
  <c r="AD313" i="12" s="1"/>
  <c r="B313" i="12"/>
  <c r="D313" i="12" s="1"/>
  <c r="AE312" i="12"/>
  <c r="Z312" i="12"/>
  <c r="V312" i="12"/>
  <c r="H312" i="12"/>
  <c r="AD312" i="12" s="1"/>
  <c r="B312" i="12"/>
  <c r="D312" i="12" s="1"/>
  <c r="AE310" i="12"/>
  <c r="H310" i="12"/>
  <c r="AD310" i="12" s="1"/>
  <c r="B310" i="12"/>
  <c r="D310" i="12" s="1"/>
  <c r="AE309" i="12"/>
  <c r="Z309" i="12"/>
  <c r="H309" i="12"/>
  <c r="AD309" i="12" s="1"/>
  <c r="B309" i="12"/>
  <c r="D309" i="12" s="1"/>
  <c r="AE307" i="12"/>
  <c r="Z307" i="12"/>
  <c r="H307" i="12"/>
  <c r="AD307" i="12" s="1"/>
  <c r="B307" i="12"/>
  <c r="D307" i="12" s="1"/>
  <c r="AE306" i="12"/>
  <c r="V306" i="12"/>
  <c r="H306" i="12"/>
  <c r="AD306" i="12"/>
  <c r="B306" i="12"/>
  <c r="D306" i="12"/>
  <c r="AE305" i="12"/>
  <c r="H305" i="12"/>
  <c r="AD305" i="12"/>
  <c r="B305" i="12"/>
  <c r="D305" i="12"/>
  <c r="AF305" i="12"/>
  <c r="AE304" i="12"/>
  <c r="V304" i="12"/>
  <c r="H304" i="12"/>
  <c r="AD304" i="12" s="1"/>
  <c r="B304" i="12"/>
  <c r="D304" i="12" s="1"/>
  <c r="AE302" i="12"/>
  <c r="Z302" i="12"/>
  <c r="V302" i="12"/>
  <c r="H302" i="12"/>
  <c r="AD302" i="12" s="1"/>
  <c r="B302" i="12"/>
  <c r="D302" i="12" s="1"/>
  <c r="AE301" i="12"/>
  <c r="Z301" i="12"/>
  <c r="V301" i="12"/>
  <c r="H301" i="12"/>
  <c r="AD301" i="12" s="1"/>
  <c r="B301" i="12"/>
  <c r="D301" i="12"/>
  <c r="AE300" i="12"/>
  <c r="Z300" i="12"/>
  <c r="V300" i="12"/>
  <c r="H300" i="12"/>
  <c r="AD300" i="12" s="1"/>
  <c r="B300" i="12"/>
  <c r="D300" i="12" s="1"/>
  <c r="AE299" i="12"/>
  <c r="H299" i="12"/>
  <c r="AD299" i="12"/>
  <c r="B299" i="12"/>
  <c r="D299" i="12" s="1"/>
  <c r="AE297" i="12"/>
  <c r="Z297" i="12"/>
  <c r="V297" i="12"/>
  <c r="H297" i="12"/>
  <c r="AD297" i="12" s="1"/>
  <c r="B297" i="12"/>
  <c r="D297" i="12" s="1"/>
  <c r="AE296" i="12"/>
  <c r="Z296" i="12"/>
  <c r="V296" i="12"/>
  <c r="H296" i="12"/>
  <c r="AD296" i="12"/>
  <c r="B296" i="12"/>
  <c r="D296" i="12"/>
  <c r="AE295" i="12"/>
  <c r="Z295" i="12"/>
  <c r="V295" i="12"/>
  <c r="H295" i="12"/>
  <c r="AD295" i="12" s="1"/>
  <c r="B295" i="12"/>
  <c r="D295" i="12" s="1"/>
  <c r="AE294" i="12"/>
  <c r="V294" i="12"/>
  <c r="H294" i="12"/>
  <c r="AD294" i="12" s="1"/>
  <c r="B294" i="12"/>
  <c r="D294" i="12" s="1"/>
  <c r="AE292" i="12"/>
  <c r="Z292" i="12"/>
  <c r="V292" i="12"/>
  <c r="H292" i="12"/>
  <c r="AD292" i="12"/>
  <c r="B292" i="12"/>
  <c r="D292" i="12" s="1"/>
  <c r="AA292" i="12" s="1"/>
  <c r="AE291" i="12"/>
  <c r="Z291" i="12"/>
  <c r="V291" i="12"/>
  <c r="H291" i="12"/>
  <c r="AD291" i="12" s="1"/>
  <c r="B291" i="12"/>
  <c r="D291" i="12"/>
  <c r="AE290" i="12"/>
  <c r="Z290" i="12"/>
  <c r="V290" i="12"/>
  <c r="H290" i="12"/>
  <c r="AD290" i="12"/>
  <c r="B290" i="12"/>
  <c r="D290" i="12" s="1"/>
  <c r="AE289" i="12"/>
  <c r="Z289" i="12"/>
  <c r="V289" i="12"/>
  <c r="H289" i="12"/>
  <c r="AD289" i="12" s="1"/>
  <c r="B289" i="12"/>
  <c r="D289" i="12"/>
  <c r="AE288" i="12"/>
  <c r="Z288" i="12"/>
  <c r="V288" i="12"/>
  <c r="H288" i="12"/>
  <c r="AD288" i="12"/>
  <c r="B288" i="12"/>
  <c r="D288" i="12"/>
  <c r="AE287" i="12"/>
  <c r="Z287" i="12"/>
  <c r="V287" i="12"/>
  <c r="H287" i="12"/>
  <c r="AD287" i="12" s="1"/>
  <c r="B287" i="12"/>
  <c r="D287" i="12" s="1"/>
  <c r="AE279" i="12"/>
  <c r="Z279" i="12"/>
  <c r="AF279" i="12" s="1"/>
  <c r="AG279" i="12" s="1"/>
  <c r="G279" i="12" s="1"/>
  <c r="V279" i="12"/>
  <c r="H279" i="12"/>
  <c r="AD279" i="12" s="1"/>
  <c r="B279" i="12"/>
  <c r="D279" i="12"/>
  <c r="AE278" i="12"/>
  <c r="Z278" i="12"/>
  <c r="V278" i="12"/>
  <c r="AF278" i="12" s="1"/>
  <c r="H278" i="12"/>
  <c r="AD278" i="12" s="1"/>
  <c r="B278" i="12"/>
  <c r="D278" i="12" s="1"/>
  <c r="AE277" i="12"/>
  <c r="Z277" i="12"/>
  <c r="V277" i="12"/>
  <c r="H277" i="12"/>
  <c r="AD277" i="12" s="1"/>
  <c r="B277" i="12"/>
  <c r="D277" i="12" s="1"/>
  <c r="AE276" i="12"/>
  <c r="Z276" i="12"/>
  <c r="V276" i="12"/>
  <c r="H276" i="12"/>
  <c r="AD276" i="12"/>
  <c r="B276" i="12"/>
  <c r="D276" i="12" s="1"/>
  <c r="AE274" i="12"/>
  <c r="Z274" i="12"/>
  <c r="V274" i="12"/>
  <c r="H274" i="12"/>
  <c r="AD274" i="12"/>
  <c r="B274" i="12"/>
  <c r="D274" i="12"/>
  <c r="AF274" i="12" s="1"/>
  <c r="AG274" i="12" s="1"/>
  <c r="G274" i="12" s="1"/>
  <c r="AE273" i="12"/>
  <c r="Z273" i="12"/>
  <c r="V273" i="12"/>
  <c r="H273" i="12"/>
  <c r="AD273" i="12"/>
  <c r="B273" i="12"/>
  <c r="D273" i="12" s="1"/>
  <c r="AE271" i="12"/>
  <c r="Z271" i="12"/>
  <c r="V271" i="12"/>
  <c r="H271" i="12"/>
  <c r="AD271" i="12" s="1"/>
  <c r="B271" i="12"/>
  <c r="D271" i="12" s="1"/>
  <c r="AE270" i="12"/>
  <c r="Z270" i="12"/>
  <c r="V270" i="12"/>
  <c r="H270" i="12"/>
  <c r="AD270" i="12"/>
  <c r="B270" i="12"/>
  <c r="D270" i="12"/>
  <c r="AE268" i="12"/>
  <c r="Z268" i="12"/>
  <c r="AF268" i="12" s="1"/>
  <c r="AG268" i="12" s="1"/>
  <c r="G268" i="12" s="1"/>
  <c r="I268" i="12" s="1"/>
  <c r="V268" i="12"/>
  <c r="H268" i="12"/>
  <c r="AD268" i="12" s="1"/>
  <c r="B268" i="12"/>
  <c r="D268" i="12" s="1"/>
  <c r="AE267" i="12"/>
  <c r="Z267" i="12"/>
  <c r="V267" i="12"/>
  <c r="H267" i="12"/>
  <c r="AD267" i="12" s="1"/>
  <c r="B267" i="12"/>
  <c r="D267" i="12"/>
  <c r="AE266" i="12"/>
  <c r="Z266" i="12"/>
  <c r="V266" i="12"/>
  <c r="H266" i="12"/>
  <c r="AD266" i="12" s="1"/>
  <c r="B266" i="12"/>
  <c r="D266" i="12" s="1"/>
  <c r="AE265" i="12"/>
  <c r="Z265" i="12"/>
  <c r="V265" i="12"/>
  <c r="AF265" i="12" s="1"/>
  <c r="H265" i="12"/>
  <c r="AD265" i="12" s="1"/>
  <c r="B265" i="12"/>
  <c r="D265" i="12" s="1"/>
  <c r="AE263" i="12"/>
  <c r="Z263" i="12"/>
  <c r="V263" i="12"/>
  <c r="H263" i="12"/>
  <c r="AD263" i="12"/>
  <c r="B263" i="12"/>
  <c r="D263" i="12" s="1"/>
  <c r="AE262" i="12"/>
  <c r="Z262" i="12"/>
  <c r="V262" i="12"/>
  <c r="H262" i="12"/>
  <c r="AD262" i="12"/>
  <c r="B262" i="12"/>
  <c r="D262" i="12"/>
  <c r="AE261" i="12"/>
  <c r="Z261" i="12"/>
  <c r="V261" i="12"/>
  <c r="H261" i="12"/>
  <c r="B261" i="12"/>
  <c r="D261" i="12"/>
  <c r="AE260" i="12"/>
  <c r="Z260" i="12"/>
  <c r="V260" i="12"/>
  <c r="H260" i="12"/>
  <c r="B260" i="12"/>
  <c r="D260" i="12" s="1"/>
  <c r="AF260" i="12"/>
  <c r="AE258" i="12"/>
  <c r="Z258" i="12"/>
  <c r="V258" i="12"/>
  <c r="H258" i="12"/>
  <c r="B258" i="12"/>
  <c r="D258" i="12"/>
  <c r="AE257" i="12"/>
  <c r="Z257" i="12"/>
  <c r="V257" i="12"/>
  <c r="H257" i="12"/>
  <c r="B257" i="12"/>
  <c r="D257" i="12"/>
  <c r="AE256" i="12"/>
  <c r="Z256" i="12"/>
  <c r="V256" i="12"/>
  <c r="H256" i="12"/>
  <c r="B256" i="12"/>
  <c r="D256" i="12"/>
  <c r="AE255" i="12"/>
  <c r="Z255" i="12"/>
  <c r="V255" i="12"/>
  <c r="H255" i="12"/>
  <c r="B255" i="12"/>
  <c r="D255" i="12" s="1"/>
  <c r="AE253" i="12"/>
  <c r="Z253" i="12"/>
  <c r="V253" i="12"/>
  <c r="H253" i="12"/>
  <c r="B253" i="12"/>
  <c r="D253" i="12" s="1"/>
  <c r="AF253" i="12" s="1"/>
  <c r="AE252" i="12"/>
  <c r="Z252" i="12"/>
  <c r="V252" i="12"/>
  <c r="H252" i="12"/>
  <c r="B252" i="12"/>
  <c r="D252" i="12"/>
  <c r="AE251" i="12"/>
  <c r="Z251" i="12"/>
  <c r="V251" i="12"/>
  <c r="H251" i="12"/>
  <c r="B251" i="12"/>
  <c r="D251" i="12"/>
  <c r="AF251" i="12" s="1"/>
  <c r="AE250" i="12"/>
  <c r="Z250" i="12"/>
  <c r="V250" i="12"/>
  <c r="H250" i="12"/>
  <c r="B250" i="12"/>
  <c r="D250" i="12"/>
  <c r="AE249" i="12"/>
  <c r="Z249" i="12"/>
  <c r="V249" i="12"/>
  <c r="H249" i="12"/>
  <c r="B249" i="12"/>
  <c r="D249" i="12"/>
  <c r="AE248" i="12"/>
  <c r="Z248" i="12"/>
  <c r="V248" i="12"/>
  <c r="H248" i="12"/>
  <c r="B248" i="12"/>
  <c r="D248" i="12" s="1"/>
  <c r="AE245" i="12"/>
  <c r="Z245" i="12"/>
  <c r="V245" i="12"/>
  <c r="H245" i="12"/>
  <c r="B245" i="12"/>
  <c r="D245" i="12" s="1"/>
  <c r="AE244" i="12"/>
  <c r="Z244" i="12"/>
  <c r="V244" i="12"/>
  <c r="H244" i="12"/>
  <c r="B244" i="12"/>
  <c r="D244" i="12" s="1"/>
  <c r="AF244" i="12" s="1"/>
  <c r="AE243" i="12"/>
  <c r="Z243" i="12"/>
  <c r="V243" i="12"/>
  <c r="H243" i="12"/>
  <c r="B243" i="12"/>
  <c r="D243" i="12"/>
  <c r="AF243" i="12" s="1"/>
  <c r="AE242" i="12"/>
  <c r="Z242" i="12"/>
  <c r="V242" i="12"/>
  <c r="H242" i="12"/>
  <c r="B242" i="12"/>
  <c r="D242" i="12"/>
  <c r="AE240" i="12"/>
  <c r="Z240" i="12"/>
  <c r="V240" i="12"/>
  <c r="H240" i="12"/>
  <c r="B240" i="12"/>
  <c r="D240" i="12" s="1"/>
  <c r="AE239" i="12"/>
  <c r="Z239" i="12"/>
  <c r="V239" i="12"/>
  <c r="H239" i="12"/>
  <c r="B239" i="12"/>
  <c r="D239" i="12" s="1"/>
  <c r="AE237" i="12"/>
  <c r="Z237" i="12"/>
  <c r="V237" i="12"/>
  <c r="H237" i="12"/>
  <c r="B237" i="12"/>
  <c r="D237" i="12"/>
  <c r="AE236" i="12"/>
  <c r="Z236" i="12"/>
  <c r="V236" i="12"/>
  <c r="H236" i="12"/>
  <c r="B236" i="12"/>
  <c r="D236" i="12" s="1"/>
  <c r="AF236" i="12" s="1"/>
  <c r="AG236" i="12" s="1"/>
  <c r="G236" i="12" s="1"/>
  <c r="AE234" i="12"/>
  <c r="Z234" i="12"/>
  <c r="V234" i="12"/>
  <c r="H234" i="12"/>
  <c r="B234" i="12"/>
  <c r="D234" i="12" s="1"/>
  <c r="AE233" i="12"/>
  <c r="Z233" i="12"/>
  <c r="V233" i="12"/>
  <c r="H233" i="12"/>
  <c r="B233" i="12"/>
  <c r="D233" i="12" s="1"/>
  <c r="AE232" i="12"/>
  <c r="Z232" i="12"/>
  <c r="V232" i="12"/>
  <c r="AF232" i="12" s="1"/>
  <c r="H232" i="12"/>
  <c r="AD232" i="12" s="1"/>
  <c r="B232" i="12"/>
  <c r="D232" i="12" s="1"/>
  <c r="AE231" i="12"/>
  <c r="Z231" i="12"/>
  <c r="V231" i="12"/>
  <c r="H231" i="12"/>
  <c r="AD231" i="12" s="1"/>
  <c r="B231" i="12"/>
  <c r="D231" i="12" s="1"/>
  <c r="AE229" i="12"/>
  <c r="Z229" i="12"/>
  <c r="V229" i="12"/>
  <c r="H229" i="12"/>
  <c r="B229" i="12"/>
  <c r="D229" i="12" s="1"/>
  <c r="AE228" i="12"/>
  <c r="Z228" i="12"/>
  <c r="V228" i="12"/>
  <c r="H228" i="12"/>
  <c r="B228" i="12"/>
  <c r="D228" i="12" s="1"/>
  <c r="AE227" i="12"/>
  <c r="Z227" i="12"/>
  <c r="V227" i="12"/>
  <c r="H227" i="12"/>
  <c r="B227" i="12"/>
  <c r="D227" i="12" s="1"/>
  <c r="AE226" i="12"/>
  <c r="Z226" i="12"/>
  <c r="V226" i="12"/>
  <c r="H226" i="12"/>
  <c r="B226" i="12"/>
  <c r="D226" i="12" s="1"/>
  <c r="AE224" i="12"/>
  <c r="Z224" i="12"/>
  <c r="V224" i="12"/>
  <c r="H224" i="12"/>
  <c r="B224" i="12"/>
  <c r="D224" i="12" s="1"/>
  <c r="AE223" i="12"/>
  <c r="Z223" i="12"/>
  <c r="V223" i="12"/>
  <c r="H223" i="12"/>
  <c r="B223" i="12"/>
  <c r="D223" i="12" s="1"/>
  <c r="AE222" i="12"/>
  <c r="Z222" i="12"/>
  <c r="V222" i="12"/>
  <c r="H222" i="12"/>
  <c r="B222" i="12"/>
  <c r="D222" i="12" s="1"/>
  <c r="AE221" i="12"/>
  <c r="Z221" i="12"/>
  <c r="V221" i="12"/>
  <c r="H221" i="12"/>
  <c r="B221" i="12"/>
  <c r="D221" i="12" s="1"/>
  <c r="AE219" i="12"/>
  <c r="Z219" i="12"/>
  <c r="V219" i="12"/>
  <c r="H219" i="12"/>
  <c r="B219" i="12"/>
  <c r="D219" i="12"/>
  <c r="AE218" i="12"/>
  <c r="Z218" i="12"/>
  <c r="V218" i="12"/>
  <c r="H218" i="12"/>
  <c r="B218" i="12"/>
  <c r="D218" i="12" s="1"/>
  <c r="AE217" i="12"/>
  <c r="Z217" i="12"/>
  <c r="V217" i="12"/>
  <c r="AF217" i="12" s="1"/>
  <c r="H217" i="12"/>
  <c r="B217" i="12"/>
  <c r="D217" i="12" s="1"/>
  <c r="AE216" i="12"/>
  <c r="Z216" i="12"/>
  <c r="V216" i="12"/>
  <c r="H216" i="12"/>
  <c r="B216" i="12"/>
  <c r="D216" i="12"/>
  <c r="AE215" i="12"/>
  <c r="Z215" i="12"/>
  <c r="V215" i="12"/>
  <c r="H215" i="12"/>
  <c r="B215" i="12"/>
  <c r="D215" i="12" s="1"/>
  <c r="AE214" i="12"/>
  <c r="Z214" i="12"/>
  <c r="V214" i="12"/>
  <c r="AF214" i="12" s="1"/>
  <c r="H214" i="12"/>
  <c r="B214" i="12"/>
  <c r="D214" i="12" s="1"/>
  <c r="AE211" i="12"/>
  <c r="Z211" i="12"/>
  <c r="V211" i="12"/>
  <c r="H211" i="12"/>
  <c r="B211" i="12"/>
  <c r="D211" i="12" s="1"/>
  <c r="AE210" i="12"/>
  <c r="Z210" i="12"/>
  <c r="V210" i="12"/>
  <c r="H210" i="12"/>
  <c r="B210" i="12"/>
  <c r="D210" i="12" s="1"/>
  <c r="AE209" i="12"/>
  <c r="Z209" i="12"/>
  <c r="V209" i="12"/>
  <c r="H209" i="12"/>
  <c r="B209" i="12"/>
  <c r="D209" i="12" s="1"/>
  <c r="AF209" i="12" s="1"/>
  <c r="AE208" i="12"/>
  <c r="Z208" i="12"/>
  <c r="V208" i="12"/>
  <c r="H208" i="12"/>
  <c r="B208" i="12"/>
  <c r="D208" i="12"/>
  <c r="AE206" i="12"/>
  <c r="Z206" i="12"/>
  <c r="V206" i="12"/>
  <c r="H206" i="12"/>
  <c r="B206" i="12"/>
  <c r="D206" i="12"/>
  <c r="AE205" i="12"/>
  <c r="Z205" i="12"/>
  <c r="V205" i="12"/>
  <c r="H205" i="12"/>
  <c r="B205" i="12"/>
  <c r="D205" i="12" s="1"/>
  <c r="AE203" i="12"/>
  <c r="Z203" i="12"/>
  <c r="V203" i="12"/>
  <c r="H203" i="12"/>
  <c r="AD203" i="12" s="1"/>
  <c r="B203" i="12"/>
  <c r="D203" i="12"/>
  <c r="AE202" i="12"/>
  <c r="Z202" i="12"/>
  <c r="V202" i="12"/>
  <c r="H202" i="12"/>
  <c r="B202" i="12"/>
  <c r="D202" i="12"/>
  <c r="AF202" i="12" s="1"/>
  <c r="AG202" i="12" s="1"/>
  <c r="G202" i="12" s="1"/>
  <c r="W202" i="12" s="1"/>
  <c r="AE200" i="12"/>
  <c r="Z200" i="12"/>
  <c r="V200" i="12"/>
  <c r="H200" i="12"/>
  <c r="AD200" i="12" s="1"/>
  <c r="B200" i="12"/>
  <c r="D200" i="12" s="1"/>
  <c r="AE199" i="12"/>
  <c r="Z199" i="12"/>
  <c r="V199" i="12"/>
  <c r="H199" i="12"/>
  <c r="AD199" i="12" s="1"/>
  <c r="B199" i="12"/>
  <c r="D199" i="12"/>
  <c r="AE198" i="12"/>
  <c r="Z198" i="12"/>
  <c r="V198" i="12"/>
  <c r="AF198" i="12" s="1"/>
  <c r="H198" i="12"/>
  <c r="AD198" i="12" s="1"/>
  <c r="B198" i="12"/>
  <c r="D198" i="12"/>
  <c r="AE197" i="12"/>
  <c r="Z197" i="12"/>
  <c r="V197" i="12"/>
  <c r="H197" i="12"/>
  <c r="AD197" i="12"/>
  <c r="B197" i="12"/>
  <c r="D197" i="12" s="1"/>
  <c r="AE195" i="12"/>
  <c r="Z195" i="12"/>
  <c r="V195" i="12"/>
  <c r="H195" i="12"/>
  <c r="AD195" i="12" s="1"/>
  <c r="B195" i="12"/>
  <c r="D195" i="12"/>
  <c r="AE194" i="12"/>
  <c r="Z194" i="12"/>
  <c r="V194" i="12"/>
  <c r="H194" i="12"/>
  <c r="AD194" i="12"/>
  <c r="B194" i="12"/>
  <c r="D194" i="12"/>
  <c r="AE193" i="12"/>
  <c r="Z193" i="12"/>
  <c r="V193" i="12"/>
  <c r="H193" i="12"/>
  <c r="AD193" i="12"/>
  <c r="B193" i="12"/>
  <c r="D193" i="12" s="1"/>
  <c r="AF193" i="12" s="1"/>
  <c r="AE192" i="12"/>
  <c r="Z192" i="12"/>
  <c r="V192" i="12"/>
  <c r="H192" i="12"/>
  <c r="AD192" i="12"/>
  <c r="B192" i="12"/>
  <c r="D192" i="12" s="1"/>
  <c r="AF192" i="12" s="1"/>
  <c r="AG192" i="12" s="1"/>
  <c r="G192" i="12" s="1"/>
  <c r="AE190" i="12"/>
  <c r="Z190" i="12"/>
  <c r="V190" i="12"/>
  <c r="H190" i="12"/>
  <c r="AD190" i="12" s="1"/>
  <c r="B190" i="12"/>
  <c r="D190" i="12" s="1"/>
  <c r="AE189" i="12"/>
  <c r="Z189" i="12"/>
  <c r="V189" i="12"/>
  <c r="H189" i="12"/>
  <c r="AD189" i="12"/>
  <c r="B189" i="12"/>
  <c r="D189" i="12"/>
  <c r="AE188" i="12"/>
  <c r="Z188" i="12"/>
  <c r="V188" i="12"/>
  <c r="AF188" i="12" s="1"/>
  <c r="AG188" i="12" s="1"/>
  <c r="G188" i="12" s="1"/>
  <c r="F188" i="12" s="1"/>
  <c r="H188" i="12"/>
  <c r="AD188" i="12" s="1"/>
  <c r="B188" i="12"/>
  <c r="D188" i="12" s="1"/>
  <c r="AE187" i="12"/>
  <c r="Z187" i="12"/>
  <c r="V187" i="12"/>
  <c r="H187" i="12"/>
  <c r="AD187" i="12"/>
  <c r="B187" i="12"/>
  <c r="D187" i="12"/>
  <c r="AE185" i="12"/>
  <c r="Z185" i="12"/>
  <c r="V185" i="12"/>
  <c r="H185" i="12"/>
  <c r="AD185" i="12" s="1"/>
  <c r="B185" i="12"/>
  <c r="D185" i="12" s="1"/>
  <c r="AE184" i="12"/>
  <c r="Z184" i="12"/>
  <c r="V184" i="12"/>
  <c r="H184" i="12"/>
  <c r="AD184" i="12"/>
  <c r="B184" i="12"/>
  <c r="D184" i="12" s="1"/>
  <c r="AE183" i="12"/>
  <c r="Z183" i="12"/>
  <c r="V183" i="12"/>
  <c r="H183" i="12"/>
  <c r="AD183" i="12" s="1"/>
  <c r="B183" i="12"/>
  <c r="D183" i="12" s="1"/>
  <c r="AE182" i="12"/>
  <c r="Z182" i="12"/>
  <c r="V182" i="12"/>
  <c r="H182" i="12"/>
  <c r="AD182" i="12"/>
  <c r="B182" i="12"/>
  <c r="D182" i="12"/>
  <c r="AF182" i="12" s="1"/>
  <c r="AE181" i="12"/>
  <c r="Z181" i="12"/>
  <c r="V181" i="12"/>
  <c r="H181" i="12"/>
  <c r="AD181" i="12"/>
  <c r="B181" i="12"/>
  <c r="D181" i="12"/>
  <c r="AE180" i="12"/>
  <c r="Z180" i="12"/>
  <c r="V180" i="12"/>
  <c r="H180" i="12"/>
  <c r="AD180" i="12" s="1"/>
  <c r="B180" i="12"/>
  <c r="D180" i="12"/>
  <c r="AE177" i="12"/>
  <c r="Z177" i="12"/>
  <c r="V177" i="12"/>
  <c r="H177" i="12"/>
  <c r="AD177" i="12"/>
  <c r="B177" i="12"/>
  <c r="D177" i="12"/>
  <c r="AF177" i="12"/>
  <c r="AG177" i="12" s="1"/>
  <c r="G177" i="12" s="1"/>
  <c r="AE176" i="12"/>
  <c r="Z176" i="12"/>
  <c r="V176" i="12"/>
  <c r="H176" i="12"/>
  <c r="AD176" i="12"/>
  <c r="B176" i="12"/>
  <c r="D176" i="12"/>
  <c r="AE175" i="12"/>
  <c r="Z175" i="12"/>
  <c r="V175" i="12"/>
  <c r="AF175" i="12" s="1"/>
  <c r="H175" i="12"/>
  <c r="AD175" i="12" s="1"/>
  <c r="B175" i="12"/>
  <c r="D175" i="12" s="1"/>
  <c r="AE174" i="12"/>
  <c r="Z174" i="12"/>
  <c r="AF174" i="12" s="1"/>
  <c r="V174" i="12"/>
  <c r="H174" i="12"/>
  <c r="AD174" i="12" s="1"/>
  <c r="B174" i="12"/>
  <c r="D174" i="12"/>
  <c r="AE172" i="12"/>
  <c r="Z172" i="12"/>
  <c r="V172" i="12"/>
  <c r="H172" i="12"/>
  <c r="AD172" i="12" s="1"/>
  <c r="B172" i="12"/>
  <c r="D172" i="12" s="1"/>
  <c r="AE171" i="12"/>
  <c r="Z171" i="12"/>
  <c r="V171" i="12"/>
  <c r="H171" i="12"/>
  <c r="AD171" i="12" s="1"/>
  <c r="B171" i="12"/>
  <c r="D171" i="12"/>
  <c r="AE169" i="12"/>
  <c r="Z169" i="12"/>
  <c r="V169" i="12"/>
  <c r="H169" i="12"/>
  <c r="AD169" i="12"/>
  <c r="B169" i="12"/>
  <c r="D169" i="12" s="1"/>
  <c r="AE168" i="12"/>
  <c r="Z168" i="12"/>
  <c r="V168" i="12"/>
  <c r="H168" i="12"/>
  <c r="AD168" i="12" s="1"/>
  <c r="B168" i="12"/>
  <c r="D168" i="12"/>
  <c r="AE166" i="12"/>
  <c r="Z166" i="12"/>
  <c r="V166" i="12"/>
  <c r="H166" i="12"/>
  <c r="AD166" i="12"/>
  <c r="B166" i="12"/>
  <c r="D166" i="12" s="1"/>
  <c r="AE165" i="12"/>
  <c r="Z165" i="12"/>
  <c r="V165" i="12"/>
  <c r="H165" i="12"/>
  <c r="AD165" i="12" s="1"/>
  <c r="B165" i="12"/>
  <c r="D165" i="12" s="1"/>
  <c r="AE164" i="12"/>
  <c r="Z164" i="12"/>
  <c r="V164" i="12"/>
  <c r="H164" i="12"/>
  <c r="AD164" i="12"/>
  <c r="B164" i="12"/>
  <c r="D164" i="12"/>
  <c r="AE163" i="12"/>
  <c r="Z163" i="12"/>
  <c r="V163" i="12"/>
  <c r="H163" i="12"/>
  <c r="AD163" i="12" s="1"/>
  <c r="B163" i="12"/>
  <c r="D163" i="12" s="1"/>
  <c r="AF163" i="12" s="1"/>
  <c r="AE161" i="12"/>
  <c r="Z161" i="12"/>
  <c r="V161" i="12"/>
  <c r="H161" i="12"/>
  <c r="AD161" i="12" s="1"/>
  <c r="B161" i="12"/>
  <c r="D161" i="12"/>
  <c r="AE160" i="12"/>
  <c r="Z160" i="12"/>
  <c r="V160" i="12"/>
  <c r="H160" i="12"/>
  <c r="AD160" i="12"/>
  <c r="B160" i="12"/>
  <c r="D160" i="12"/>
  <c r="AE159" i="12"/>
  <c r="Z159" i="12"/>
  <c r="V159" i="12"/>
  <c r="H159" i="12"/>
  <c r="AD159" i="12" s="1"/>
  <c r="B159" i="12"/>
  <c r="D159" i="12" s="1"/>
  <c r="AE158" i="12"/>
  <c r="Z158" i="12"/>
  <c r="AF158" i="12" s="1"/>
  <c r="V158" i="12"/>
  <c r="H158" i="12"/>
  <c r="AD158" i="12" s="1"/>
  <c r="B158" i="12"/>
  <c r="D158" i="12"/>
  <c r="AE156" i="12"/>
  <c r="Z156" i="12"/>
  <c r="V156" i="12"/>
  <c r="H156" i="12"/>
  <c r="AD156" i="12"/>
  <c r="B156" i="12"/>
  <c r="D156" i="12"/>
  <c r="AE155" i="12"/>
  <c r="Z155" i="12"/>
  <c r="V155" i="12"/>
  <c r="H155" i="12"/>
  <c r="AD155" i="12" s="1"/>
  <c r="B155" i="12"/>
  <c r="D155" i="12" s="1"/>
  <c r="AE154" i="12"/>
  <c r="Z154" i="12"/>
  <c r="V154" i="12"/>
  <c r="H154" i="12"/>
  <c r="AD154" i="12" s="1"/>
  <c r="B154" i="12"/>
  <c r="D154" i="12"/>
  <c r="AE153" i="12"/>
  <c r="Z153" i="12"/>
  <c r="AF153" i="12" s="1"/>
  <c r="V153" i="12"/>
  <c r="H153" i="12"/>
  <c r="AD153" i="12" s="1"/>
  <c r="B153" i="12"/>
  <c r="D153" i="12"/>
  <c r="AE151" i="12"/>
  <c r="Z151" i="12"/>
  <c r="V151" i="12"/>
  <c r="H151" i="12"/>
  <c r="AD151" i="12" s="1"/>
  <c r="B151" i="12"/>
  <c r="D151" i="12"/>
  <c r="AF151" i="12" s="1"/>
  <c r="AE150" i="12"/>
  <c r="Z150" i="12"/>
  <c r="V150" i="12"/>
  <c r="H150" i="12"/>
  <c r="AD150" i="12" s="1"/>
  <c r="B150" i="12"/>
  <c r="D150" i="12"/>
  <c r="AF150" i="12"/>
  <c r="AE149" i="12"/>
  <c r="Z149" i="12"/>
  <c r="V149" i="12"/>
  <c r="H149" i="12"/>
  <c r="AD149" i="12" s="1"/>
  <c r="B149" i="12"/>
  <c r="D149" i="12"/>
  <c r="AE148" i="12"/>
  <c r="Z148" i="12"/>
  <c r="V148" i="12"/>
  <c r="AF148" i="12" s="1"/>
  <c r="H148" i="12"/>
  <c r="AD148" i="12"/>
  <c r="B148" i="12"/>
  <c r="D148" i="12" s="1"/>
  <c r="AE147" i="12"/>
  <c r="Z147" i="12"/>
  <c r="V147" i="12"/>
  <c r="H147" i="12"/>
  <c r="AD147" i="12" s="1"/>
  <c r="B147" i="12"/>
  <c r="D147" i="12"/>
  <c r="AE146" i="12"/>
  <c r="Z146" i="12"/>
  <c r="V146" i="12"/>
  <c r="AF146" i="12" s="1"/>
  <c r="AG146" i="12" s="1"/>
  <c r="H146" i="12"/>
  <c r="AD146" i="12"/>
  <c r="B146" i="12"/>
  <c r="D146" i="12"/>
  <c r="AE139" i="12"/>
  <c r="Z139" i="12"/>
  <c r="V139" i="12"/>
  <c r="H139" i="12"/>
  <c r="AD139" i="12" s="1"/>
  <c r="B139" i="12"/>
  <c r="D139" i="12" s="1"/>
  <c r="AE138" i="12"/>
  <c r="Z138" i="12"/>
  <c r="AF138" i="12" s="1"/>
  <c r="V138" i="12"/>
  <c r="H138" i="12"/>
  <c r="AD138" i="12" s="1"/>
  <c r="B138" i="12"/>
  <c r="D138" i="12"/>
  <c r="AE137" i="12"/>
  <c r="Z137" i="12"/>
  <c r="V137" i="12"/>
  <c r="H137" i="12"/>
  <c r="AD137" i="12"/>
  <c r="B137" i="12"/>
  <c r="D137" i="12"/>
  <c r="AE136" i="12"/>
  <c r="Z136" i="12"/>
  <c r="AF136" i="12" s="1"/>
  <c r="AG136" i="12" s="1"/>
  <c r="V136" i="12"/>
  <c r="H136" i="12"/>
  <c r="AD136" i="12" s="1"/>
  <c r="B136" i="12"/>
  <c r="D136" i="12"/>
  <c r="AE134" i="12"/>
  <c r="Z134" i="12"/>
  <c r="V134" i="12"/>
  <c r="H134" i="12"/>
  <c r="AD134" i="12" s="1"/>
  <c r="B134" i="12"/>
  <c r="D134" i="12"/>
  <c r="AE133" i="12"/>
  <c r="Z133" i="12"/>
  <c r="V133" i="12"/>
  <c r="H133" i="12"/>
  <c r="AD133" i="12"/>
  <c r="B133" i="12"/>
  <c r="D133" i="12" s="1"/>
  <c r="AE131" i="12"/>
  <c r="Z131" i="12"/>
  <c r="V131" i="12"/>
  <c r="H131" i="12"/>
  <c r="AD131" i="12"/>
  <c r="B131" i="12"/>
  <c r="D131" i="12" s="1"/>
  <c r="AF131" i="12"/>
  <c r="AG131" i="12" s="1"/>
  <c r="G131" i="12" s="1"/>
  <c r="W131" i="12" s="1"/>
  <c r="AE130" i="12"/>
  <c r="Z130" i="12"/>
  <c r="V130" i="12"/>
  <c r="H130" i="12"/>
  <c r="AD130" i="12"/>
  <c r="B130" i="12"/>
  <c r="D130" i="12" s="1"/>
  <c r="AE128" i="12"/>
  <c r="Z128" i="12"/>
  <c r="V128" i="12"/>
  <c r="H128" i="12"/>
  <c r="AD128" i="12" s="1"/>
  <c r="B128" i="12"/>
  <c r="D128" i="12"/>
  <c r="AE127" i="12"/>
  <c r="Z127" i="12"/>
  <c r="V127" i="12"/>
  <c r="H127" i="12"/>
  <c r="AD127" i="12"/>
  <c r="B127" i="12"/>
  <c r="D127" i="12" s="1"/>
  <c r="AF127" i="12"/>
  <c r="AG127" i="12" s="1"/>
  <c r="AE126" i="12"/>
  <c r="Z126" i="12"/>
  <c r="V126" i="12"/>
  <c r="H126" i="12"/>
  <c r="AD126" i="12"/>
  <c r="B126" i="12"/>
  <c r="D126" i="12" s="1"/>
  <c r="AF126" i="12"/>
  <c r="AG126" i="12" s="1"/>
  <c r="G126" i="12" s="1"/>
  <c r="AE125" i="12"/>
  <c r="Z125" i="12"/>
  <c r="V125" i="12"/>
  <c r="H125" i="12"/>
  <c r="AD125" i="12"/>
  <c r="B125" i="12"/>
  <c r="D125" i="12" s="1"/>
  <c r="AE123" i="12"/>
  <c r="Z123" i="12"/>
  <c r="V123" i="12"/>
  <c r="AF123" i="12" s="1"/>
  <c r="AG123" i="12" s="1"/>
  <c r="G123" i="12" s="1"/>
  <c r="H123" i="12"/>
  <c r="AD123" i="12" s="1"/>
  <c r="B123" i="12"/>
  <c r="D123" i="12" s="1"/>
  <c r="AE122" i="12"/>
  <c r="Z122" i="12"/>
  <c r="V122" i="12"/>
  <c r="H122" i="12"/>
  <c r="AD122" i="12"/>
  <c r="B122" i="12"/>
  <c r="D122" i="12"/>
  <c r="AE121" i="12"/>
  <c r="Z121" i="12"/>
  <c r="V121" i="12"/>
  <c r="H121" i="12"/>
  <c r="AD121" i="12"/>
  <c r="B121" i="12"/>
  <c r="D121" i="12" s="1"/>
  <c r="AE120" i="12"/>
  <c r="Z120" i="12"/>
  <c r="V120" i="12"/>
  <c r="H120" i="12"/>
  <c r="AD120" i="12"/>
  <c r="B120" i="12"/>
  <c r="D120" i="12" s="1"/>
  <c r="AF120" i="12" s="1"/>
  <c r="AE118" i="12"/>
  <c r="Z118" i="12"/>
  <c r="V118" i="12"/>
  <c r="AF118" i="12" s="1"/>
  <c r="AG118" i="12" s="1"/>
  <c r="G118" i="12" s="1"/>
  <c r="F118" i="12" s="1"/>
  <c r="AM118" i="12" s="1"/>
  <c r="H118" i="12"/>
  <c r="AD118" i="12"/>
  <c r="B118" i="12"/>
  <c r="D118" i="12" s="1"/>
  <c r="AE117" i="12"/>
  <c r="Z117" i="12"/>
  <c r="V117" i="12"/>
  <c r="H117" i="12"/>
  <c r="AD117" i="12" s="1"/>
  <c r="B117" i="12"/>
  <c r="D117" i="12" s="1"/>
  <c r="AF117" i="12" s="1"/>
  <c r="AG117" i="12" s="1"/>
  <c r="G117" i="12" s="1"/>
  <c r="AE116" i="12"/>
  <c r="Z116" i="12"/>
  <c r="V116" i="12"/>
  <c r="H116" i="12"/>
  <c r="AD116" i="12" s="1"/>
  <c r="B116" i="12"/>
  <c r="D116" i="12" s="1"/>
  <c r="AF116" i="12" s="1"/>
  <c r="AG116" i="12" s="1"/>
  <c r="G116" i="12" s="1"/>
  <c r="AE115" i="12"/>
  <c r="Z115" i="12"/>
  <c r="V115" i="12"/>
  <c r="H115" i="12"/>
  <c r="AD115" i="12"/>
  <c r="B115" i="12"/>
  <c r="D115" i="12" s="1"/>
  <c r="AF115" i="12" s="1"/>
  <c r="AG115" i="12" s="1"/>
  <c r="AE113" i="12"/>
  <c r="Z113" i="12"/>
  <c r="V113" i="12"/>
  <c r="H113" i="12"/>
  <c r="AD113" i="12"/>
  <c r="B113" i="12"/>
  <c r="D113" i="12" s="1"/>
  <c r="AE112" i="12"/>
  <c r="Z112" i="12"/>
  <c r="V112" i="12"/>
  <c r="H112" i="12"/>
  <c r="AD112" i="12" s="1"/>
  <c r="B112" i="12"/>
  <c r="D112" i="12"/>
  <c r="AE111" i="12"/>
  <c r="Z111" i="12"/>
  <c r="V111" i="12"/>
  <c r="AF111" i="12" s="1"/>
  <c r="H111" i="12"/>
  <c r="AD111" i="12"/>
  <c r="B111" i="12"/>
  <c r="D111" i="12"/>
  <c r="AG111" i="12"/>
  <c r="G111" i="12" s="1"/>
  <c r="AE110" i="12"/>
  <c r="Z110" i="12"/>
  <c r="V110" i="12"/>
  <c r="AF110" i="12" s="1"/>
  <c r="H110" i="12"/>
  <c r="AD110" i="12"/>
  <c r="B110" i="12"/>
  <c r="D110" i="12"/>
  <c r="AE109" i="12"/>
  <c r="Z109" i="12"/>
  <c r="V109" i="12"/>
  <c r="H109" i="12"/>
  <c r="AD109" i="12" s="1"/>
  <c r="B109" i="12"/>
  <c r="D109" i="12" s="1"/>
  <c r="AE108" i="12"/>
  <c r="Z108" i="12"/>
  <c r="V108" i="12"/>
  <c r="H108" i="12"/>
  <c r="AD108" i="12" s="1"/>
  <c r="B108" i="12"/>
  <c r="D108" i="12"/>
  <c r="AE105" i="12"/>
  <c r="Z105" i="12"/>
  <c r="V105" i="12"/>
  <c r="H105" i="12"/>
  <c r="AD105" i="12"/>
  <c r="B105" i="12"/>
  <c r="D105" i="12"/>
  <c r="AE104" i="12"/>
  <c r="Z104" i="12"/>
  <c r="V104" i="12"/>
  <c r="H104" i="12"/>
  <c r="AD104" i="12" s="1"/>
  <c r="B104" i="12"/>
  <c r="D104" i="12"/>
  <c r="AE103" i="12"/>
  <c r="Z103" i="12"/>
  <c r="V103" i="12"/>
  <c r="H103" i="12"/>
  <c r="AD103" i="12" s="1"/>
  <c r="B103" i="12"/>
  <c r="D103" i="12"/>
  <c r="AE102" i="12"/>
  <c r="Z102" i="12"/>
  <c r="V102" i="12"/>
  <c r="H102" i="12"/>
  <c r="AD102" i="12"/>
  <c r="B102" i="12"/>
  <c r="D102" i="12" s="1"/>
  <c r="AE100" i="12"/>
  <c r="Z100" i="12"/>
  <c r="V100" i="12"/>
  <c r="AF100" i="12" s="1"/>
  <c r="H100" i="12"/>
  <c r="AD100" i="12" s="1"/>
  <c r="B100" i="12"/>
  <c r="D100" i="12"/>
  <c r="AE99" i="12"/>
  <c r="Z99" i="12"/>
  <c r="V99" i="12"/>
  <c r="H99" i="12"/>
  <c r="AD99" i="12"/>
  <c r="B99" i="12"/>
  <c r="D99" i="12" s="1"/>
  <c r="AE97" i="12"/>
  <c r="Z97" i="12"/>
  <c r="V97" i="12"/>
  <c r="H97" i="12"/>
  <c r="AD97" i="12"/>
  <c r="B97" i="12"/>
  <c r="D97" i="12"/>
  <c r="AE96" i="12"/>
  <c r="Z96" i="12"/>
  <c r="V96" i="12"/>
  <c r="H96" i="12"/>
  <c r="AD96" i="12" s="1"/>
  <c r="B96" i="12"/>
  <c r="D96" i="12"/>
  <c r="AE94" i="12"/>
  <c r="Z94" i="12"/>
  <c r="V94" i="12"/>
  <c r="H94" i="12"/>
  <c r="AD94" i="12"/>
  <c r="B94" i="12"/>
  <c r="D94" i="12"/>
  <c r="AE93" i="12"/>
  <c r="Z93" i="12"/>
  <c r="V93" i="12"/>
  <c r="H93" i="12"/>
  <c r="AD93" i="12" s="1"/>
  <c r="B93" i="12"/>
  <c r="D93" i="12" s="1"/>
  <c r="AE92" i="12"/>
  <c r="Z92" i="12"/>
  <c r="V92" i="12"/>
  <c r="H92" i="12"/>
  <c r="AD92" i="12"/>
  <c r="B92" i="12"/>
  <c r="D92" i="12"/>
  <c r="AE91" i="12"/>
  <c r="Z91" i="12"/>
  <c r="V91" i="12"/>
  <c r="AF91" i="12" s="1"/>
  <c r="H91" i="12"/>
  <c r="AD91" i="12" s="1"/>
  <c r="B91" i="12"/>
  <c r="D91" i="12" s="1"/>
  <c r="AE89" i="12"/>
  <c r="Z89" i="12"/>
  <c r="V89" i="12"/>
  <c r="H89" i="12"/>
  <c r="AD89" i="12"/>
  <c r="B89" i="12"/>
  <c r="D89" i="12"/>
  <c r="AE88" i="12"/>
  <c r="Z88" i="12"/>
  <c r="V88" i="12"/>
  <c r="H88" i="12"/>
  <c r="AD88" i="12" s="1"/>
  <c r="B88" i="12"/>
  <c r="D88" i="12" s="1"/>
  <c r="AF88" i="12"/>
  <c r="AE87" i="12"/>
  <c r="Z87" i="12"/>
  <c r="V87" i="12"/>
  <c r="H87" i="12"/>
  <c r="AD87" i="12" s="1"/>
  <c r="B87" i="12"/>
  <c r="D87" i="12" s="1"/>
  <c r="AE86" i="12"/>
  <c r="Z86" i="12"/>
  <c r="V86" i="12"/>
  <c r="H86" i="12"/>
  <c r="AD86" i="12" s="1"/>
  <c r="B86" i="12"/>
  <c r="D86" i="12" s="1"/>
  <c r="AE84" i="12"/>
  <c r="Z84" i="12"/>
  <c r="AF84" i="12" s="1"/>
  <c r="V84" i="12"/>
  <c r="H84" i="12"/>
  <c r="AD84" i="12" s="1"/>
  <c r="B84" i="12"/>
  <c r="D84" i="12"/>
  <c r="AE83" i="12"/>
  <c r="Z83" i="12"/>
  <c r="V83" i="12"/>
  <c r="H83" i="12"/>
  <c r="AD83" i="12"/>
  <c r="B83" i="12"/>
  <c r="D83" i="12"/>
  <c r="AE82" i="12"/>
  <c r="Z82" i="12"/>
  <c r="V82" i="12"/>
  <c r="H82" i="12"/>
  <c r="AD82" i="12"/>
  <c r="B82" i="12"/>
  <c r="D82" i="12" s="1"/>
  <c r="AE81" i="12"/>
  <c r="Z81" i="12"/>
  <c r="V81" i="12"/>
  <c r="H81" i="12"/>
  <c r="AD81" i="12" s="1"/>
  <c r="B81" i="12"/>
  <c r="D81" i="12" s="1"/>
  <c r="AE79" i="12"/>
  <c r="Z79" i="12"/>
  <c r="V79" i="12"/>
  <c r="H79" i="12"/>
  <c r="AD79" i="12"/>
  <c r="B79" i="12"/>
  <c r="D79" i="12"/>
  <c r="AF79" i="12" s="1"/>
  <c r="AG79" i="12" s="1"/>
  <c r="G79" i="12" s="1"/>
  <c r="AE78" i="12"/>
  <c r="Z78" i="12"/>
  <c r="V78" i="12"/>
  <c r="H78" i="12"/>
  <c r="AD78" i="12"/>
  <c r="B78" i="12"/>
  <c r="D78" i="12"/>
  <c r="AE77" i="12"/>
  <c r="Z77" i="12"/>
  <c r="V77" i="12"/>
  <c r="H77" i="12"/>
  <c r="AD77" i="12" s="1"/>
  <c r="B77" i="12"/>
  <c r="D77" i="12" s="1"/>
  <c r="AE76" i="12"/>
  <c r="Z76" i="12"/>
  <c r="V76" i="12"/>
  <c r="AF76" i="12" s="1"/>
  <c r="AG76" i="12" s="1"/>
  <c r="G76" i="12" s="1"/>
  <c r="H76" i="12"/>
  <c r="AD76" i="12"/>
  <c r="B76" i="12"/>
  <c r="D76" i="12"/>
  <c r="AE75" i="12"/>
  <c r="Z75" i="12"/>
  <c r="V75" i="12"/>
  <c r="H75" i="12"/>
  <c r="AD75" i="12" s="1"/>
  <c r="AG75" i="12" s="1"/>
  <c r="G75" i="12" s="1"/>
  <c r="B75" i="12"/>
  <c r="D75" i="12" s="1"/>
  <c r="AF75" i="12" s="1"/>
  <c r="AE74" i="12"/>
  <c r="Z74" i="12"/>
  <c r="V74" i="12"/>
  <c r="H74" i="12"/>
  <c r="AD74" i="12" s="1"/>
  <c r="B74" i="12"/>
  <c r="D74" i="12" s="1"/>
  <c r="AF74" i="12"/>
  <c r="AG74" i="12" s="1"/>
  <c r="G74" i="12" s="1"/>
  <c r="W74" i="12" s="1"/>
  <c r="AE71" i="12"/>
  <c r="Z71" i="12"/>
  <c r="V71" i="12"/>
  <c r="H71" i="12"/>
  <c r="AD71" i="12"/>
  <c r="B71" i="12"/>
  <c r="D71" i="12" s="1"/>
  <c r="AF71" i="12"/>
  <c r="AE70" i="12"/>
  <c r="Z70" i="12"/>
  <c r="V70" i="12"/>
  <c r="H70" i="12"/>
  <c r="AD70" i="12" s="1"/>
  <c r="B70" i="12"/>
  <c r="D70" i="12" s="1"/>
  <c r="AE69" i="12"/>
  <c r="Z69" i="12"/>
  <c r="V69" i="12"/>
  <c r="H69" i="12"/>
  <c r="AD69" i="12"/>
  <c r="B69" i="12"/>
  <c r="D69" i="12" s="1"/>
  <c r="AE68" i="12"/>
  <c r="Z68" i="12"/>
  <c r="V68" i="12"/>
  <c r="H68" i="12"/>
  <c r="AD68" i="12" s="1"/>
  <c r="B68" i="12"/>
  <c r="D68" i="12" s="1"/>
  <c r="AE66" i="12"/>
  <c r="Z66" i="12"/>
  <c r="V66" i="12"/>
  <c r="H66" i="12"/>
  <c r="AD66" i="12"/>
  <c r="B66" i="12"/>
  <c r="D66" i="12"/>
  <c r="AE65" i="12"/>
  <c r="Z65" i="12"/>
  <c r="V65" i="12"/>
  <c r="H65" i="12"/>
  <c r="AD65" i="12" s="1"/>
  <c r="B65" i="12"/>
  <c r="D65" i="12"/>
  <c r="AE63" i="12"/>
  <c r="Z63" i="12"/>
  <c r="V63" i="12"/>
  <c r="H63" i="12"/>
  <c r="AD63" i="12"/>
  <c r="B63" i="12"/>
  <c r="D63" i="12"/>
  <c r="AE62" i="12"/>
  <c r="Z62" i="12"/>
  <c r="V62" i="12"/>
  <c r="H62" i="12"/>
  <c r="AD62" i="12" s="1"/>
  <c r="B62" i="12"/>
  <c r="D62" i="12" s="1"/>
  <c r="AE60" i="12"/>
  <c r="Z60" i="12"/>
  <c r="V60" i="12"/>
  <c r="H60" i="12"/>
  <c r="AD60" i="12" s="1"/>
  <c r="B60" i="12"/>
  <c r="D60" i="12"/>
  <c r="AE59" i="12"/>
  <c r="Z59" i="12"/>
  <c r="V59" i="12"/>
  <c r="H59" i="12"/>
  <c r="AD59" i="12" s="1"/>
  <c r="B59" i="12"/>
  <c r="D59" i="12" s="1"/>
  <c r="AE58" i="12"/>
  <c r="Z58" i="12"/>
  <c r="V58" i="12"/>
  <c r="H58" i="12"/>
  <c r="AD58" i="12"/>
  <c r="B58" i="12"/>
  <c r="D58" i="12" s="1"/>
  <c r="AE57" i="12"/>
  <c r="Z57" i="12"/>
  <c r="V57" i="12"/>
  <c r="H57" i="12"/>
  <c r="AD57" i="12"/>
  <c r="B57" i="12"/>
  <c r="D57" i="12"/>
  <c r="AE55" i="12"/>
  <c r="Z55" i="12"/>
  <c r="V55" i="12"/>
  <c r="H55" i="12"/>
  <c r="AD55" i="12"/>
  <c r="B55" i="12"/>
  <c r="D55" i="12"/>
  <c r="AE54" i="12"/>
  <c r="Z54" i="12"/>
  <c r="V54" i="12"/>
  <c r="H54" i="12"/>
  <c r="AD54" i="12" s="1"/>
  <c r="B54" i="12"/>
  <c r="D54" i="12" s="1"/>
  <c r="AE53" i="12"/>
  <c r="Z53" i="12"/>
  <c r="V53" i="12"/>
  <c r="H53" i="12"/>
  <c r="AD53" i="12"/>
  <c r="B53" i="12"/>
  <c r="D53" i="12"/>
  <c r="AE52" i="12"/>
  <c r="Z52" i="12"/>
  <c r="V52" i="12"/>
  <c r="H52" i="12"/>
  <c r="AD52" i="12" s="1"/>
  <c r="B52" i="12"/>
  <c r="D52" i="12" s="1"/>
  <c r="AE50" i="12"/>
  <c r="Z50" i="12"/>
  <c r="V50" i="12"/>
  <c r="H50" i="12"/>
  <c r="AD50" i="12"/>
  <c r="B50" i="12"/>
  <c r="D50" i="12"/>
  <c r="AE49" i="12"/>
  <c r="Z49" i="12"/>
  <c r="V49" i="12"/>
  <c r="H49" i="12"/>
  <c r="AD49" i="12" s="1"/>
  <c r="B49" i="12"/>
  <c r="D49" i="12" s="1"/>
  <c r="AE48" i="12"/>
  <c r="Z48" i="12"/>
  <c r="V48" i="12"/>
  <c r="H48" i="12"/>
  <c r="AD48" i="12"/>
  <c r="B48" i="12"/>
  <c r="D48" i="12" s="1"/>
  <c r="AE47" i="12"/>
  <c r="Z47" i="12"/>
  <c r="V47" i="12"/>
  <c r="H47" i="12"/>
  <c r="AD47" i="12" s="1"/>
  <c r="B47" i="12"/>
  <c r="D47" i="12" s="1"/>
  <c r="AE45" i="12"/>
  <c r="Z45" i="12"/>
  <c r="V45" i="12"/>
  <c r="H45" i="12"/>
  <c r="AD45" i="12" s="1"/>
  <c r="B45" i="12"/>
  <c r="D45" i="12"/>
  <c r="AE44" i="12"/>
  <c r="Z44" i="12"/>
  <c r="V44" i="12"/>
  <c r="H44" i="12"/>
  <c r="AD44" i="12"/>
  <c r="B44" i="12"/>
  <c r="D44" i="12" s="1"/>
  <c r="AE43" i="12"/>
  <c r="Z43" i="12"/>
  <c r="V43" i="12"/>
  <c r="H43" i="12"/>
  <c r="AD43" i="12"/>
  <c r="B43" i="12"/>
  <c r="D43" i="12"/>
  <c r="AE42" i="12"/>
  <c r="Z42" i="12"/>
  <c r="V42" i="12"/>
  <c r="H42" i="12"/>
  <c r="AD42" i="12" s="1"/>
  <c r="B42" i="12"/>
  <c r="D42" i="12" s="1"/>
  <c r="AE41" i="12"/>
  <c r="Z41" i="12"/>
  <c r="V41" i="12"/>
  <c r="H41" i="12"/>
  <c r="AD41" i="12" s="1"/>
  <c r="B41" i="12"/>
  <c r="D41" i="12"/>
  <c r="AE40" i="12"/>
  <c r="Z40" i="12"/>
  <c r="V40" i="12"/>
  <c r="H40" i="12"/>
  <c r="AD40" i="12"/>
  <c r="B40" i="12"/>
  <c r="D40" i="12" s="1"/>
  <c r="AE37" i="12"/>
  <c r="Z37" i="12"/>
  <c r="V37" i="12"/>
  <c r="AF37" i="12" s="1"/>
  <c r="AG37" i="12" s="1"/>
  <c r="G37" i="12" s="1"/>
  <c r="I37" i="12" s="1"/>
  <c r="H37" i="12"/>
  <c r="AD37" i="12"/>
  <c r="B37" i="12"/>
  <c r="D37" i="12"/>
  <c r="AE36" i="12"/>
  <c r="Z36" i="12"/>
  <c r="V36" i="12"/>
  <c r="H36" i="12"/>
  <c r="AD36" i="12" s="1"/>
  <c r="B36" i="12"/>
  <c r="D36" i="12" s="1"/>
  <c r="AE35" i="12"/>
  <c r="Z35" i="12"/>
  <c r="V35" i="12"/>
  <c r="H35" i="12"/>
  <c r="AD35" i="12" s="1"/>
  <c r="B35" i="12"/>
  <c r="D35" i="12" s="1"/>
  <c r="AE34" i="12"/>
  <c r="Z34" i="12"/>
  <c r="V34" i="12"/>
  <c r="H34" i="12"/>
  <c r="AD34" i="12"/>
  <c r="B34" i="12"/>
  <c r="D34" i="12" s="1"/>
  <c r="AE32" i="12"/>
  <c r="Z32" i="12"/>
  <c r="V32" i="12"/>
  <c r="H32" i="12"/>
  <c r="AD32" i="12"/>
  <c r="B32" i="12"/>
  <c r="D32" i="12"/>
  <c r="AF32" i="12" s="1"/>
  <c r="AG32" i="12" s="1"/>
  <c r="G32" i="12" s="1"/>
  <c r="AE31" i="12"/>
  <c r="Z31" i="12"/>
  <c r="V31" i="12"/>
  <c r="H31" i="12"/>
  <c r="AD31" i="12" s="1"/>
  <c r="B31" i="12"/>
  <c r="D31" i="12" s="1"/>
  <c r="AE29" i="12"/>
  <c r="Z29" i="12"/>
  <c r="V29" i="12"/>
  <c r="AF29" i="12" s="1"/>
  <c r="AG29" i="12" s="1"/>
  <c r="G29" i="12" s="1"/>
  <c r="H29" i="12"/>
  <c r="AD29" i="12" s="1"/>
  <c r="B29" i="12"/>
  <c r="D29" i="12"/>
  <c r="AE28" i="12"/>
  <c r="Z28" i="12"/>
  <c r="V28" i="12"/>
  <c r="H28" i="12"/>
  <c r="AD28" i="12"/>
  <c r="B28" i="12"/>
  <c r="D28" i="12" s="1"/>
  <c r="AE26" i="12"/>
  <c r="Z26" i="12"/>
  <c r="V26" i="12"/>
  <c r="H26" i="12"/>
  <c r="AD26" i="12"/>
  <c r="B26" i="12"/>
  <c r="D26" i="12"/>
  <c r="AE25" i="12"/>
  <c r="Z25" i="12"/>
  <c r="V25" i="12"/>
  <c r="H25" i="12"/>
  <c r="AD25" i="12"/>
  <c r="B25" i="12"/>
  <c r="D25" i="12"/>
  <c r="AE24" i="12"/>
  <c r="AG24" i="12" s="1"/>
  <c r="Z24" i="12"/>
  <c r="V24" i="12"/>
  <c r="H24" i="12"/>
  <c r="AD24" i="12" s="1"/>
  <c r="B24" i="12"/>
  <c r="D24" i="12" s="1"/>
  <c r="AE23" i="12"/>
  <c r="Z23" i="12"/>
  <c r="V23" i="12"/>
  <c r="H23" i="12"/>
  <c r="AD23" i="12" s="1"/>
  <c r="AG23" i="12" s="1"/>
  <c r="G23" i="12" s="1"/>
  <c r="B23" i="12"/>
  <c r="D23" i="12"/>
  <c r="AE21" i="12"/>
  <c r="Z21" i="12"/>
  <c r="V21" i="12"/>
  <c r="H21" i="12"/>
  <c r="AD21" i="12"/>
  <c r="B21" i="12"/>
  <c r="D21" i="12" s="1"/>
  <c r="AF21" i="12" s="1"/>
  <c r="AG21" i="12" s="1"/>
  <c r="AE20" i="12"/>
  <c r="Z20" i="12"/>
  <c r="V20" i="12"/>
  <c r="H20" i="12"/>
  <c r="AD20" i="12" s="1"/>
  <c r="B20" i="12"/>
  <c r="D20" i="12"/>
  <c r="AE19" i="12"/>
  <c r="Z19" i="12"/>
  <c r="V19" i="12"/>
  <c r="H19" i="12"/>
  <c r="AD19" i="12"/>
  <c r="B19" i="12"/>
  <c r="D19" i="12"/>
  <c r="AE18" i="12"/>
  <c r="Z18" i="12"/>
  <c r="V18" i="12"/>
  <c r="H18" i="12"/>
  <c r="AD18" i="12"/>
  <c r="B18" i="12"/>
  <c r="D18" i="12" s="1"/>
  <c r="AE16" i="12"/>
  <c r="Z16" i="12"/>
  <c r="V16" i="12"/>
  <c r="H16" i="12"/>
  <c r="AD16" i="12" s="1"/>
  <c r="B16" i="12"/>
  <c r="D16" i="12" s="1"/>
  <c r="AE14" i="12"/>
  <c r="Z14" i="12"/>
  <c r="V14" i="12"/>
  <c r="H14" i="12"/>
  <c r="AD14" i="12" s="1"/>
  <c r="B14" i="12"/>
  <c r="D14" i="12"/>
  <c r="AE15" i="12"/>
  <c r="Z15" i="12"/>
  <c r="V15" i="12"/>
  <c r="H15" i="12"/>
  <c r="AD15" i="12"/>
  <c r="B15" i="12"/>
  <c r="D15" i="12" s="1"/>
  <c r="AE13" i="12"/>
  <c r="Z13" i="12"/>
  <c r="V13" i="12"/>
  <c r="H13" i="12"/>
  <c r="AD13" i="12" s="1"/>
  <c r="B13" i="12"/>
  <c r="D13" i="12" s="1"/>
  <c r="Z11" i="12"/>
  <c r="Z10" i="12"/>
  <c r="Z9" i="12"/>
  <c r="AF9" i="12" s="1"/>
  <c r="Z8" i="12"/>
  <c r="Z7" i="12"/>
  <c r="Z6" i="12"/>
  <c r="AE11" i="12"/>
  <c r="V11" i="12"/>
  <c r="H11" i="12"/>
  <c r="AD11" i="12"/>
  <c r="B11" i="12"/>
  <c r="D11" i="12" s="1"/>
  <c r="AE10" i="12"/>
  <c r="V10" i="12"/>
  <c r="H10" i="12"/>
  <c r="AD10" i="12"/>
  <c r="B10" i="12"/>
  <c r="D10" i="12" s="1"/>
  <c r="AE9" i="12"/>
  <c r="V9" i="12"/>
  <c r="H9" i="12"/>
  <c r="AD9" i="12"/>
  <c r="B9" i="12"/>
  <c r="D9" i="12"/>
  <c r="AE8" i="12"/>
  <c r="V8" i="12"/>
  <c r="H8" i="12"/>
  <c r="AD8" i="12"/>
  <c r="B8" i="12"/>
  <c r="D8" i="12" s="1"/>
  <c r="AE7" i="12"/>
  <c r="V7" i="12"/>
  <c r="H7" i="12"/>
  <c r="AD7" i="12"/>
  <c r="B7" i="12"/>
  <c r="D7" i="12"/>
  <c r="AE6" i="12"/>
  <c r="V6" i="12"/>
  <c r="H6" i="12"/>
  <c r="AD6" i="12" s="1"/>
  <c r="B6" i="12"/>
  <c r="D6" i="12"/>
  <c r="I61" i="20"/>
  <c r="H61" i="20"/>
  <c r="I60" i="20"/>
  <c r="H60" i="20"/>
  <c r="S60" i="20" s="1"/>
  <c r="AB60" i="20" s="1"/>
  <c r="I59" i="20"/>
  <c r="H59" i="20"/>
  <c r="S59" i="20" s="1"/>
  <c r="I58" i="20"/>
  <c r="H58" i="20"/>
  <c r="S58" i="20"/>
  <c r="AB58" i="20" s="1"/>
  <c r="I57" i="20"/>
  <c r="H57" i="20"/>
  <c r="S57" i="20"/>
  <c r="I56" i="20"/>
  <c r="H56" i="20"/>
  <c r="I55" i="20"/>
  <c r="H55" i="20"/>
  <c r="S55" i="20"/>
  <c r="I54" i="20"/>
  <c r="H54" i="20"/>
  <c r="S54" i="20"/>
  <c r="AB54" i="20" s="1"/>
  <c r="I53" i="20"/>
  <c r="H53" i="20"/>
  <c r="I52" i="20"/>
  <c r="H52" i="20"/>
  <c r="S52" i="20" s="1"/>
  <c r="AB52" i="20" s="1"/>
  <c r="I51" i="20"/>
  <c r="H51" i="20"/>
  <c r="S51" i="20" s="1"/>
  <c r="I50" i="20"/>
  <c r="H50" i="20"/>
  <c r="S50" i="20"/>
  <c r="AB50" i="20"/>
  <c r="I49" i="20"/>
  <c r="H49" i="20"/>
  <c r="S49" i="20"/>
  <c r="I48" i="20"/>
  <c r="H48" i="20"/>
  <c r="S48" i="20"/>
  <c r="AB48" i="20"/>
  <c r="I47" i="20"/>
  <c r="H47" i="20"/>
  <c r="I46" i="20"/>
  <c r="H46" i="20"/>
  <c r="I45" i="20"/>
  <c r="S45" i="20" s="1"/>
  <c r="H45" i="20"/>
  <c r="I44" i="20"/>
  <c r="H44" i="20"/>
  <c r="S44" i="20" s="1"/>
  <c r="AB44" i="20" s="1"/>
  <c r="I43" i="20"/>
  <c r="H43" i="20"/>
  <c r="S43" i="20" s="1"/>
  <c r="I42" i="20"/>
  <c r="S42" i="20" s="1"/>
  <c r="AB42" i="20" s="1"/>
  <c r="H42" i="20"/>
  <c r="I41" i="20"/>
  <c r="H41" i="20"/>
  <c r="S41" i="20"/>
  <c r="I40" i="20"/>
  <c r="H40" i="20"/>
  <c r="I39" i="20"/>
  <c r="H39" i="20"/>
  <c r="S39" i="20"/>
  <c r="I38" i="20"/>
  <c r="H38" i="20"/>
  <c r="S38" i="20"/>
  <c r="AB38" i="20" s="1"/>
  <c r="I37" i="20"/>
  <c r="H37" i="20"/>
  <c r="I36" i="20"/>
  <c r="H36" i="20"/>
  <c r="S36" i="20"/>
  <c r="AB36" i="20" s="1"/>
  <c r="I35" i="20"/>
  <c r="H35" i="20"/>
  <c r="S35" i="20" s="1"/>
  <c r="I34" i="20"/>
  <c r="H34" i="20"/>
  <c r="S34" i="20" s="1"/>
  <c r="AB34" i="20" s="1"/>
  <c r="I33" i="20"/>
  <c r="H33" i="20"/>
  <c r="S33" i="20"/>
  <c r="I32" i="20"/>
  <c r="H32" i="20"/>
  <c r="S32" i="20"/>
  <c r="AB32" i="20" s="1"/>
  <c r="I31" i="20"/>
  <c r="H31" i="20"/>
  <c r="S31" i="20" s="1"/>
  <c r="I30" i="20"/>
  <c r="H30" i="20"/>
  <c r="S30" i="20" s="1"/>
  <c r="AB30" i="20"/>
  <c r="I29" i="20"/>
  <c r="H29" i="20"/>
  <c r="I28" i="20"/>
  <c r="H28" i="20"/>
  <c r="S28" i="20" s="1"/>
  <c r="AB28" i="20" s="1"/>
  <c r="I27" i="20"/>
  <c r="H27" i="20"/>
  <c r="S27" i="20"/>
  <c r="I26" i="20"/>
  <c r="S26" i="20" s="1"/>
  <c r="AB26" i="20" s="1"/>
  <c r="H26" i="20"/>
  <c r="I25" i="20"/>
  <c r="H25" i="20"/>
  <c r="S25" i="20" s="1"/>
  <c r="I24" i="20"/>
  <c r="H24" i="20"/>
  <c r="I23" i="20"/>
  <c r="H23" i="20"/>
  <c r="S23" i="20"/>
  <c r="I22" i="20"/>
  <c r="H22" i="20"/>
  <c r="S22" i="20"/>
  <c r="AB22" i="20" s="1"/>
  <c r="I21" i="20"/>
  <c r="H21" i="20"/>
  <c r="I20" i="20"/>
  <c r="S20" i="20" s="1"/>
  <c r="H20" i="20"/>
  <c r="AB20" i="20"/>
  <c r="I19" i="20"/>
  <c r="H19" i="20"/>
  <c r="S19" i="20" s="1"/>
  <c r="I18" i="20"/>
  <c r="H18" i="20"/>
  <c r="S18" i="20" s="1"/>
  <c r="AB18" i="20" s="1"/>
  <c r="I17" i="20"/>
  <c r="H17" i="20"/>
  <c r="S17" i="20" s="1"/>
  <c r="I16" i="20"/>
  <c r="H16" i="20"/>
  <c r="S16" i="20"/>
  <c r="AB16" i="20"/>
  <c r="I15" i="20"/>
  <c r="H15" i="20"/>
  <c r="S15" i="20"/>
  <c r="I14" i="20"/>
  <c r="H14" i="20"/>
  <c r="S14" i="20" s="1"/>
  <c r="AB14" i="20" s="1"/>
  <c r="I13" i="20"/>
  <c r="H13" i="20"/>
  <c r="S13" i="20" s="1"/>
  <c r="I12" i="20"/>
  <c r="H12" i="20"/>
  <c r="S12" i="20" s="1"/>
  <c r="AB12" i="20" s="1"/>
  <c r="I11" i="20"/>
  <c r="H11" i="20"/>
  <c r="S11" i="20"/>
  <c r="I10" i="20"/>
  <c r="S10" i="20" s="1"/>
  <c r="H10" i="20"/>
  <c r="AB10" i="20"/>
  <c r="I9" i="20"/>
  <c r="H9" i="20"/>
  <c r="S9" i="20"/>
  <c r="I8" i="20"/>
  <c r="H8" i="20"/>
  <c r="S8" i="20" s="1"/>
  <c r="AB8" i="20" s="1"/>
  <c r="I7" i="20"/>
  <c r="H7" i="20"/>
  <c r="S7" i="20"/>
  <c r="I6" i="20"/>
  <c r="H6" i="20"/>
  <c r="S6" i="20"/>
  <c r="AB6" i="20" s="1"/>
  <c r="I5" i="20"/>
  <c r="H5" i="20"/>
  <c r="S5" i="20" s="1"/>
  <c r="B61" i="20"/>
  <c r="C61" i="20"/>
  <c r="B60" i="20"/>
  <c r="C60" i="20" s="1"/>
  <c r="B59" i="20"/>
  <c r="C59" i="20" s="1"/>
  <c r="B58" i="20"/>
  <c r="C58" i="20" s="1"/>
  <c r="B57" i="20"/>
  <c r="C57" i="20" s="1"/>
  <c r="B56" i="20"/>
  <c r="C56" i="20" s="1"/>
  <c r="B55" i="20"/>
  <c r="C55" i="20"/>
  <c r="B54" i="20"/>
  <c r="C54" i="20" s="1"/>
  <c r="B53" i="20"/>
  <c r="C53" i="20"/>
  <c r="B52" i="20"/>
  <c r="C52" i="20"/>
  <c r="B51" i="20"/>
  <c r="C51" i="20"/>
  <c r="B50" i="20"/>
  <c r="C50" i="20" s="1"/>
  <c r="B49" i="20"/>
  <c r="C49" i="20"/>
  <c r="B48" i="20"/>
  <c r="C48" i="20" s="1"/>
  <c r="B47" i="20"/>
  <c r="C47" i="20" s="1"/>
  <c r="B46" i="20"/>
  <c r="C46" i="20" s="1"/>
  <c r="B45" i="20"/>
  <c r="C45" i="20" s="1"/>
  <c r="B44" i="20"/>
  <c r="C44" i="20"/>
  <c r="B43" i="20"/>
  <c r="C43" i="20"/>
  <c r="B42" i="20"/>
  <c r="C42" i="20" s="1"/>
  <c r="B41" i="20"/>
  <c r="C41" i="20" s="1"/>
  <c r="B40" i="20"/>
  <c r="C40" i="20"/>
  <c r="B39" i="20"/>
  <c r="C39" i="20" s="1"/>
  <c r="B38" i="20"/>
  <c r="C38" i="20" s="1"/>
  <c r="B37" i="20"/>
  <c r="C37" i="20" s="1"/>
  <c r="B36" i="20"/>
  <c r="C36" i="20" s="1"/>
  <c r="B35" i="20"/>
  <c r="C35" i="20"/>
  <c r="B34" i="20"/>
  <c r="C34" i="20" s="1"/>
  <c r="B33" i="20"/>
  <c r="C33" i="20" s="1"/>
  <c r="B32" i="20"/>
  <c r="C32" i="20" s="1"/>
  <c r="B31" i="20"/>
  <c r="C31" i="20"/>
  <c r="B30" i="20"/>
  <c r="C30" i="20" s="1"/>
  <c r="B29" i="20"/>
  <c r="C29" i="20"/>
  <c r="B28" i="20"/>
  <c r="C28" i="20"/>
  <c r="B27" i="20"/>
  <c r="C27" i="20" s="1"/>
  <c r="B26" i="20"/>
  <c r="C26" i="20" s="1"/>
  <c r="B25" i="20"/>
  <c r="C25" i="20" s="1"/>
  <c r="B24" i="20"/>
  <c r="C24" i="20"/>
  <c r="B23" i="20"/>
  <c r="C23" i="20" s="1"/>
  <c r="B22" i="20"/>
  <c r="C22" i="20" s="1"/>
  <c r="B21" i="20"/>
  <c r="C21" i="20"/>
  <c r="B20" i="20"/>
  <c r="C20" i="20"/>
  <c r="B19" i="20"/>
  <c r="C19" i="20" s="1"/>
  <c r="B18" i="20"/>
  <c r="C18" i="20" s="1"/>
  <c r="B17" i="20"/>
  <c r="C17" i="20"/>
  <c r="B16" i="20"/>
  <c r="C16" i="20" s="1"/>
  <c r="B15" i="20"/>
  <c r="C15" i="20"/>
  <c r="B14" i="20"/>
  <c r="C14" i="20" s="1"/>
  <c r="B13" i="20"/>
  <c r="C13" i="20" s="1"/>
  <c r="B12" i="20"/>
  <c r="C12" i="20"/>
  <c r="B11" i="20"/>
  <c r="C11" i="20"/>
  <c r="B10" i="20"/>
  <c r="C10" i="20" s="1"/>
  <c r="B9" i="20"/>
  <c r="C9" i="20"/>
  <c r="B8" i="20"/>
  <c r="C8" i="20"/>
  <c r="B7" i="20"/>
  <c r="C7" i="20" s="1"/>
  <c r="B6" i="20"/>
  <c r="C6" i="20" s="1"/>
  <c r="B5" i="20"/>
  <c r="C5" i="20" s="1"/>
  <c r="B4" i="20"/>
  <c r="C4" i="20" s="1"/>
  <c r="I4" i="20"/>
  <c r="H4" i="20"/>
  <c r="I25" i="4"/>
  <c r="I24" i="4"/>
  <c r="I23" i="4"/>
  <c r="I22" i="4"/>
  <c r="AG84" i="5"/>
  <c r="AH84" i="5"/>
  <c r="D216" i="19"/>
  <c r="D215" i="19"/>
  <c r="D214" i="19"/>
  <c r="D213" i="19"/>
  <c r="D212" i="19"/>
  <c r="D211" i="19"/>
  <c r="D210" i="19"/>
  <c r="D209" i="19"/>
  <c r="D208" i="19"/>
  <c r="D207" i="19"/>
  <c r="D206" i="19"/>
  <c r="D205" i="19"/>
  <c r="D204" i="19"/>
  <c r="D203" i="19"/>
  <c r="D202" i="19"/>
  <c r="D201" i="19"/>
  <c r="X199" i="19"/>
  <c r="X198" i="19"/>
  <c r="X200" i="19"/>
  <c r="X197" i="19"/>
  <c r="M29" i="1"/>
  <c r="M30" i="1"/>
  <c r="M31" i="1"/>
  <c r="M32" i="1"/>
  <c r="M34" i="1"/>
  <c r="M28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N51" i="1"/>
  <c r="N50" i="1"/>
  <c r="N49" i="1"/>
  <c r="N48" i="1"/>
  <c r="N47" i="1"/>
  <c r="N46" i="1"/>
  <c r="N45" i="1"/>
  <c r="N44" i="1"/>
  <c r="N43" i="1"/>
  <c r="N40" i="1"/>
  <c r="N39" i="1"/>
  <c r="N38" i="1"/>
  <c r="N37" i="1"/>
  <c r="N35" i="1"/>
  <c r="N34" i="1"/>
  <c r="N32" i="1"/>
  <c r="N33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V51" i="1"/>
  <c r="U51" i="1"/>
  <c r="T51" i="1"/>
  <c r="S51" i="1"/>
  <c r="R51" i="1"/>
  <c r="Q51" i="1"/>
  <c r="P51" i="1"/>
  <c r="V50" i="1"/>
  <c r="U50" i="1"/>
  <c r="T50" i="1"/>
  <c r="S50" i="1"/>
  <c r="R50" i="1"/>
  <c r="Q50" i="1"/>
  <c r="P50" i="1"/>
  <c r="V49" i="1"/>
  <c r="U49" i="1"/>
  <c r="T49" i="1"/>
  <c r="S49" i="1"/>
  <c r="R49" i="1"/>
  <c r="Q49" i="1"/>
  <c r="P49" i="1"/>
  <c r="V48" i="1"/>
  <c r="U48" i="1"/>
  <c r="T48" i="1"/>
  <c r="S48" i="1"/>
  <c r="R48" i="1"/>
  <c r="Q48" i="1"/>
  <c r="P48" i="1"/>
  <c r="V47" i="1"/>
  <c r="U47" i="1"/>
  <c r="T47" i="1"/>
  <c r="S47" i="1"/>
  <c r="R47" i="1"/>
  <c r="Q47" i="1"/>
  <c r="P47" i="1"/>
  <c r="V46" i="1"/>
  <c r="U46" i="1"/>
  <c r="T46" i="1"/>
  <c r="S46" i="1"/>
  <c r="R46" i="1"/>
  <c r="Q46" i="1"/>
  <c r="P46" i="1"/>
  <c r="V45" i="1"/>
  <c r="U45" i="1"/>
  <c r="T45" i="1"/>
  <c r="S45" i="1"/>
  <c r="R45" i="1"/>
  <c r="Q45" i="1"/>
  <c r="P45" i="1"/>
  <c r="V44" i="1"/>
  <c r="U44" i="1"/>
  <c r="T44" i="1"/>
  <c r="S44" i="1"/>
  <c r="R44" i="1"/>
  <c r="Q44" i="1"/>
  <c r="P44" i="1"/>
  <c r="V43" i="1"/>
  <c r="U43" i="1"/>
  <c r="T43" i="1"/>
  <c r="S43" i="1"/>
  <c r="R43" i="1"/>
  <c r="Q43" i="1"/>
  <c r="P43" i="1"/>
  <c r="V42" i="1"/>
  <c r="U42" i="1"/>
  <c r="T42" i="1"/>
  <c r="S42" i="1"/>
  <c r="R42" i="1"/>
  <c r="Q42" i="1"/>
  <c r="P42" i="1"/>
  <c r="V41" i="1"/>
  <c r="U41" i="1"/>
  <c r="T41" i="1"/>
  <c r="S41" i="1"/>
  <c r="R41" i="1"/>
  <c r="Q41" i="1"/>
  <c r="P41" i="1"/>
  <c r="V40" i="1"/>
  <c r="U40" i="1"/>
  <c r="T40" i="1"/>
  <c r="S40" i="1"/>
  <c r="R40" i="1"/>
  <c r="Q40" i="1"/>
  <c r="P40" i="1"/>
  <c r="V39" i="1"/>
  <c r="U39" i="1"/>
  <c r="T39" i="1"/>
  <c r="S39" i="1"/>
  <c r="R39" i="1"/>
  <c r="Q39" i="1"/>
  <c r="P39" i="1"/>
  <c r="V38" i="1"/>
  <c r="U38" i="1"/>
  <c r="T38" i="1"/>
  <c r="S38" i="1"/>
  <c r="R38" i="1"/>
  <c r="Q38" i="1"/>
  <c r="P38" i="1"/>
  <c r="V37" i="1"/>
  <c r="U37" i="1"/>
  <c r="T37" i="1"/>
  <c r="S37" i="1"/>
  <c r="R37" i="1"/>
  <c r="Q37" i="1"/>
  <c r="P37" i="1"/>
  <c r="V36" i="1"/>
  <c r="U36" i="1"/>
  <c r="T36" i="1"/>
  <c r="S36" i="1"/>
  <c r="R36" i="1"/>
  <c r="Q36" i="1"/>
  <c r="P36" i="1"/>
  <c r="V35" i="1"/>
  <c r="U35" i="1"/>
  <c r="T35" i="1"/>
  <c r="S35" i="1"/>
  <c r="R35" i="1"/>
  <c r="Q35" i="1"/>
  <c r="P35" i="1"/>
  <c r="V34" i="1"/>
  <c r="U34" i="1"/>
  <c r="T34" i="1"/>
  <c r="S34" i="1"/>
  <c r="R34" i="1"/>
  <c r="Q34" i="1"/>
  <c r="P34" i="1"/>
  <c r="V32" i="1"/>
  <c r="U32" i="1"/>
  <c r="T32" i="1"/>
  <c r="S32" i="1"/>
  <c r="R32" i="1"/>
  <c r="Q32" i="1"/>
  <c r="P32" i="1"/>
  <c r="V33" i="1"/>
  <c r="U33" i="1"/>
  <c r="T33" i="1"/>
  <c r="S33" i="1"/>
  <c r="R33" i="1"/>
  <c r="Q33" i="1"/>
  <c r="P33" i="1"/>
  <c r="V31" i="1"/>
  <c r="U31" i="1"/>
  <c r="T31" i="1"/>
  <c r="S31" i="1"/>
  <c r="R31" i="1"/>
  <c r="Q31" i="1"/>
  <c r="P31" i="1"/>
  <c r="V30" i="1"/>
  <c r="U30" i="1"/>
  <c r="T30" i="1"/>
  <c r="S30" i="1"/>
  <c r="R30" i="1"/>
  <c r="Q30" i="1"/>
  <c r="P30" i="1"/>
  <c r="V29" i="1"/>
  <c r="U29" i="1"/>
  <c r="T29" i="1"/>
  <c r="S29" i="1"/>
  <c r="R29" i="1"/>
  <c r="Q29" i="1"/>
  <c r="P29" i="1"/>
  <c r="V28" i="1"/>
  <c r="U28" i="1"/>
  <c r="T28" i="1"/>
  <c r="S28" i="1"/>
  <c r="R28" i="1"/>
  <c r="Q28" i="1"/>
  <c r="P28" i="1"/>
  <c r="V27" i="1"/>
  <c r="U27" i="1"/>
  <c r="T27" i="1"/>
  <c r="S27" i="1"/>
  <c r="R27" i="1"/>
  <c r="Q27" i="1"/>
  <c r="P27" i="1"/>
  <c r="V26" i="1"/>
  <c r="U26" i="1"/>
  <c r="T26" i="1"/>
  <c r="S26" i="1"/>
  <c r="R26" i="1"/>
  <c r="Q26" i="1"/>
  <c r="P26" i="1"/>
  <c r="V25" i="1"/>
  <c r="U25" i="1"/>
  <c r="T25" i="1"/>
  <c r="S25" i="1"/>
  <c r="R25" i="1"/>
  <c r="Q25" i="1"/>
  <c r="P25" i="1"/>
  <c r="V24" i="1"/>
  <c r="U24" i="1"/>
  <c r="T24" i="1"/>
  <c r="S24" i="1"/>
  <c r="R24" i="1"/>
  <c r="Q24" i="1"/>
  <c r="P24" i="1"/>
  <c r="V23" i="1"/>
  <c r="U23" i="1"/>
  <c r="T23" i="1"/>
  <c r="S23" i="1"/>
  <c r="R23" i="1"/>
  <c r="Q23" i="1"/>
  <c r="P23" i="1"/>
  <c r="V22" i="1"/>
  <c r="U22" i="1"/>
  <c r="T22" i="1"/>
  <c r="S22" i="1"/>
  <c r="R22" i="1"/>
  <c r="Q22" i="1"/>
  <c r="P22" i="1"/>
  <c r="V21" i="1"/>
  <c r="U21" i="1"/>
  <c r="T21" i="1"/>
  <c r="S21" i="1"/>
  <c r="R21" i="1"/>
  <c r="Q21" i="1"/>
  <c r="P21" i="1"/>
  <c r="V20" i="1"/>
  <c r="U20" i="1"/>
  <c r="T20" i="1"/>
  <c r="S20" i="1"/>
  <c r="R20" i="1"/>
  <c r="Q20" i="1"/>
  <c r="P20" i="1"/>
  <c r="V19" i="1"/>
  <c r="U19" i="1"/>
  <c r="T19" i="1"/>
  <c r="S19" i="1"/>
  <c r="R19" i="1"/>
  <c r="Q19" i="1"/>
  <c r="P19" i="1"/>
  <c r="V18" i="1"/>
  <c r="U18" i="1"/>
  <c r="T18" i="1"/>
  <c r="S18" i="1"/>
  <c r="R18" i="1"/>
  <c r="Q18" i="1"/>
  <c r="P18" i="1"/>
  <c r="V17" i="1"/>
  <c r="U17" i="1"/>
  <c r="T17" i="1"/>
  <c r="S17" i="1"/>
  <c r="R17" i="1"/>
  <c r="Q17" i="1"/>
  <c r="P17" i="1"/>
  <c r="V16" i="1"/>
  <c r="U16" i="1"/>
  <c r="T16" i="1"/>
  <c r="S16" i="1"/>
  <c r="R16" i="1"/>
  <c r="Q16" i="1"/>
  <c r="P16" i="1"/>
  <c r="V15" i="1"/>
  <c r="U15" i="1"/>
  <c r="T15" i="1"/>
  <c r="S15" i="1"/>
  <c r="R15" i="1"/>
  <c r="Q15" i="1"/>
  <c r="P15" i="1"/>
  <c r="V14" i="1"/>
  <c r="U14" i="1"/>
  <c r="T14" i="1"/>
  <c r="S14" i="1"/>
  <c r="R14" i="1"/>
  <c r="Q14" i="1"/>
  <c r="P14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2" i="1"/>
  <c r="O33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AQ268" i="6"/>
  <c r="AI268" i="6"/>
  <c r="AH268" i="6"/>
  <c r="AG268" i="6"/>
  <c r="AB268" i="6"/>
  <c r="AC268" i="6"/>
  <c r="Y268" i="6"/>
  <c r="V268" i="6"/>
  <c r="S268" i="6"/>
  <c r="T268" i="6" s="1"/>
  <c r="P268" i="6"/>
  <c r="M268" i="6"/>
  <c r="J268" i="6"/>
  <c r="K268" i="6" s="1"/>
  <c r="L268" i="6" s="1"/>
  <c r="G268" i="6"/>
  <c r="A268" i="6"/>
  <c r="C268" i="6" s="1"/>
  <c r="H268" i="6" s="1"/>
  <c r="I268" i="6" s="1"/>
  <c r="L216" i="19"/>
  <c r="R216" i="19" s="1"/>
  <c r="Z216" i="19" s="1"/>
  <c r="F216" i="19"/>
  <c r="L215" i="19"/>
  <c r="F215" i="19"/>
  <c r="L214" i="19"/>
  <c r="R214" i="19" s="1"/>
  <c r="F214" i="19"/>
  <c r="Q214" i="19" s="1"/>
  <c r="L213" i="19"/>
  <c r="F213" i="19"/>
  <c r="Q213" i="19" s="1"/>
  <c r="L212" i="19"/>
  <c r="F212" i="19"/>
  <c r="L211" i="19"/>
  <c r="F211" i="19"/>
  <c r="L210" i="19"/>
  <c r="F210" i="19"/>
  <c r="Q210" i="19" s="1"/>
  <c r="Y210" i="19" s="1"/>
  <c r="L209" i="19"/>
  <c r="F209" i="19"/>
  <c r="L208" i="19"/>
  <c r="F208" i="19"/>
  <c r="L207" i="19"/>
  <c r="F207" i="19"/>
  <c r="L206" i="19"/>
  <c r="F206" i="19"/>
  <c r="Q206" i="19" s="1"/>
  <c r="L205" i="19"/>
  <c r="F205" i="19"/>
  <c r="L204" i="19"/>
  <c r="R204" i="19" s="1"/>
  <c r="F204" i="19"/>
  <c r="L203" i="19"/>
  <c r="F203" i="19"/>
  <c r="L202" i="19"/>
  <c r="F202" i="19"/>
  <c r="L201" i="19"/>
  <c r="R201" i="19" s="1"/>
  <c r="F201" i="19"/>
  <c r="Q201" i="19" s="1"/>
  <c r="Y201" i="19" s="1"/>
  <c r="Y206" i="19"/>
  <c r="Z204" i="19"/>
  <c r="Q204" i="19"/>
  <c r="Y204" i="19" s="1"/>
  <c r="R203" i="19"/>
  <c r="Z203" i="19" s="1"/>
  <c r="Q203" i="19"/>
  <c r="Y203" i="19"/>
  <c r="R202" i="19"/>
  <c r="Z202" i="19"/>
  <c r="Q202" i="19"/>
  <c r="Y202" i="19" s="1"/>
  <c r="R200" i="19"/>
  <c r="Z200" i="19"/>
  <c r="Q200" i="19"/>
  <c r="V200" i="19"/>
  <c r="R199" i="19"/>
  <c r="W199" i="19" s="1"/>
  <c r="Q199" i="19"/>
  <c r="Y199" i="19" s="1"/>
  <c r="R198" i="19"/>
  <c r="Z198" i="19"/>
  <c r="Q198" i="19"/>
  <c r="V198" i="19"/>
  <c r="R197" i="19"/>
  <c r="W197" i="19"/>
  <c r="Q197" i="19"/>
  <c r="Y197" i="19" s="1"/>
  <c r="Q216" i="19"/>
  <c r="Y216" i="19" s="1"/>
  <c r="R215" i="19"/>
  <c r="Z215" i="19"/>
  <c r="Q215" i="19"/>
  <c r="Y215" i="19" s="1"/>
  <c r="Z214" i="19"/>
  <c r="Y214" i="19"/>
  <c r="Y213" i="19"/>
  <c r="D200" i="19"/>
  <c r="D199" i="19"/>
  <c r="D198" i="19"/>
  <c r="D197" i="19"/>
  <c r="Q102" i="19"/>
  <c r="Q101" i="19"/>
  <c r="Q100" i="19"/>
  <c r="Q99" i="19"/>
  <c r="Q98" i="19"/>
  <c r="Q97" i="19"/>
  <c r="Q96" i="19"/>
  <c r="Q95" i="19"/>
  <c r="Q94" i="19"/>
  <c r="Q89" i="19"/>
  <c r="Q88" i="19"/>
  <c r="Q87" i="19"/>
  <c r="Q86" i="19"/>
  <c r="Q85" i="19"/>
  <c r="Q84" i="19"/>
  <c r="Q83" i="19"/>
  <c r="Q82" i="19"/>
  <c r="D80" i="19"/>
  <c r="D96" i="19"/>
  <c r="D86" i="19"/>
  <c r="D70" i="19"/>
  <c r="D60" i="19"/>
  <c r="D53" i="19"/>
  <c r="D56" i="19"/>
  <c r="D44" i="19"/>
  <c r="T19" i="19"/>
  <c r="T18" i="19"/>
  <c r="T17" i="19"/>
  <c r="T16" i="19"/>
  <c r="T15" i="19"/>
  <c r="T14" i="19"/>
  <c r="T13" i="19"/>
  <c r="T12" i="19"/>
  <c r="J31" i="19"/>
  <c r="J30" i="19"/>
  <c r="J29" i="19"/>
  <c r="J28" i="19"/>
  <c r="F31" i="19"/>
  <c r="F30" i="19"/>
  <c r="F29" i="19"/>
  <c r="F28" i="19"/>
  <c r="C23" i="19"/>
  <c r="C22" i="19"/>
  <c r="C21" i="19"/>
  <c r="C20" i="19"/>
  <c r="D6" i="19"/>
  <c r="D7" i="19"/>
  <c r="D8" i="19"/>
  <c r="D9" i="19"/>
  <c r="D10" i="19"/>
  <c r="D11" i="19"/>
  <c r="D5" i="19"/>
  <c r="O30" i="17"/>
  <c r="O29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K5" i="15"/>
  <c r="K6" i="15"/>
  <c r="K7" i="15"/>
  <c r="B5" i="15"/>
  <c r="K8" i="15"/>
  <c r="B6" i="15"/>
  <c r="K9" i="15"/>
  <c r="B7" i="15"/>
  <c r="K10" i="15"/>
  <c r="B8" i="15"/>
  <c r="K11" i="15"/>
  <c r="B9" i="15"/>
  <c r="K12" i="15"/>
  <c r="B10" i="15"/>
  <c r="K13" i="15"/>
  <c r="B11" i="15"/>
  <c r="K14" i="15"/>
  <c r="B12" i="15"/>
  <c r="K15" i="15"/>
  <c r="B13" i="15"/>
  <c r="K16" i="15"/>
  <c r="B14" i="15"/>
  <c r="K17" i="15"/>
  <c r="B15" i="15"/>
  <c r="K18" i="15"/>
  <c r="B16" i="15"/>
  <c r="K19" i="15"/>
  <c r="M19" i="15"/>
  <c r="N19" i="15"/>
  <c r="B17" i="15"/>
  <c r="K20" i="15"/>
  <c r="M20" i="15"/>
  <c r="N20" i="15"/>
  <c r="B18" i="15"/>
  <c r="E18" i="15"/>
  <c r="F18" i="15"/>
  <c r="K21" i="15"/>
  <c r="M21" i="15"/>
  <c r="N21" i="15"/>
  <c r="B19" i="15"/>
  <c r="E19" i="15"/>
  <c r="F19" i="15"/>
  <c r="K22" i="15"/>
  <c r="M22" i="15"/>
  <c r="N22" i="15"/>
  <c r="B20" i="15"/>
  <c r="E20" i="15"/>
  <c r="F20" i="15" s="1"/>
  <c r="B21" i="15"/>
  <c r="E21" i="15"/>
  <c r="F21" i="15" s="1"/>
  <c r="B22" i="15"/>
  <c r="E22" i="15"/>
  <c r="F22" i="15" s="1"/>
  <c r="B23" i="15"/>
  <c r="E23" i="15"/>
  <c r="F23" i="15" s="1"/>
  <c r="B24" i="15"/>
  <c r="B25" i="15"/>
  <c r="B26" i="15"/>
  <c r="B27" i="15"/>
  <c r="B28" i="15"/>
  <c r="G32" i="15"/>
  <c r="G33" i="15"/>
  <c r="G34" i="15"/>
  <c r="G35" i="15"/>
  <c r="B5" i="16"/>
  <c r="B6" i="16"/>
  <c r="B7" i="16"/>
  <c r="B8" i="16"/>
  <c r="B9" i="16"/>
  <c r="B10" i="16"/>
  <c r="U60" i="6" s="1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A12" i="11"/>
  <c r="C12" i="11"/>
  <c r="G12" i="11"/>
  <c r="J12" i="11"/>
  <c r="K12" i="11"/>
  <c r="C13" i="11"/>
  <c r="H13" i="11" s="1"/>
  <c r="I13" i="11" s="1"/>
  <c r="L13" i="11" s="1"/>
  <c r="F13" i="11" s="1"/>
  <c r="G13" i="11"/>
  <c r="J13" i="11"/>
  <c r="K13" i="11" s="1"/>
  <c r="C22" i="11"/>
  <c r="G22" i="11"/>
  <c r="J22" i="11"/>
  <c r="K22" i="11" s="1"/>
  <c r="C23" i="11"/>
  <c r="G23" i="11"/>
  <c r="J23" i="11"/>
  <c r="K23" i="11" s="1"/>
  <c r="C24" i="11"/>
  <c r="G24" i="11"/>
  <c r="H24" i="11"/>
  <c r="I24" i="11"/>
  <c r="J24" i="11"/>
  <c r="K24" i="11" s="1"/>
  <c r="A25" i="11"/>
  <c r="C25" i="11" s="1"/>
  <c r="G25" i="11"/>
  <c r="J25" i="11"/>
  <c r="K25" i="11"/>
  <c r="A26" i="11"/>
  <c r="C26" i="11" s="1"/>
  <c r="G26" i="11"/>
  <c r="H26" i="11"/>
  <c r="I26" i="11" s="1"/>
  <c r="J26" i="11"/>
  <c r="K26" i="11"/>
  <c r="A27" i="11"/>
  <c r="C27" i="11" s="1"/>
  <c r="H27" i="11" s="1"/>
  <c r="I27" i="11" s="1"/>
  <c r="L27" i="11" s="1"/>
  <c r="G27" i="11"/>
  <c r="J27" i="11"/>
  <c r="K27" i="11" s="1"/>
  <c r="A28" i="11"/>
  <c r="C28" i="11"/>
  <c r="H28" i="11" s="1"/>
  <c r="I28" i="11" s="1"/>
  <c r="G28" i="11"/>
  <c r="J28" i="11"/>
  <c r="K28" i="11"/>
  <c r="A29" i="11"/>
  <c r="C29" i="11" s="1"/>
  <c r="H29" i="11" s="1"/>
  <c r="I29" i="11" s="1"/>
  <c r="G29" i="11"/>
  <c r="J29" i="11"/>
  <c r="K29" i="11" s="1"/>
  <c r="A30" i="11"/>
  <c r="C30" i="11" s="1"/>
  <c r="G30" i="11"/>
  <c r="J30" i="11"/>
  <c r="K30" i="11"/>
  <c r="A31" i="11"/>
  <c r="C31" i="11" s="1"/>
  <c r="G31" i="11"/>
  <c r="H31" i="11" s="1"/>
  <c r="I31" i="11" s="1"/>
  <c r="J31" i="11"/>
  <c r="K31" i="11" s="1"/>
  <c r="A32" i="11"/>
  <c r="C32" i="11"/>
  <c r="H32" i="11" s="1"/>
  <c r="I32" i="11" s="1"/>
  <c r="G32" i="11"/>
  <c r="J32" i="11"/>
  <c r="K32" i="11" s="1"/>
  <c r="A33" i="11"/>
  <c r="C33" i="11" s="1"/>
  <c r="G33" i="11"/>
  <c r="H33" i="11"/>
  <c r="I33" i="11" s="1"/>
  <c r="J33" i="11"/>
  <c r="K33" i="11" s="1"/>
  <c r="A34" i="11"/>
  <c r="C34" i="11"/>
  <c r="H34" i="11" s="1"/>
  <c r="I34" i="11" s="1"/>
  <c r="G34" i="11"/>
  <c r="J34" i="11"/>
  <c r="K34" i="11"/>
  <c r="A35" i="11"/>
  <c r="C35" i="11" s="1"/>
  <c r="H35" i="11" s="1"/>
  <c r="I35" i="11" s="1"/>
  <c r="G35" i="11"/>
  <c r="L35" i="11"/>
  <c r="J35" i="11"/>
  <c r="K35" i="11"/>
  <c r="A36" i="11"/>
  <c r="C36" i="11" s="1"/>
  <c r="H36" i="11" s="1"/>
  <c r="I36" i="11" s="1"/>
  <c r="G36" i="11"/>
  <c r="J36" i="11"/>
  <c r="K36" i="11" s="1"/>
  <c r="A37" i="11"/>
  <c r="C37" i="11"/>
  <c r="G37" i="11"/>
  <c r="J37" i="11"/>
  <c r="K37" i="11" s="1"/>
  <c r="A38" i="11"/>
  <c r="C38" i="11" s="1"/>
  <c r="H38" i="11" s="1"/>
  <c r="I38" i="11" s="1"/>
  <c r="G38" i="11"/>
  <c r="J38" i="11"/>
  <c r="K38" i="11" s="1"/>
  <c r="A39" i="11"/>
  <c r="C39" i="11"/>
  <c r="H39" i="11" s="1"/>
  <c r="I39" i="11" s="1"/>
  <c r="L39" i="11" s="1"/>
  <c r="G39" i="11"/>
  <c r="J39" i="11"/>
  <c r="K39" i="11" s="1"/>
  <c r="A40" i="11"/>
  <c r="C40" i="11"/>
  <c r="G40" i="11"/>
  <c r="H40" i="11"/>
  <c r="I40" i="11"/>
  <c r="J40" i="11"/>
  <c r="K40" i="11"/>
  <c r="A41" i="11"/>
  <c r="C41" i="11" s="1"/>
  <c r="G41" i="11"/>
  <c r="H41" i="11"/>
  <c r="I41" i="11" s="1"/>
  <c r="J41" i="11"/>
  <c r="K41" i="11"/>
  <c r="L41" i="11" s="1"/>
  <c r="A42" i="11"/>
  <c r="C42" i="11" s="1"/>
  <c r="H42" i="11" s="1"/>
  <c r="G42" i="11"/>
  <c r="I42" i="11"/>
  <c r="J42" i="11"/>
  <c r="K42" i="11"/>
  <c r="A43" i="11"/>
  <c r="C43" i="11" s="1"/>
  <c r="H43" i="11" s="1"/>
  <c r="I43" i="11" s="1"/>
  <c r="L43" i="11" s="1"/>
  <c r="G43" i="11"/>
  <c r="J43" i="11"/>
  <c r="K43" i="11"/>
  <c r="A44" i="11"/>
  <c r="C44" i="11" s="1"/>
  <c r="H44" i="11" s="1"/>
  <c r="I44" i="11" s="1"/>
  <c r="G44" i="11"/>
  <c r="J44" i="11"/>
  <c r="K44" i="11" s="1"/>
  <c r="A45" i="11"/>
  <c r="C45" i="11" s="1"/>
  <c r="H45" i="11" s="1"/>
  <c r="G45" i="11"/>
  <c r="I45" i="11"/>
  <c r="L45" i="11" s="1"/>
  <c r="J45" i="11"/>
  <c r="K45" i="11"/>
  <c r="A46" i="11"/>
  <c r="C46" i="11"/>
  <c r="H46" i="11" s="1"/>
  <c r="I46" i="11" s="1"/>
  <c r="G46" i="11"/>
  <c r="J46" i="11"/>
  <c r="K46" i="11" s="1"/>
  <c r="A47" i="11"/>
  <c r="C47" i="11"/>
  <c r="H47" i="11" s="1"/>
  <c r="I47" i="11" s="1"/>
  <c r="L47" i="11" s="1"/>
  <c r="G47" i="11"/>
  <c r="J47" i="11"/>
  <c r="K47" i="11" s="1"/>
  <c r="A48" i="11"/>
  <c r="C48" i="11"/>
  <c r="G48" i="11"/>
  <c r="J48" i="11"/>
  <c r="K48" i="11"/>
  <c r="A49" i="11"/>
  <c r="C49" i="11" s="1"/>
  <c r="H49" i="11" s="1"/>
  <c r="I49" i="11" s="1"/>
  <c r="L49" i="11" s="1"/>
  <c r="G49" i="11"/>
  <c r="J49" i="11"/>
  <c r="K49" i="11"/>
  <c r="A50" i="11"/>
  <c r="C50" i="11"/>
  <c r="G50" i="11"/>
  <c r="J50" i="11"/>
  <c r="K50" i="11"/>
  <c r="A58" i="11"/>
  <c r="C58" i="11"/>
  <c r="G58" i="11"/>
  <c r="J58" i="11"/>
  <c r="K58" i="11"/>
  <c r="A59" i="11"/>
  <c r="C59" i="11" s="1"/>
  <c r="H59" i="11" s="1"/>
  <c r="I59" i="11" s="1"/>
  <c r="G59" i="11"/>
  <c r="J59" i="11"/>
  <c r="K59" i="11" s="1"/>
  <c r="A60" i="11"/>
  <c r="C60" i="11" s="1"/>
  <c r="G60" i="11"/>
  <c r="H60" i="11" s="1"/>
  <c r="I60" i="11" s="1"/>
  <c r="L60" i="11" s="1"/>
  <c r="J60" i="11"/>
  <c r="K60" i="11" s="1"/>
  <c r="A61" i="11"/>
  <c r="C61" i="11"/>
  <c r="H61" i="11" s="1"/>
  <c r="I61" i="11" s="1"/>
  <c r="G61" i="11"/>
  <c r="J61" i="11"/>
  <c r="K61" i="11" s="1"/>
  <c r="A62" i="11"/>
  <c r="C62" i="11"/>
  <c r="H62" i="11" s="1"/>
  <c r="I62" i="11" s="1"/>
  <c r="G62" i="11"/>
  <c r="J62" i="11"/>
  <c r="K62" i="11" s="1"/>
  <c r="A63" i="11"/>
  <c r="C63" i="11"/>
  <c r="G63" i="11"/>
  <c r="J63" i="11"/>
  <c r="K63" i="11"/>
  <c r="A64" i="11"/>
  <c r="C64" i="11" s="1"/>
  <c r="H64" i="11" s="1"/>
  <c r="I64" i="11" s="1"/>
  <c r="G64" i="11"/>
  <c r="J64" i="11"/>
  <c r="K64" i="11"/>
  <c r="A65" i="11"/>
  <c r="C65" i="11" s="1"/>
  <c r="H65" i="11" s="1"/>
  <c r="I65" i="11" s="1"/>
  <c r="G65" i="11"/>
  <c r="J65" i="11"/>
  <c r="K65" i="11" s="1"/>
  <c r="A66" i="11"/>
  <c r="C66" i="11"/>
  <c r="H66" i="11" s="1"/>
  <c r="I66" i="11" s="1"/>
  <c r="G66" i="11"/>
  <c r="J66" i="11"/>
  <c r="K66" i="11" s="1"/>
  <c r="A67" i="11"/>
  <c r="C67" i="11" s="1"/>
  <c r="H67" i="11" s="1"/>
  <c r="I67" i="11" s="1"/>
  <c r="G67" i="11"/>
  <c r="J67" i="11"/>
  <c r="K67" i="11"/>
  <c r="A68" i="11"/>
  <c r="C68" i="11"/>
  <c r="G68" i="11"/>
  <c r="J68" i="11"/>
  <c r="K68" i="11"/>
  <c r="A69" i="11"/>
  <c r="C69" i="11" s="1"/>
  <c r="G69" i="11"/>
  <c r="J69" i="11"/>
  <c r="K69" i="11" s="1"/>
  <c r="A70" i="11"/>
  <c r="C70" i="11"/>
  <c r="H70" i="11" s="1"/>
  <c r="I70" i="11" s="1"/>
  <c r="L70" i="11" s="1"/>
  <c r="G70" i="11"/>
  <c r="J70" i="11"/>
  <c r="K70" i="11"/>
  <c r="A71" i="11"/>
  <c r="C71" i="11" s="1"/>
  <c r="H71" i="11" s="1"/>
  <c r="I71" i="11" s="1"/>
  <c r="G71" i="11"/>
  <c r="J71" i="11"/>
  <c r="K71" i="11"/>
  <c r="A72" i="11"/>
  <c r="C72" i="11"/>
  <c r="G72" i="11"/>
  <c r="J72" i="11"/>
  <c r="K72" i="11" s="1"/>
  <c r="A73" i="11"/>
  <c r="C73" i="11"/>
  <c r="G73" i="11"/>
  <c r="H73" i="11" s="1"/>
  <c r="I73" i="11" s="1"/>
  <c r="L73" i="11" s="1"/>
  <c r="J73" i="11"/>
  <c r="K73" i="11"/>
  <c r="A74" i="11"/>
  <c r="C74" i="11" s="1"/>
  <c r="H74" i="11" s="1"/>
  <c r="I74" i="11" s="1"/>
  <c r="G74" i="11"/>
  <c r="J74" i="11"/>
  <c r="K74" i="11"/>
  <c r="A75" i="11"/>
  <c r="C75" i="11"/>
  <c r="H75" i="11" s="1"/>
  <c r="I75" i="11" s="1"/>
  <c r="G75" i="11"/>
  <c r="J75" i="11"/>
  <c r="K75" i="11" s="1"/>
  <c r="A76" i="11"/>
  <c r="C76" i="11"/>
  <c r="H76" i="11" s="1"/>
  <c r="I76" i="11" s="1"/>
  <c r="G76" i="11"/>
  <c r="J76" i="11"/>
  <c r="K76" i="11"/>
  <c r="A77" i="11"/>
  <c r="C77" i="11" s="1"/>
  <c r="H77" i="11" s="1"/>
  <c r="I77" i="11" s="1"/>
  <c r="G77" i="11"/>
  <c r="J77" i="11"/>
  <c r="K77" i="11" s="1"/>
  <c r="A78" i="11"/>
  <c r="C78" i="11"/>
  <c r="H78" i="11" s="1"/>
  <c r="I78" i="11" s="1"/>
  <c r="L78" i="11" s="1"/>
  <c r="E78" i="11" s="1"/>
  <c r="G78" i="11"/>
  <c r="J78" i="11"/>
  <c r="K78" i="11"/>
  <c r="A79" i="11"/>
  <c r="C79" i="11"/>
  <c r="H79" i="11" s="1"/>
  <c r="I79" i="11" s="1"/>
  <c r="G79" i="11"/>
  <c r="J79" i="11"/>
  <c r="K79" i="11" s="1"/>
  <c r="A80" i="11"/>
  <c r="C80" i="11" s="1"/>
  <c r="H80" i="11" s="1"/>
  <c r="I80" i="11" s="1"/>
  <c r="G80" i="11"/>
  <c r="J80" i="11"/>
  <c r="K80" i="11"/>
  <c r="A81" i="11"/>
  <c r="C81" i="11" s="1"/>
  <c r="H81" i="11" s="1"/>
  <c r="I81" i="11" s="1"/>
  <c r="L81" i="11" s="1"/>
  <c r="G81" i="11"/>
  <c r="J81" i="11"/>
  <c r="K81" i="11" s="1"/>
  <c r="A82" i="11"/>
  <c r="C82" i="11" s="1"/>
  <c r="G82" i="11"/>
  <c r="H82" i="11"/>
  <c r="I82" i="11" s="1"/>
  <c r="L82" i="11" s="1"/>
  <c r="E82" i="11" s="1"/>
  <c r="J82" i="11"/>
  <c r="K82" i="11"/>
  <c r="A83" i="11"/>
  <c r="C83" i="11"/>
  <c r="H83" i="11"/>
  <c r="I83" i="11" s="1"/>
  <c r="G83" i="11"/>
  <c r="J83" i="11"/>
  <c r="K83" i="11" s="1"/>
  <c r="A84" i="11"/>
  <c r="C84" i="11" s="1"/>
  <c r="H84" i="11" s="1"/>
  <c r="I84" i="11" s="1"/>
  <c r="L84" i="11" s="1"/>
  <c r="G84" i="11"/>
  <c r="J84" i="11"/>
  <c r="K84" i="11"/>
  <c r="A85" i="11"/>
  <c r="C85" i="11" s="1"/>
  <c r="H85" i="11"/>
  <c r="I85" i="11" s="1"/>
  <c r="G85" i="11"/>
  <c r="J85" i="11"/>
  <c r="K85" i="11" s="1"/>
  <c r="A86" i="11"/>
  <c r="C86" i="11" s="1"/>
  <c r="H86" i="11" s="1"/>
  <c r="I86" i="11" s="1"/>
  <c r="L86" i="11" s="1"/>
  <c r="E86" i="11" s="1"/>
  <c r="G86" i="11"/>
  <c r="J86" i="11"/>
  <c r="K86" i="11"/>
  <c r="A94" i="11"/>
  <c r="C94" i="11"/>
  <c r="H94" i="11"/>
  <c r="I94" i="11" s="1"/>
  <c r="G94" i="11"/>
  <c r="J94" i="11"/>
  <c r="K94" i="11" s="1"/>
  <c r="A95" i="11"/>
  <c r="C95" i="11" s="1"/>
  <c r="H95" i="11" s="1"/>
  <c r="I95" i="11" s="1"/>
  <c r="L95" i="11" s="1"/>
  <c r="E95" i="11" s="1"/>
  <c r="G95" i="11"/>
  <c r="J95" i="11"/>
  <c r="K95" i="11"/>
  <c r="A96" i="11"/>
  <c r="C96" i="11" s="1"/>
  <c r="H96" i="11" s="1"/>
  <c r="I96" i="11" s="1"/>
  <c r="G96" i="11"/>
  <c r="J96" i="11"/>
  <c r="K96" i="11" s="1"/>
  <c r="A97" i="11"/>
  <c r="C97" i="11" s="1"/>
  <c r="H97" i="11" s="1"/>
  <c r="I97" i="11" s="1"/>
  <c r="L97" i="11" s="1"/>
  <c r="E97" i="11" s="1"/>
  <c r="G97" i="11"/>
  <c r="J97" i="11"/>
  <c r="K97" i="11"/>
  <c r="A98" i="11"/>
  <c r="C98" i="11"/>
  <c r="H98" i="11"/>
  <c r="I98" i="11" s="1"/>
  <c r="G98" i="11"/>
  <c r="J98" i="11"/>
  <c r="K98" i="11" s="1"/>
  <c r="A99" i="11"/>
  <c r="C99" i="11" s="1"/>
  <c r="H99" i="11" s="1"/>
  <c r="I99" i="11" s="1"/>
  <c r="L99" i="11" s="1"/>
  <c r="E99" i="11" s="1"/>
  <c r="G99" i="11"/>
  <c r="J99" i="11"/>
  <c r="K99" i="11"/>
  <c r="A100" i="11"/>
  <c r="C100" i="11"/>
  <c r="H100" i="11" s="1"/>
  <c r="I100" i="11" s="1"/>
  <c r="G100" i="11"/>
  <c r="J100" i="11"/>
  <c r="K100" i="11" s="1"/>
  <c r="A101" i="11"/>
  <c r="C101" i="11"/>
  <c r="G101" i="11"/>
  <c r="H101" i="11"/>
  <c r="I101" i="11" s="1"/>
  <c r="J101" i="11"/>
  <c r="K101" i="11"/>
  <c r="A102" i="11"/>
  <c r="C102" i="11"/>
  <c r="H102" i="11" s="1"/>
  <c r="I102" i="11" s="1"/>
  <c r="G102" i="11"/>
  <c r="J102" i="11"/>
  <c r="K102" i="11" s="1"/>
  <c r="A103" i="11"/>
  <c r="C103" i="11" s="1"/>
  <c r="H103" i="11" s="1"/>
  <c r="I103" i="11" s="1"/>
  <c r="L103" i="11" s="1"/>
  <c r="G103" i="11"/>
  <c r="J103" i="11"/>
  <c r="K103" i="11"/>
  <c r="A104" i="11"/>
  <c r="C104" i="11"/>
  <c r="H104" i="11" s="1"/>
  <c r="I104" i="11" s="1"/>
  <c r="G104" i="11"/>
  <c r="J104" i="11"/>
  <c r="K104" i="11" s="1"/>
  <c r="A105" i="11"/>
  <c r="C105" i="11"/>
  <c r="H105" i="11" s="1"/>
  <c r="I105" i="11" s="1"/>
  <c r="L105" i="11" s="1"/>
  <c r="E105" i="11" s="1"/>
  <c r="G105" i="11"/>
  <c r="J105" i="11"/>
  <c r="K105" i="11"/>
  <c r="A106" i="11"/>
  <c r="C106" i="11"/>
  <c r="H106" i="11"/>
  <c r="I106" i="11" s="1"/>
  <c r="G106" i="11"/>
  <c r="J106" i="11"/>
  <c r="K106" i="11" s="1"/>
  <c r="A107" i="11"/>
  <c r="C107" i="11"/>
  <c r="H107" i="11" s="1"/>
  <c r="I107" i="11" s="1"/>
  <c r="G107" i="11"/>
  <c r="J107" i="11"/>
  <c r="K107" i="11"/>
  <c r="A108" i="11"/>
  <c r="C108" i="11" s="1"/>
  <c r="H108" i="11" s="1"/>
  <c r="I108" i="11" s="1"/>
  <c r="L108" i="11" s="1"/>
  <c r="G108" i="11"/>
  <c r="J108" i="11"/>
  <c r="K108" i="11" s="1"/>
  <c r="A109" i="11"/>
  <c r="C109" i="11"/>
  <c r="H109" i="11" s="1"/>
  <c r="I109" i="11" s="1"/>
  <c r="L109" i="11" s="1"/>
  <c r="E109" i="11" s="1"/>
  <c r="G109" i="11"/>
  <c r="J109" i="11"/>
  <c r="K109" i="11"/>
  <c r="A110" i="11"/>
  <c r="C110" i="11"/>
  <c r="H110" i="11" s="1"/>
  <c r="I110" i="11" s="1"/>
  <c r="L110" i="11" s="1"/>
  <c r="G110" i="11"/>
  <c r="J110" i="11"/>
  <c r="K110" i="11"/>
  <c r="A111" i="11"/>
  <c r="C111" i="11"/>
  <c r="G111" i="11"/>
  <c r="J111" i="11"/>
  <c r="K111" i="11" s="1"/>
  <c r="A112" i="11"/>
  <c r="C112" i="11"/>
  <c r="H112" i="11" s="1"/>
  <c r="I112" i="11" s="1"/>
  <c r="L112" i="11" s="1"/>
  <c r="G112" i="11"/>
  <c r="J112" i="11"/>
  <c r="K112" i="11"/>
  <c r="A113" i="11"/>
  <c r="C113" i="11" s="1"/>
  <c r="G113" i="11"/>
  <c r="H113" i="11"/>
  <c r="I113" i="11" s="1"/>
  <c r="L113" i="11" s="1"/>
  <c r="J113" i="11"/>
  <c r="K113" i="11" s="1"/>
  <c r="A114" i="11"/>
  <c r="C114" i="11" s="1"/>
  <c r="I114" i="11"/>
  <c r="L114" i="11" s="1"/>
  <c r="G114" i="11"/>
  <c r="H114" i="11" s="1"/>
  <c r="J114" i="11"/>
  <c r="K114" i="11"/>
  <c r="A115" i="11"/>
  <c r="C115" i="11" s="1"/>
  <c r="H115" i="11" s="1"/>
  <c r="I115" i="11" s="1"/>
  <c r="L115" i="11" s="1"/>
  <c r="E115" i="11" s="1"/>
  <c r="G115" i="11"/>
  <c r="J115" i="11"/>
  <c r="K115" i="11" s="1"/>
  <c r="A116" i="11"/>
  <c r="C116" i="11"/>
  <c r="G116" i="11"/>
  <c r="H116" i="11" s="1"/>
  <c r="I116" i="11" s="1"/>
  <c r="L116" i="11" s="1"/>
  <c r="J116" i="11"/>
  <c r="K116" i="11"/>
  <c r="A117" i="11"/>
  <c r="C117" i="11"/>
  <c r="G117" i="11"/>
  <c r="H117" i="11"/>
  <c r="I117" i="11" s="1"/>
  <c r="J117" i="11"/>
  <c r="K117" i="11" s="1"/>
  <c r="A118" i="11"/>
  <c r="C118" i="11" s="1"/>
  <c r="H118" i="11" s="1"/>
  <c r="I118" i="11" s="1"/>
  <c r="L118" i="11" s="1"/>
  <c r="G118" i="11"/>
  <c r="J118" i="11"/>
  <c r="K118" i="11" s="1"/>
  <c r="A119" i="11"/>
  <c r="C119" i="11"/>
  <c r="G119" i="11"/>
  <c r="H119" i="11"/>
  <c r="I119" i="11" s="1"/>
  <c r="L119" i="11" s="1"/>
  <c r="E119" i="11" s="1"/>
  <c r="J119" i="11"/>
  <c r="K119" i="11"/>
  <c r="A120" i="11"/>
  <c r="C120" i="11"/>
  <c r="G120" i="11"/>
  <c r="J120" i="11"/>
  <c r="K120" i="11"/>
  <c r="A121" i="11"/>
  <c r="C121" i="11"/>
  <c r="H121" i="11" s="1"/>
  <c r="I121" i="11" s="1"/>
  <c r="L121" i="11" s="1"/>
  <c r="E121" i="11" s="1"/>
  <c r="G121" i="11"/>
  <c r="J121" i="11"/>
  <c r="K121" i="11" s="1"/>
  <c r="A122" i="11"/>
  <c r="C122" i="11"/>
  <c r="H122" i="11" s="1"/>
  <c r="I122" i="11"/>
  <c r="L122" i="11" s="1"/>
  <c r="G122" i="11"/>
  <c r="J122" i="11"/>
  <c r="K122" i="11" s="1"/>
  <c r="A130" i="11"/>
  <c r="C130" i="11"/>
  <c r="G130" i="11"/>
  <c r="H130" i="11"/>
  <c r="I130" i="11"/>
  <c r="L130" i="11" s="1"/>
  <c r="E130" i="11" s="1"/>
  <c r="W130" i="11" s="1"/>
  <c r="X130" i="11" s="1"/>
  <c r="J130" i="11"/>
  <c r="K130" i="11"/>
  <c r="A131" i="11"/>
  <c r="C131" i="11" s="1"/>
  <c r="G131" i="11"/>
  <c r="J131" i="11"/>
  <c r="K131" i="11" s="1"/>
  <c r="A132" i="11"/>
  <c r="C132" i="11"/>
  <c r="G132" i="11"/>
  <c r="H132" i="11"/>
  <c r="I132" i="11" s="1"/>
  <c r="L132" i="11" s="1"/>
  <c r="J132" i="11"/>
  <c r="K132" i="11"/>
  <c r="A133" i="11"/>
  <c r="C133" i="11" s="1"/>
  <c r="G133" i="11"/>
  <c r="J133" i="11"/>
  <c r="K133" i="11" s="1"/>
  <c r="A134" i="11"/>
  <c r="C134" i="11"/>
  <c r="G134" i="11"/>
  <c r="H134" i="11"/>
  <c r="I134" i="11"/>
  <c r="L134" i="11" s="1"/>
  <c r="E134" i="11" s="1"/>
  <c r="W134" i="11" s="1"/>
  <c r="X134" i="11" s="1"/>
  <c r="J134" i="11"/>
  <c r="K134" i="11"/>
  <c r="A135" i="11"/>
  <c r="C135" i="11" s="1"/>
  <c r="G135" i="11"/>
  <c r="J135" i="11"/>
  <c r="K135" i="11" s="1"/>
  <c r="A136" i="11"/>
  <c r="C136" i="11"/>
  <c r="G136" i="11"/>
  <c r="H136" i="11"/>
  <c r="I136" i="11" s="1"/>
  <c r="L136" i="11" s="1"/>
  <c r="E136" i="11" s="1"/>
  <c r="W136" i="11" s="1"/>
  <c r="X136" i="11" s="1"/>
  <c r="J136" i="11"/>
  <c r="K136" i="11"/>
  <c r="A137" i="11"/>
  <c r="C137" i="11" s="1"/>
  <c r="G137" i="11"/>
  <c r="J137" i="11"/>
  <c r="K137" i="11" s="1"/>
  <c r="L137" i="11" s="1"/>
  <c r="C138" i="11"/>
  <c r="H138" i="11" s="1"/>
  <c r="I138" i="11" s="1"/>
  <c r="L138" i="11" s="1"/>
  <c r="F138" i="11" s="1"/>
  <c r="G138" i="11"/>
  <c r="J138" i="11"/>
  <c r="K138" i="11" s="1"/>
  <c r="A139" i="11"/>
  <c r="C139" i="11"/>
  <c r="G139" i="11"/>
  <c r="J139" i="11"/>
  <c r="K139" i="11"/>
  <c r="A140" i="11"/>
  <c r="C140" i="11"/>
  <c r="H140" i="11" s="1"/>
  <c r="I140" i="11" s="1"/>
  <c r="L140" i="11" s="1"/>
  <c r="E140" i="11" s="1"/>
  <c r="G140" i="11"/>
  <c r="J140" i="11"/>
  <c r="K140" i="11" s="1"/>
  <c r="W140" i="11"/>
  <c r="X140" i="11" s="1"/>
  <c r="A141" i="11"/>
  <c r="C141" i="11" s="1"/>
  <c r="G141" i="11"/>
  <c r="J141" i="11"/>
  <c r="K141" i="11"/>
  <c r="W141" i="11"/>
  <c r="X141" i="11" s="1"/>
  <c r="A142" i="11"/>
  <c r="C142" i="11"/>
  <c r="G142" i="11"/>
  <c r="J142" i="11"/>
  <c r="K142" i="11"/>
  <c r="L142" i="11" s="1"/>
  <c r="A143" i="11"/>
  <c r="C143" i="11"/>
  <c r="G143" i="11"/>
  <c r="J143" i="11"/>
  <c r="K143" i="11"/>
  <c r="A144" i="11"/>
  <c r="C144" i="11"/>
  <c r="G144" i="11"/>
  <c r="J144" i="11"/>
  <c r="K144" i="11"/>
  <c r="A145" i="11"/>
  <c r="C145" i="11" s="1"/>
  <c r="H145" i="11" s="1"/>
  <c r="I145" i="11" s="1"/>
  <c r="G145" i="11"/>
  <c r="J145" i="11"/>
  <c r="K145" i="11"/>
  <c r="L145" i="11" s="1"/>
  <c r="F145" i="11" s="1"/>
  <c r="A146" i="11"/>
  <c r="C146" i="11"/>
  <c r="G146" i="11"/>
  <c r="J146" i="11"/>
  <c r="K146" i="11"/>
  <c r="A147" i="11"/>
  <c r="C147" i="11"/>
  <c r="G147" i="11"/>
  <c r="H147" i="11" s="1"/>
  <c r="I147" i="11" s="1"/>
  <c r="L147" i="11" s="1"/>
  <c r="E147" i="11" s="1"/>
  <c r="J147" i="11"/>
  <c r="K147" i="11"/>
  <c r="A148" i="11"/>
  <c r="C148" i="11"/>
  <c r="G148" i="11"/>
  <c r="H148" i="11" s="1"/>
  <c r="I148" i="11" s="1"/>
  <c r="L148" i="11" s="1"/>
  <c r="J148" i="11"/>
  <c r="K148" i="11"/>
  <c r="A149" i="11"/>
  <c r="C149" i="11"/>
  <c r="G149" i="11"/>
  <c r="J149" i="11"/>
  <c r="K149" i="11"/>
  <c r="A150" i="11"/>
  <c r="C150" i="11" s="1"/>
  <c r="H150" i="11" s="1"/>
  <c r="I150" i="11" s="1"/>
  <c r="G150" i="11"/>
  <c r="J150" i="11"/>
  <c r="K150" i="11"/>
  <c r="A151" i="11"/>
  <c r="C151" i="11"/>
  <c r="G151" i="11"/>
  <c r="J151" i="11"/>
  <c r="K151" i="11" s="1"/>
  <c r="A152" i="11"/>
  <c r="C152" i="11" s="1"/>
  <c r="H152" i="11" s="1"/>
  <c r="I152" i="11" s="1"/>
  <c r="L152" i="11" s="1"/>
  <c r="G152" i="11"/>
  <c r="J152" i="11"/>
  <c r="K152" i="11"/>
  <c r="A153" i="11"/>
  <c r="C153" i="11"/>
  <c r="G153" i="11"/>
  <c r="J153" i="11"/>
  <c r="K153" i="11"/>
  <c r="A154" i="11"/>
  <c r="C154" i="11" s="1"/>
  <c r="H154" i="11"/>
  <c r="I154" i="11" s="1"/>
  <c r="L154" i="11" s="1"/>
  <c r="G154" i="11"/>
  <c r="J154" i="11"/>
  <c r="K154" i="11"/>
  <c r="A155" i="11"/>
  <c r="C155" i="11" s="1"/>
  <c r="G155" i="11"/>
  <c r="J155" i="11"/>
  <c r="K155" i="11" s="1"/>
  <c r="A156" i="11"/>
  <c r="C156" i="11" s="1"/>
  <c r="H156" i="11" s="1"/>
  <c r="I156" i="11" s="1"/>
  <c r="G156" i="11"/>
  <c r="J156" i="11"/>
  <c r="K156" i="11" s="1"/>
  <c r="L156" i="11" s="1"/>
  <c r="E156" i="11" s="1"/>
  <c r="A157" i="11"/>
  <c r="C157" i="11" s="1"/>
  <c r="G157" i="11"/>
  <c r="J157" i="11"/>
  <c r="K157" i="11"/>
  <c r="A158" i="11"/>
  <c r="C158" i="11" s="1"/>
  <c r="H158" i="11"/>
  <c r="I158" i="11" s="1"/>
  <c r="L158" i="11" s="1"/>
  <c r="G158" i="11"/>
  <c r="J158" i="11"/>
  <c r="K158" i="11" s="1"/>
  <c r="T160" i="11"/>
  <c r="U160" i="11"/>
  <c r="A166" i="11"/>
  <c r="C166" i="11"/>
  <c r="G166" i="11"/>
  <c r="J166" i="11"/>
  <c r="K166" i="11" s="1"/>
  <c r="A167" i="11"/>
  <c r="C167" i="11"/>
  <c r="G167" i="11"/>
  <c r="H167" i="11" s="1"/>
  <c r="I167" i="11" s="1"/>
  <c r="L167" i="11" s="1"/>
  <c r="J167" i="11"/>
  <c r="K167" i="11"/>
  <c r="A168" i="11"/>
  <c r="C168" i="11"/>
  <c r="G168" i="11"/>
  <c r="J168" i="11"/>
  <c r="K168" i="11"/>
  <c r="A169" i="11"/>
  <c r="C169" i="11" s="1"/>
  <c r="H169" i="11" s="1"/>
  <c r="I169" i="11" s="1"/>
  <c r="L169" i="11" s="1"/>
  <c r="G169" i="11"/>
  <c r="J169" i="11"/>
  <c r="K169" i="11"/>
  <c r="A170" i="11"/>
  <c r="C170" i="11" s="1"/>
  <c r="G170" i="11"/>
  <c r="J170" i="11"/>
  <c r="K170" i="11" s="1"/>
  <c r="A171" i="11"/>
  <c r="C171" i="11" s="1"/>
  <c r="G171" i="11"/>
  <c r="J171" i="11"/>
  <c r="K171" i="11"/>
  <c r="A172" i="11"/>
  <c r="C172" i="11"/>
  <c r="G172" i="11"/>
  <c r="J172" i="11"/>
  <c r="K172" i="11" s="1"/>
  <c r="A173" i="11"/>
  <c r="C173" i="11"/>
  <c r="H173" i="11" s="1"/>
  <c r="I173" i="11" s="1"/>
  <c r="L173" i="11" s="1"/>
  <c r="G173" i="11"/>
  <c r="J173" i="11"/>
  <c r="K173" i="11" s="1"/>
  <c r="A174" i="11"/>
  <c r="C174" i="11"/>
  <c r="G174" i="11"/>
  <c r="J174" i="11"/>
  <c r="K174" i="11"/>
  <c r="A175" i="11"/>
  <c r="C175" i="11" s="1"/>
  <c r="H175" i="11" s="1"/>
  <c r="I175" i="11" s="1"/>
  <c r="L175" i="11" s="1"/>
  <c r="G175" i="11"/>
  <c r="J175" i="11"/>
  <c r="K175" i="11"/>
  <c r="A176" i="11"/>
  <c r="C176" i="11"/>
  <c r="G176" i="11"/>
  <c r="J176" i="11"/>
  <c r="K176" i="11" s="1"/>
  <c r="A177" i="11"/>
  <c r="C177" i="11"/>
  <c r="G177" i="11"/>
  <c r="J177" i="11"/>
  <c r="K177" i="11"/>
  <c r="A178" i="11"/>
  <c r="C178" i="11"/>
  <c r="G178" i="11"/>
  <c r="J178" i="11"/>
  <c r="K178" i="11"/>
  <c r="A179" i="11"/>
  <c r="C179" i="11" s="1"/>
  <c r="G179" i="11"/>
  <c r="J179" i="11"/>
  <c r="K179" i="11"/>
  <c r="A180" i="11"/>
  <c r="C180" i="11" s="1"/>
  <c r="G180" i="11"/>
  <c r="J180" i="11"/>
  <c r="K180" i="11" s="1"/>
  <c r="A181" i="11"/>
  <c r="C181" i="11" s="1"/>
  <c r="G181" i="11"/>
  <c r="J181" i="11"/>
  <c r="K181" i="11"/>
  <c r="A182" i="11"/>
  <c r="C182" i="11" s="1"/>
  <c r="G182" i="11"/>
  <c r="J182" i="11"/>
  <c r="K182" i="11" s="1"/>
  <c r="A183" i="11"/>
  <c r="C183" i="11" s="1"/>
  <c r="H183" i="11" s="1"/>
  <c r="I183" i="11" s="1"/>
  <c r="L183" i="11" s="1"/>
  <c r="G183" i="11"/>
  <c r="J183" i="11"/>
  <c r="K183" i="11" s="1"/>
  <c r="A184" i="11"/>
  <c r="C184" i="11"/>
  <c r="G184" i="11"/>
  <c r="J184" i="11"/>
  <c r="K184" i="11"/>
  <c r="A185" i="11"/>
  <c r="C185" i="11" s="1"/>
  <c r="G185" i="11"/>
  <c r="J185" i="11"/>
  <c r="K185" i="11"/>
  <c r="A186" i="11"/>
  <c r="C186" i="11"/>
  <c r="G186" i="11"/>
  <c r="J186" i="11"/>
  <c r="K186" i="11" s="1"/>
  <c r="A187" i="11"/>
  <c r="C187" i="11" s="1"/>
  <c r="G187" i="11"/>
  <c r="J187" i="11"/>
  <c r="K187" i="11" s="1"/>
  <c r="A188" i="11"/>
  <c r="C188" i="11"/>
  <c r="G188" i="11"/>
  <c r="J188" i="11"/>
  <c r="K188" i="11" s="1"/>
  <c r="A189" i="11"/>
  <c r="C189" i="11"/>
  <c r="G189" i="11"/>
  <c r="J189" i="11"/>
  <c r="K189" i="11"/>
  <c r="A190" i="11"/>
  <c r="C190" i="11"/>
  <c r="G190" i="11"/>
  <c r="J190" i="11"/>
  <c r="K190" i="11"/>
  <c r="A191" i="11"/>
  <c r="C191" i="11" s="1"/>
  <c r="G191" i="11"/>
  <c r="J191" i="11"/>
  <c r="K191" i="11"/>
  <c r="A192" i="11"/>
  <c r="C192" i="11"/>
  <c r="G192" i="11"/>
  <c r="J192" i="11"/>
  <c r="K192" i="11" s="1"/>
  <c r="A193" i="11"/>
  <c r="C193" i="11" s="1"/>
  <c r="G193" i="11"/>
  <c r="J193" i="11"/>
  <c r="K193" i="11"/>
  <c r="A194" i="11"/>
  <c r="C194" i="11"/>
  <c r="G194" i="11"/>
  <c r="J194" i="11"/>
  <c r="K194" i="11" s="1"/>
  <c r="A202" i="11"/>
  <c r="C202" i="11" s="1"/>
  <c r="G202" i="11"/>
  <c r="J202" i="11"/>
  <c r="K202" i="11"/>
  <c r="A203" i="11"/>
  <c r="C203" i="11" s="1"/>
  <c r="G203" i="11"/>
  <c r="J203" i="11"/>
  <c r="K203" i="11" s="1"/>
  <c r="A204" i="11"/>
  <c r="C204" i="11" s="1"/>
  <c r="G204" i="11"/>
  <c r="J204" i="11"/>
  <c r="K204" i="11"/>
  <c r="A205" i="11"/>
  <c r="C205" i="11"/>
  <c r="G205" i="11"/>
  <c r="J205" i="11"/>
  <c r="K205" i="11" s="1"/>
  <c r="A206" i="11"/>
  <c r="C206" i="11"/>
  <c r="G206" i="11"/>
  <c r="J206" i="11"/>
  <c r="K206" i="11"/>
  <c r="A207" i="11"/>
  <c r="C207" i="11"/>
  <c r="G207" i="11"/>
  <c r="J207" i="11"/>
  <c r="K207" i="11"/>
  <c r="A208" i="11"/>
  <c r="C208" i="11" s="1"/>
  <c r="G208" i="11"/>
  <c r="J208" i="11"/>
  <c r="K208" i="11"/>
  <c r="A209" i="11"/>
  <c r="C209" i="11" s="1"/>
  <c r="G209" i="11"/>
  <c r="J209" i="11"/>
  <c r="K209" i="11" s="1"/>
  <c r="A210" i="11"/>
  <c r="C210" i="11" s="1"/>
  <c r="G210" i="11"/>
  <c r="J210" i="11"/>
  <c r="K210" i="11" s="1"/>
  <c r="A211" i="11"/>
  <c r="C211" i="11"/>
  <c r="G211" i="11"/>
  <c r="J211" i="11"/>
  <c r="K211" i="11"/>
  <c r="A212" i="11"/>
  <c r="C212" i="11" s="1"/>
  <c r="G212" i="11"/>
  <c r="J212" i="11"/>
  <c r="K212" i="11"/>
  <c r="A213" i="11"/>
  <c r="C213" i="11"/>
  <c r="G213" i="11"/>
  <c r="J213" i="11"/>
  <c r="K213" i="11" s="1"/>
  <c r="A214" i="11"/>
  <c r="C214" i="11"/>
  <c r="G214" i="11"/>
  <c r="J214" i="11"/>
  <c r="K214" i="11"/>
  <c r="A215" i="11"/>
  <c r="C215" i="11" s="1"/>
  <c r="G215" i="11"/>
  <c r="J215" i="11"/>
  <c r="K215" i="11"/>
  <c r="A216" i="11"/>
  <c r="C216" i="11" s="1"/>
  <c r="G216" i="11"/>
  <c r="J216" i="11"/>
  <c r="K216" i="11" s="1"/>
  <c r="A217" i="11"/>
  <c r="C217" i="11" s="1"/>
  <c r="G217" i="11"/>
  <c r="J217" i="11"/>
  <c r="K217" i="11" s="1"/>
  <c r="A218" i="11"/>
  <c r="C218" i="11"/>
  <c r="G218" i="11"/>
  <c r="J218" i="11"/>
  <c r="K218" i="11" s="1"/>
  <c r="A219" i="11"/>
  <c r="C219" i="11"/>
  <c r="G219" i="11"/>
  <c r="J219" i="11"/>
  <c r="K219" i="11"/>
  <c r="A220" i="11"/>
  <c r="C220" i="11" s="1"/>
  <c r="G220" i="11"/>
  <c r="J220" i="11"/>
  <c r="K220" i="11"/>
  <c r="A221" i="11"/>
  <c r="C221" i="11"/>
  <c r="G221" i="11"/>
  <c r="J221" i="11"/>
  <c r="K221" i="11" s="1"/>
  <c r="A222" i="11"/>
  <c r="C222" i="11"/>
  <c r="G222" i="11"/>
  <c r="J222" i="11"/>
  <c r="K222" i="11"/>
  <c r="A223" i="11"/>
  <c r="C223" i="11" s="1"/>
  <c r="G223" i="11"/>
  <c r="J223" i="11"/>
  <c r="K223" i="11"/>
  <c r="A224" i="11"/>
  <c r="C224" i="11" s="1"/>
  <c r="G224" i="11"/>
  <c r="J224" i="11"/>
  <c r="K224" i="11"/>
  <c r="A225" i="11"/>
  <c r="C225" i="11" s="1"/>
  <c r="G225" i="11"/>
  <c r="J225" i="11"/>
  <c r="K225" i="11" s="1"/>
  <c r="A226" i="11"/>
  <c r="C226" i="11" s="1"/>
  <c r="H226" i="11" s="1"/>
  <c r="I226" i="11" s="1"/>
  <c r="L226" i="11" s="1"/>
  <c r="G226" i="11"/>
  <c r="J226" i="11"/>
  <c r="K226" i="11" s="1"/>
  <c r="A227" i="11"/>
  <c r="C227" i="11"/>
  <c r="G227" i="11"/>
  <c r="J227" i="11"/>
  <c r="K227" i="11"/>
  <c r="A228" i="11"/>
  <c r="C228" i="11" s="1"/>
  <c r="G228" i="11"/>
  <c r="J228" i="11"/>
  <c r="K228" i="11"/>
  <c r="A229" i="11"/>
  <c r="C229" i="11"/>
  <c r="G229" i="11"/>
  <c r="J229" i="11"/>
  <c r="K229" i="11" s="1"/>
  <c r="A230" i="11"/>
  <c r="C230" i="11"/>
  <c r="G230" i="11"/>
  <c r="J230" i="11"/>
  <c r="K230" i="11"/>
  <c r="A238" i="11"/>
  <c r="C238" i="11" s="1"/>
  <c r="G238" i="11"/>
  <c r="J238" i="11"/>
  <c r="K238" i="11"/>
  <c r="A239" i="11"/>
  <c r="C239" i="11" s="1"/>
  <c r="G239" i="11"/>
  <c r="J239" i="11"/>
  <c r="K239" i="11"/>
  <c r="A240" i="11"/>
  <c r="C240" i="11" s="1"/>
  <c r="G240" i="11"/>
  <c r="J240" i="11"/>
  <c r="K240" i="11" s="1"/>
  <c r="A241" i="11"/>
  <c r="C241" i="11" s="1"/>
  <c r="G241" i="11"/>
  <c r="J241" i="11"/>
  <c r="K241" i="11" s="1"/>
  <c r="A242" i="11"/>
  <c r="C242" i="11"/>
  <c r="G242" i="11"/>
  <c r="J242" i="11"/>
  <c r="K242" i="11"/>
  <c r="A243" i="11"/>
  <c r="C243" i="11" s="1"/>
  <c r="G243" i="11"/>
  <c r="J243" i="11"/>
  <c r="K243" i="11"/>
  <c r="A244" i="11"/>
  <c r="C244" i="11"/>
  <c r="G244" i="11"/>
  <c r="J244" i="11"/>
  <c r="K244" i="11" s="1"/>
  <c r="A245" i="11"/>
  <c r="C245" i="11"/>
  <c r="G245" i="11"/>
  <c r="J245" i="11"/>
  <c r="K245" i="11"/>
  <c r="A246" i="11"/>
  <c r="C246" i="11"/>
  <c r="G246" i="11"/>
  <c r="J246" i="11"/>
  <c r="K246" i="11"/>
  <c r="A247" i="11"/>
  <c r="C247" i="11" s="1"/>
  <c r="G247" i="11"/>
  <c r="J247" i="11"/>
  <c r="K247" i="11"/>
  <c r="A248" i="11"/>
  <c r="C248" i="11" s="1"/>
  <c r="G248" i="11"/>
  <c r="J248" i="11"/>
  <c r="K248" i="11" s="1"/>
  <c r="A249" i="11"/>
  <c r="C249" i="11" s="1"/>
  <c r="G249" i="11"/>
  <c r="J249" i="11"/>
  <c r="K249" i="11" s="1"/>
  <c r="A250" i="11"/>
  <c r="C250" i="11" s="1"/>
  <c r="G250" i="11"/>
  <c r="J250" i="11"/>
  <c r="K250" i="11"/>
  <c r="A251" i="11"/>
  <c r="C251" i="11" s="1"/>
  <c r="G251" i="11"/>
  <c r="J251" i="11"/>
  <c r="K251" i="11"/>
  <c r="A252" i="11"/>
  <c r="C252" i="11"/>
  <c r="H252" i="11" s="1"/>
  <c r="I252" i="11" s="1"/>
  <c r="G252" i="11"/>
  <c r="J252" i="11"/>
  <c r="K252" i="11"/>
  <c r="A253" i="11"/>
  <c r="C253" i="11"/>
  <c r="G253" i="11"/>
  <c r="H253" i="11" s="1"/>
  <c r="I253" i="11" s="1"/>
  <c r="J253" i="11"/>
  <c r="K253" i="11"/>
  <c r="A254" i="11"/>
  <c r="C254" i="11" s="1"/>
  <c r="G254" i="11"/>
  <c r="J254" i="11"/>
  <c r="K254" i="11"/>
  <c r="A255" i="11"/>
  <c r="C255" i="11" s="1"/>
  <c r="G255" i="11"/>
  <c r="H255" i="11"/>
  <c r="I255" i="11" s="1"/>
  <c r="J255" i="11"/>
  <c r="K255" i="11" s="1"/>
  <c r="A256" i="11"/>
  <c r="C256" i="11" s="1"/>
  <c r="H256" i="11" s="1"/>
  <c r="I256" i="11" s="1"/>
  <c r="L256" i="11" s="1"/>
  <c r="G256" i="11"/>
  <c r="J256" i="11"/>
  <c r="K256" i="11" s="1"/>
  <c r="A257" i="11"/>
  <c r="C257" i="11"/>
  <c r="H257" i="11" s="1"/>
  <c r="I257" i="11" s="1"/>
  <c r="G257" i="11"/>
  <c r="J257" i="11"/>
  <c r="K257" i="11" s="1"/>
  <c r="A258" i="11"/>
  <c r="C258" i="11"/>
  <c r="H258" i="11" s="1"/>
  <c r="G258" i="11"/>
  <c r="I258" i="11"/>
  <c r="L258" i="11" s="1"/>
  <c r="J258" i="11"/>
  <c r="K258" i="11"/>
  <c r="A259" i="11"/>
  <c r="C259" i="11"/>
  <c r="G259" i="11"/>
  <c r="J259" i="11"/>
  <c r="K259" i="11" s="1"/>
  <c r="A260" i="11"/>
  <c r="C260" i="11" s="1"/>
  <c r="G260" i="11"/>
  <c r="H260" i="11" s="1"/>
  <c r="I260" i="11" s="1"/>
  <c r="L260" i="11" s="1"/>
  <c r="J260" i="11"/>
  <c r="K260" i="11" s="1"/>
  <c r="A261" i="11"/>
  <c r="C261" i="11" s="1"/>
  <c r="H261" i="11" s="1"/>
  <c r="I261" i="11" s="1"/>
  <c r="G261" i="11"/>
  <c r="J261" i="11"/>
  <c r="K261" i="11"/>
  <c r="L261" i="11" s="1"/>
  <c r="E261" i="11" s="1"/>
  <c r="A262" i="11"/>
  <c r="C262" i="11"/>
  <c r="H262" i="11" s="1"/>
  <c r="I262" i="11" s="1"/>
  <c r="L262" i="11" s="1"/>
  <c r="G262" i="11"/>
  <c r="J262" i="11"/>
  <c r="K262" i="11"/>
  <c r="A263" i="11"/>
  <c r="C263" i="11" s="1"/>
  <c r="G263" i="11"/>
  <c r="H263" i="11"/>
  <c r="I263" i="11" s="1"/>
  <c r="L263" i="11" s="1"/>
  <c r="J263" i="11"/>
  <c r="K263" i="11"/>
  <c r="A264" i="11"/>
  <c r="C264" i="11"/>
  <c r="H264" i="11" s="1"/>
  <c r="G264" i="11"/>
  <c r="I264" i="11"/>
  <c r="L264" i="11" s="1"/>
  <c r="J264" i="11"/>
  <c r="K264" i="11"/>
  <c r="A265" i="11"/>
  <c r="C265" i="11"/>
  <c r="G265" i="11"/>
  <c r="J265" i="11"/>
  <c r="K265" i="11" s="1"/>
  <c r="A266" i="11"/>
  <c r="C266" i="11" s="1"/>
  <c r="H266" i="11" s="1"/>
  <c r="I266" i="11" s="1"/>
  <c r="L266" i="11" s="1"/>
  <c r="G266" i="11"/>
  <c r="J266" i="11"/>
  <c r="K266" i="11" s="1"/>
  <c r="D54" i="9"/>
  <c r="K54" i="9"/>
  <c r="L54" i="9"/>
  <c r="M54" i="9"/>
  <c r="N54" i="9"/>
  <c r="D55" i="9"/>
  <c r="K55" i="9"/>
  <c r="L55" i="9"/>
  <c r="M55" i="9"/>
  <c r="N55" i="9"/>
  <c r="D56" i="9"/>
  <c r="K56" i="9"/>
  <c r="L56" i="9"/>
  <c r="M56" i="9"/>
  <c r="N56" i="9"/>
  <c r="D57" i="9"/>
  <c r="K57" i="9"/>
  <c r="L57" i="9"/>
  <c r="M57" i="9"/>
  <c r="N57" i="9"/>
  <c r="D58" i="9"/>
  <c r="K58" i="9"/>
  <c r="L58" i="9"/>
  <c r="M58" i="9"/>
  <c r="N58" i="9"/>
  <c r="D59" i="9"/>
  <c r="K59" i="9"/>
  <c r="L59" i="9"/>
  <c r="M59" i="9"/>
  <c r="N59" i="9"/>
  <c r="D60" i="9"/>
  <c r="K60" i="9"/>
  <c r="L60" i="9"/>
  <c r="M60" i="9"/>
  <c r="N60" i="9"/>
  <c r="D61" i="9"/>
  <c r="K61" i="9"/>
  <c r="L61" i="9"/>
  <c r="M61" i="9"/>
  <c r="N61" i="9"/>
  <c r="D62" i="9"/>
  <c r="K62" i="9"/>
  <c r="L62" i="9"/>
  <c r="M62" i="9"/>
  <c r="N62" i="9"/>
  <c r="D63" i="9"/>
  <c r="K63" i="9"/>
  <c r="L63" i="9"/>
  <c r="M63" i="9"/>
  <c r="N63" i="9"/>
  <c r="D64" i="9"/>
  <c r="K64" i="9"/>
  <c r="L64" i="9"/>
  <c r="M64" i="9"/>
  <c r="N64" i="9"/>
  <c r="D65" i="9"/>
  <c r="K65" i="9"/>
  <c r="L65" i="9"/>
  <c r="M65" i="9"/>
  <c r="N65" i="9"/>
  <c r="D66" i="9"/>
  <c r="K66" i="9"/>
  <c r="L66" i="9"/>
  <c r="M66" i="9"/>
  <c r="N66" i="9"/>
  <c r="D67" i="9"/>
  <c r="K67" i="9"/>
  <c r="L67" i="9"/>
  <c r="M67" i="9"/>
  <c r="N67" i="9"/>
  <c r="D68" i="9"/>
  <c r="K68" i="9"/>
  <c r="L68" i="9"/>
  <c r="M68" i="9"/>
  <c r="N68" i="9"/>
  <c r="D69" i="9"/>
  <c r="K69" i="9"/>
  <c r="L69" i="9"/>
  <c r="M69" i="9"/>
  <c r="N69" i="9"/>
  <c r="D70" i="9"/>
  <c r="K70" i="9"/>
  <c r="L70" i="9"/>
  <c r="M70" i="9"/>
  <c r="N70" i="9"/>
  <c r="D71" i="9"/>
  <c r="K71" i="9"/>
  <c r="L71" i="9"/>
  <c r="M71" i="9"/>
  <c r="N71" i="9"/>
  <c r="D72" i="9"/>
  <c r="K72" i="9"/>
  <c r="L72" i="9"/>
  <c r="M72" i="9"/>
  <c r="N72" i="9"/>
  <c r="D73" i="9"/>
  <c r="K73" i="9"/>
  <c r="L73" i="9"/>
  <c r="M73" i="9"/>
  <c r="N73" i="9"/>
  <c r="D74" i="9"/>
  <c r="K74" i="9"/>
  <c r="L74" i="9"/>
  <c r="M74" i="9"/>
  <c r="N74" i="9"/>
  <c r="D75" i="9"/>
  <c r="K75" i="9"/>
  <c r="L75" i="9"/>
  <c r="M75" i="9"/>
  <c r="N75" i="9"/>
  <c r="D76" i="9"/>
  <c r="K76" i="9"/>
  <c r="L76" i="9"/>
  <c r="M76" i="9"/>
  <c r="N76" i="9"/>
  <c r="D77" i="9"/>
  <c r="K77" i="9"/>
  <c r="L77" i="9"/>
  <c r="M77" i="9"/>
  <c r="N77" i="9"/>
  <c r="D78" i="9"/>
  <c r="K78" i="9"/>
  <c r="L78" i="9"/>
  <c r="M78" i="9"/>
  <c r="N78" i="9"/>
  <c r="D79" i="9"/>
  <c r="K79" i="9"/>
  <c r="L79" i="9"/>
  <c r="M79" i="9"/>
  <c r="N79" i="9"/>
  <c r="D80" i="9"/>
  <c r="K80" i="9"/>
  <c r="L80" i="9"/>
  <c r="M80" i="9"/>
  <c r="N80" i="9"/>
  <c r="D81" i="9"/>
  <c r="K81" i="9"/>
  <c r="L81" i="9"/>
  <c r="M81" i="9"/>
  <c r="N81" i="9"/>
  <c r="D82" i="9"/>
  <c r="K82" i="9"/>
  <c r="L82" i="9"/>
  <c r="M82" i="9"/>
  <c r="N82" i="9"/>
  <c r="D83" i="9"/>
  <c r="K83" i="9"/>
  <c r="L83" i="9"/>
  <c r="M83" i="9"/>
  <c r="N83" i="9"/>
  <c r="D84" i="9"/>
  <c r="K84" i="9"/>
  <c r="L84" i="9"/>
  <c r="M84" i="9"/>
  <c r="N84" i="9"/>
  <c r="D85" i="9"/>
  <c r="K85" i="9"/>
  <c r="L85" i="9"/>
  <c r="M85" i="9"/>
  <c r="N85" i="9"/>
  <c r="D86" i="9"/>
  <c r="K86" i="9"/>
  <c r="L86" i="9"/>
  <c r="M86" i="9"/>
  <c r="N86" i="9"/>
  <c r="D87" i="9"/>
  <c r="K87" i="9"/>
  <c r="L87" i="9"/>
  <c r="M87" i="9"/>
  <c r="N87" i="9"/>
  <c r="D88" i="9"/>
  <c r="K88" i="9"/>
  <c r="L88" i="9"/>
  <c r="M88" i="9"/>
  <c r="N88" i="9"/>
  <c r="D89" i="9"/>
  <c r="K89" i="9"/>
  <c r="L89" i="9"/>
  <c r="M89" i="9"/>
  <c r="N89" i="9"/>
  <c r="D90" i="9"/>
  <c r="K90" i="9"/>
  <c r="L90" i="9"/>
  <c r="M90" i="9"/>
  <c r="N90" i="9"/>
  <c r="D91" i="9"/>
  <c r="K91" i="9"/>
  <c r="L91" i="9"/>
  <c r="M91" i="9"/>
  <c r="N91" i="9"/>
  <c r="D92" i="9"/>
  <c r="K92" i="9"/>
  <c r="L92" i="9"/>
  <c r="M92" i="9"/>
  <c r="N92" i="9"/>
  <c r="D93" i="9"/>
  <c r="K93" i="9"/>
  <c r="L93" i="9"/>
  <c r="M93" i="9"/>
  <c r="N93" i="9"/>
  <c r="D94" i="9"/>
  <c r="K94" i="9"/>
  <c r="L94" i="9"/>
  <c r="M94" i="9"/>
  <c r="N94" i="9"/>
  <c r="D95" i="9"/>
  <c r="K95" i="9"/>
  <c r="L95" i="9"/>
  <c r="M95" i="9"/>
  <c r="N95" i="9"/>
  <c r="D96" i="9"/>
  <c r="K96" i="9"/>
  <c r="L96" i="9"/>
  <c r="M96" i="9"/>
  <c r="N96" i="9"/>
  <c r="D97" i="9"/>
  <c r="K97" i="9"/>
  <c r="L97" i="9"/>
  <c r="M97" i="9"/>
  <c r="N97" i="9"/>
  <c r="D98" i="9"/>
  <c r="K98" i="9"/>
  <c r="L98" i="9"/>
  <c r="M98" i="9"/>
  <c r="N98" i="9"/>
  <c r="D99" i="9"/>
  <c r="K99" i="9"/>
  <c r="L99" i="9"/>
  <c r="M99" i="9"/>
  <c r="N99" i="9"/>
  <c r="D100" i="9"/>
  <c r="K100" i="9"/>
  <c r="L100" i="9"/>
  <c r="M100" i="9"/>
  <c r="N100" i="9"/>
  <c r="D101" i="9"/>
  <c r="K101" i="9"/>
  <c r="L101" i="9"/>
  <c r="M101" i="9"/>
  <c r="N101" i="9"/>
  <c r="D102" i="9"/>
  <c r="K102" i="9"/>
  <c r="L102" i="9"/>
  <c r="M102" i="9"/>
  <c r="N102" i="9"/>
  <c r="D103" i="9"/>
  <c r="K103" i="9"/>
  <c r="L103" i="9"/>
  <c r="M103" i="9"/>
  <c r="N103" i="9"/>
  <c r="D104" i="9"/>
  <c r="K104" i="9"/>
  <c r="L104" i="9"/>
  <c r="M104" i="9"/>
  <c r="N104" i="9"/>
  <c r="D105" i="9"/>
  <c r="K105" i="9"/>
  <c r="L105" i="9"/>
  <c r="M105" i="9"/>
  <c r="N105" i="9"/>
  <c r="D106" i="9"/>
  <c r="K106" i="9"/>
  <c r="L106" i="9"/>
  <c r="M106" i="9"/>
  <c r="N106" i="9"/>
  <c r="D2" i="10"/>
  <c r="K2" i="10"/>
  <c r="L2" i="10"/>
  <c r="M2" i="10"/>
  <c r="N2" i="10"/>
  <c r="D3" i="10"/>
  <c r="K3" i="10"/>
  <c r="L3" i="10"/>
  <c r="M3" i="10"/>
  <c r="N3" i="10"/>
  <c r="D4" i="10"/>
  <c r="K4" i="10"/>
  <c r="L4" i="10"/>
  <c r="M4" i="10"/>
  <c r="N4" i="10"/>
  <c r="D5" i="10"/>
  <c r="K5" i="10"/>
  <c r="L5" i="10"/>
  <c r="M5" i="10"/>
  <c r="N5" i="10"/>
  <c r="D6" i="10"/>
  <c r="K6" i="10"/>
  <c r="L6" i="10"/>
  <c r="M6" i="10"/>
  <c r="N6" i="10"/>
  <c r="D7" i="10"/>
  <c r="K7" i="10"/>
  <c r="L7" i="10"/>
  <c r="M7" i="10"/>
  <c r="N7" i="10"/>
  <c r="D8" i="10"/>
  <c r="K8" i="10"/>
  <c r="L8" i="10"/>
  <c r="M8" i="10"/>
  <c r="N8" i="10"/>
  <c r="D9" i="10"/>
  <c r="K9" i="10"/>
  <c r="L9" i="10"/>
  <c r="M9" i="10"/>
  <c r="N9" i="10"/>
  <c r="D10" i="10"/>
  <c r="K10" i="10"/>
  <c r="L10" i="10"/>
  <c r="M10" i="10"/>
  <c r="N10" i="10"/>
  <c r="D11" i="10"/>
  <c r="K11" i="10"/>
  <c r="L11" i="10"/>
  <c r="M11" i="10"/>
  <c r="N11" i="10"/>
  <c r="D12" i="10"/>
  <c r="K12" i="10"/>
  <c r="L12" i="10"/>
  <c r="M12" i="10"/>
  <c r="N12" i="10"/>
  <c r="D13" i="10"/>
  <c r="K13" i="10"/>
  <c r="L13" i="10"/>
  <c r="M13" i="10"/>
  <c r="N13" i="10"/>
  <c r="D14" i="10"/>
  <c r="K14" i="10"/>
  <c r="L14" i="10"/>
  <c r="M14" i="10"/>
  <c r="N14" i="10"/>
  <c r="D15" i="10"/>
  <c r="K15" i="10"/>
  <c r="L15" i="10"/>
  <c r="M15" i="10"/>
  <c r="N15" i="10"/>
  <c r="D16" i="10"/>
  <c r="K16" i="10"/>
  <c r="L16" i="10"/>
  <c r="M16" i="10"/>
  <c r="N16" i="10"/>
  <c r="D17" i="10"/>
  <c r="K17" i="10"/>
  <c r="L17" i="10"/>
  <c r="M17" i="10"/>
  <c r="N17" i="10"/>
  <c r="D18" i="10"/>
  <c r="K18" i="10"/>
  <c r="L18" i="10"/>
  <c r="M18" i="10"/>
  <c r="N18" i="10"/>
  <c r="D19" i="10"/>
  <c r="K19" i="10"/>
  <c r="L19" i="10"/>
  <c r="M19" i="10"/>
  <c r="N19" i="10"/>
  <c r="D20" i="10"/>
  <c r="K20" i="10"/>
  <c r="L20" i="10"/>
  <c r="M20" i="10"/>
  <c r="N20" i="10"/>
  <c r="D21" i="10"/>
  <c r="K21" i="10"/>
  <c r="L21" i="10"/>
  <c r="M21" i="10"/>
  <c r="N21" i="10"/>
  <c r="D22" i="10"/>
  <c r="K22" i="10"/>
  <c r="L22" i="10"/>
  <c r="M22" i="10"/>
  <c r="N22" i="10"/>
  <c r="D23" i="10"/>
  <c r="K23" i="10"/>
  <c r="L23" i="10"/>
  <c r="M23" i="10"/>
  <c r="N23" i="10"/>
  <c r="D24" i="10"/>
  <c r="K24" i="10"/>
  <c r="L24" i="10"/>
  <c r="M24" i="10"/>
  <c r="N24" i="10"/>
  <c r="D25" i="10"/>
  <c r="K25" i="10"/>
  <c r="L25" i="10"/>
  <c r="M25" i="10"/>
  <c r="N25" i="10"/>
  <c r="D26" i="10"/>
  <c r="K26" i="10"/>
  <c r="L26" i="10"/>
  <c r="M26" i="10"/>
  <c r="N26" i="10"/>
  <c r="D27" i="10"/>
  <c r="K27" i="10"/>
  <c r="L27" i="10"/>
  <c r="M27" i="10"/>
  <c r="N27" i="10"/>
  <c r="D28" i="10"/>
  <c r="K28" i="10"/>
  <c r="L28" i="10"/>
  <c r="M28" i="10"/>
  <c r="N28" i="10"/>
  <c r="D29" i="10"/>
  <c r="K29" i="10"/>
  <c r="L29" i="10"/>
  <c r="M29" i="10"/>
  <c r="N29" i="10"/>
  <c r="D30" i="10"/>
  <c r="K30" i="10"/>
  <c r="L30" i="10"/>
  <c r="M30" i="10"/>
  <c r="N30" i="10"/>
  <c r="D31" i="10"/>
  <c r="K31" i="10"/>
  <c r="L31" i="10"/>
  <c r="M31" i="10"/>
  <c r="N31" i="10"/>
  <c r="D32" i="10"/>
  <c r="K32" i="10"/>
  <c r="L32" i="10"/>
  <c r="M32" i="10"/>
  <c r="N32" i="10"/>
  <c r="D33" i="10"/>
  <c r="K33" i="10"/>
  <c r="L33" i="10"/>
  <c r="M33" i="10"/>
  <c r="N33" i="10"/>
  <c r="D34" i="10"/>
  <c r="K34" i="10"/>
  <c r="L34" i="10"/>
  <c r="M34" i="10"/>
  <c r="N34" i="10"/>
  <c r="D35" i="10"/>
  <c r="K35" i="10"/>
  <c r="L35" i="10"/>
  <c r="M35" i="10"/>
  <c r="N35" i="10"/>
  <c r="D36" i="10"/>
  <c r="K36" i="10"/>
  <c r="L36" i="10"/>
  <c r="M36" i="10"/>
  <c r="N36" i="10"/>
  <c r="D37" i="10"/>
  <c r="K37" i="10"/>
  <c r="L37" i="10"/>
  <c r="M37" i="10"/>
  <c r="N37" i="10"/>
  <c r="D38" i="10"/>
  <c r="K38" i="10"/>
  <c r="L38" i="10"/>
  <c r="M38" i="10"/>
  <c r="N38" i="10"/>
  <c r="D39" i="10"/>
  <c r="K39" i="10"/>
  <c r="L39" i="10"/>
  <c r="M39" i="10"/>
  <c r="N39" i="10"/>
  <c r="D40" i="10"/>
  <c r="K40" i="10"/>
  <c r="L40" i="10"/>
  <c r="M40" i="10"/>
  <c r="N40" i="10"/>
  <c r="D41" i="10"/>
  <c r="K41" i="10"/>
  <c r="L41" i="10"/>
  <c r="M41" i="10"/>
  <c r="N41" i="10"/>
  <c r="D42" i="10"/>
  <c r="K42" i="10"/>
  <c r="L42" i="10"/>
  <c r="M42" i="10"/>
  <c r="N42" i="10"/>
  <c r="D43" i="10"/>
  <c r="K43" i="10"/>
  <c r="L43" i="10"/>
  <c r="M43" i="10"/>
  <c r="N43" i="10"/>
  <c r="D44" i="10"/>
  <c r="K44" i="10"/>
  <c r="L44" i="10"/>
  <c r="M44" i="10"/>
  <c r="N44" i="10"/>
  <c r="D45" i="10"/>
  <c r="K45" i="10"/>
  <c r="L45" i="10"/>
  <c r="M45" i="10"/>
  <c r="N45" i="10"/>
  <c r="D46" i="10"/>
  <c r="K46" i="10"/>
  <c r="L46" i="10"/>
  <c r="M46" i="10"/>
  <c r="N46" i="10"/>
  <c r="D47" i="10"/>
  <c r="K47" i="10"/>
  <c r="L47" i="10"/>
  <c r="M47" i="10"/>
  <c r="N47" i="10"/>
  <c r="D48" i="10"/>
  <c r="K48" i="10"/>
  <c r="L48" i="10"/>
  <c r="M48" i="10"/>
  <c r="N48" i="10"/>
  <c r="D49" i="10"/>
  <c r="K49" i="10"/>
  <c r="L49" i="10"/>
  <c r="M49" i="10"/>
  <c r="N49" i="10"/>
  <c r="D50" i="10"/>
  <c r="K50" i="10"/>
  <c r="L50" i="10"/>
  <c r="M50" i="10"/>
  <c r="N50" i="10"/>
  <c r="D51" i="10"/>
  <c r="K51" i="10"/>
  <c r="L51" i="10"/>
  <c r="M51" i="10"/>
  <c r="N51" i="10"/>
  <c r="D52" i="10"/>
  <c r="K52" i="10"/>
  <c r="L52" i="10"/>
  <c r="M52" i="10"/>
  <c r="N52" i="10"/>
  <c r="D53" i="10"/>
  <c r="K53" i="10"/>
  <c r="L53" i="10"/>
  <c r="M53" i="10"/>
  <c r="N53" i="10"/>
  <c r="D54" i="10"/>
  <c r="K54" i="10"/>
  <c r="L54" i="10"/>
  <c r="M54" i="10"/>
  <c r="N54" i="10"/>
  <c r="G7" i="13"/>
  <c r="H7" i="13"/>
  <c r="G8" i="13"/>
  <c r="H8" i="13"/>
  <c r="J8" i="13"/>
  <c r="K8" i="13" s="1"/>
  <c r="G9" i="13"/>
  <c r="H9" i="13" s="1"/>
  <c r="J9" i="13"/>
  <c r="K9" i="13" s="1"/>
  <c r="G10" i="13"/>
  <c r="H10" i="13" s="1"/>
  <c r="J10" i="13"/>
  <c r="K10" i="13" s="1"/>
  <c r="G11" i="13"/>
  <c r="H11" i="13" s="1"/>
  <c r="J11" i="13"/>
  <c r="K11" i="13" s="1"/>
  <c r="G12" i="13"/>
  <c r="H12" i="13" s="1"/>
  <c r="J12" i="13"/>
  <c r="K12" i="13" s="1"/>
  <c r="G13" i="13"/>
  <c r="H13" i="13"/>
  <c r="J13" i="13"/>
  <c r="K13" i="13" s="1"/>
  <c r="F23" i="13"/>
  <c r="G23" i="13"/>
  <c r="F24" i="13"/>
  <c r="G24" i="13" s="1"/>
  <c r="F25" i="13"/>
  <c r="G25" i="13"/>
  <c r="F26" i="13"/>
  <c r="G26" i="13"/>
  <c r="F27" i="13"/>
  <c r="G27" i="13" s="1"/>
  <c r="F28" i="13"/>
  <c r="G28" i="13" s="1"/>
  <c r="F29" i="13"/>
  <c r="G29" i="13" s="1"/>
  <c r="F30" i="13"/>
  <c r="G30" i="13"/>
  <c r="F31" i="13"/>
  <c r="G31" i="13"/>
  <c r="F32" i="13"/>
  <c r="G32" i="13" s="1"/>
  <c r="F33" i="13"/>
  <c r="G33" i="13"/>
  <c r="A12" i="6"/>
  <c r="C12" i="6"/>
  <c r="G12" i="6"/>
  <c r="J12" i="6"/>
  <c r="K12" i="6" s="1"/>
  <c r="M12" i="6"/>
  <c r="P12" i="6"/>
  <c r="Q12" i="6"/>
  <c r="R12" i="6" s="1"/>
  <c r="S12" i="6"/>
  <c r="T12" i="6" s="1"/>
  <c r="U12" i="6" s="1"/>
  <c r="V12" i="6"/>
  <c r="Y12" i="6"/>
  <c r="AB12" i="6"/>
  <c r="AC12" i="6" s="1"/>
  <c r="AG12" i="6"/>
  <c r="AH12" i="6"/>
  <c r="AI12" i="6"/>
  <c r="AQ12" i="6"/>
  <c r="A13" i="6"/>
  <c r="C13" i="6" s="1"/>
  <c r="H13" i="6" s="1"/>
  <c r="I13" i="6" s="1"/>
  <c r="L13" i="6" s="1"/>
  <c r="G13" i="6"/>
  <c r="J13" i="6"/>
  <c r="K13" i="6" s="1"/>
  <c r="M13" i="6"/>
  <c r="P13" i="6"/>
  <c r="Q13" i="6"/>
  <c r="R13" i="6" s="1"/>
  <c r="S13" i="6"/>
  <c r="T13" i="6" s="1"/>
  <c r="U13" i="6" s="1"/>
  <c r="V13" i="6"/>
  <c r="Y13" i="6"/>
  <c r="AB13" i="6"/>
  <c r="AC13" i="6" s="1"/>
  <c r="AG13" i="6"/>
  <c r="AH13" i="6"/>
  <c r="AI13" i="6"/>
  <c r="AQ13" i="6"/>
  <c r="A22" i="6"/>
  <c r="C22" i="6" s="1"/>
  <c r="H22" i="6" s="1"/>
  <c r="G22" i="6"/>
  <c r="I22" i="6"/>
  <c r="J22" i="6"/>
  <c r="K22" i="6"/>
  <c r="M22" i="6"/>
  <c r="P22" i="6"/>
  <c r="Q22" i="6" s="1"/>
  <c r="R22" i="6" s="1"/>
  <c r="S22" i="6"/>
  <c r="T22" i="6"/>
  <c r="U22" i="6" s="1"/>
  <c r="V22" i="6"/>
  <c r="Y22" i="6"/>
  <c r="AB22" i="6"/>
  <c r="AC22" i="6" s="1"/>
  <c r="AG22" i="6"/>
  <c r="AH22" i="6"/>
  <c r="AI22" i="6"/>
  <c r="AQ22" i="6"/>
  <c r="A23" i="6"/>
  <c r="C23" i="6"/>
  <c r="H23" i="6" s="1"/>
  <c r="I23" i="6" s="1"/>
  <c r="L23" i="6" s="1"/>
  <c r="G23" i="6"/>
  <c r="J23" i="6"/>
  <c r="K23" i="6" s="1"/>
  <c r="M23" i="6"/>
  <c r="P23" i="6"/>
  <c r="S23" i="6"/>
  <c r="T23" i="6"/>
  <c r="V23" i="6"/>
  <c r="Y23" i="6"/>
  <c r="Z23" i="6" s="1"/>
  <c r="AB23" i="6"/>
  <c r="AC23" i="6"/>
  <c r="AG23" i="6"/>
  <c r="AH23" i="6"/>
  <c r="AI23" i="6"/>
  <c r="AQ23" i="6"/>
  <c r="A24" i="6"/>
  <c r="C24" i="6"/>
  <c r="H24" i="6" s="1"/>
  <c r="I24" i="6" s="1"/>
  <c r="L24" i="6" s="1"/>
  <c r="G24" i="6"/>
  <c r="J24" i="6"/>
  <c r="K24" i="6"/>
  <c r="M24" i="6"/>
  <c r="P24" i="6"/>
  <c r="Q24" i="6"/>
  <c r="R24" i="6" s="1"/>
  <c r="S24" i="6"/>
  <c r="T24" i="6"/>
  <c r="U24" i="6" s="1"/>
  <c r="V24" i="6"/>
  <c r="Y24" i="6"/>
  <c r="Z24" i="6" s="1"/>
  <c r="AB24" i="6"/>
  <c r="AC24" i="6"/>
  <c r="AG24" i="6"/>
  <c r="AH24" i="6"/>
  <c r="AI24" i="6"/>
  <c r="AQ24" i="6"/>
  <c r="A25" i="6"/>
  <c r="C25" i="6" s="1"/>
  <c r="H25" i="6" s="1"/>
  <c r="G25" i="6"/>
  <c r="I25" i="6"/>
  <c r="L25" i="6" s="1"/>
  <c r="J25" i="6"/>
  <c r="K25" i="6" s="1"/>
  <c r="Z25" i="6" s="1"/>
  <c r="M25" i="6"/>
  <c r="P25" i="6"/>
  <c r="S25" i="6"/>
  <c r="T25" i="6"/>
  <c r="U25" i="6"/>
  <c r="V25" i="6"/>
  <c r="Y25" i="6"/>
  <c r="AB25" i="6"/>
  <c r="AC25" i="6" s="1"/>
  <c r="AG25" i="6"/>
  <c r="AH25" i="6"/>
  <c r="AI25" i="6"/>
  <c r="AQ25" i="6"/>
  <c r="A26" i="6"/>
  <c r="C26" i="6"/>
  <c r="H26" i="6" s="1"/>
  <c r="I26" i="6" s="1"/>
  <c r="L26" i="6" s="1"/>
  <c r="G26" i="6"/>
  <c r="J26" i="6"/>
  <c r="K26" i="6" s="1"/>
  <c r="M26" i="6"/>
  <c r="P26" i="6"/>
  <c r="Q26" i="6" s="1"/>
  <c r="R26" i="6" s="1"/>
  <c r="S26" i="6"/>
  <c r="T26" i="6" s="1"/>
  <c r="U26" i="6"/>
  <c r="V26" i="6"/>
  <c r="Y26" i="6"/>
  <c r="Z26" i="6" s="1"/>
  <c r="AB26" i="6"/>
  <c r="AC26" i="6" s="1"/>
  <c r="AG26" i="6"/>
  <c r="AH26" i="6"/>
  <c r="AI26" i="6"/>
  <c r="AQ26" i="6"/>
  <c r="A27" i="6"/>
  <c r="C27" i="6" s="1"/>
  <c r="G27" i="6"/>
  <c r="H27" i="6"/>
  <c r="I27" i="6" s="1"/>
  <c r="J27" i="6"/>
  <c r="K27" i="6"/>
  <c r="M27" i="6"/>
  <c r="P27" i="6"/>
  <c r="S27" i="6"/>
  <c r="T27" i="6"/>
  <c r="U27" i="6"/>
  <c r="V27" i="6"/>
  <c r="Y27" i="6"/>
  <c r="Z27" i="6" s="1"/>
  <c r="AB27" i="6"/>
  <c r="AC27" i="6" s="1"/>
  <c r="AG27" i="6"/>
  <c r="AH27" i="6"/>
  <c r="AI27" i="6"/>
  <c r="AQ27" i="6"/>
  <c r="A28" i="6"/>
  <c r="C28" i="6"/>
  <c r="G28" i="6"/>
  <c r="J28" i="6"/>
  <c r="K28" i="6"/>
  <c r="M28" i="6"/>
  <c r="P28" i="6"/>
  <c r="Q28" i="6"/>
  <c r="R28" i="6" s="1"/>
  <c r="S28" i="6"/>
  <c r="T28" i="6"/>
  <c r="U28" i="6"/>
  <c r="V28" i="6"/>
  <c r="Y28" i="6"/>
  <c r="Z28" i="6" s="1"/>
  <c r="AB28" i="6"/>
  <c r="AC28" i="6"/>
  <c r="AG28" i="6"/>
  <c r="AH28" i="6"/>
  <c r="AI28" i="6"/>
  <c r="AQ28" i="6"/>
  <c r="A29" i="6"/>
  <c r="C29" i="6" s="1"/>
  <c r="G29" i="6"/>
  <c r="J29" i="6"/>
  <c r="K29" i="6" s="1"/>
  <c r="M29" i="6"/>
  <c r="P29" i="6"/>
  <c r="Q29" i="6" s="1"/>
  <c r="R29" i="6" s="1"/>
  <c r="S29" i="6"/>
  <c r="T29" i="6"/>
  <c r="U29" i="6" s="1"/>
  <c r="V29" i="6"/>
  <c r="Y29" i="6"/>
  <c r="Z29" i="6" s="1"/>
  <c r="AB29" i="6"/>
  <c r="AC29" i="6"/>
  <c r="AG29" i="6"/>
  <c r="AH29" i="6"/>
  <c r="AI29" i="6"/>
  <c r="AQ29" i="6"/>
  <c r="A30" i="6"/>
  <c r="C30" i="6"/>
  <c r="H30" i="6" s="1"/>
  <c r="I30" i="6" s="1"/>
  <c r="G30" i="6"/>
  <c r="J30" i="6"/>
  <c r="K30" i="6" s="1"/>
  <c r="M30" i="6"/>
  <c r="P30" i="6"/>
  <c r="S30" i="6"/>
  <c r="T30" i="6" s="1"/>
  <c r="V30" i="6"/>
  <c r="Y30" i="6"/>
  <c r="AB30" i="6"/>
  <c r="AC30" i="6"/>
  <c r="AG30" i="6"/>
  <c r="AH30" i="6"/>
  <c r="AI30" i="6"/>
  <c r="AQ30" i="6"/>
  <c r="A31" i="6"/>
  <c r="C31" i="6"/>
  <c r="G31" i="6"/>
  <c r="H31" i="6" s="1"/>
  <c r="I31" i="6" s="1"/>
  <c r="L31" i="6" s="1"/>
  <c r="J31" i="6"/>
  <c r="K31" i="6" s="1"/>
  <c r="M31" i="6"/>
  <c r="P31" i="6"/>
  <c r="S31" i="6"/>
  <c r="T31" i="6"/>
  <c r="U31" i="6" s="1"/>
  <c r="V31" i="6"/>
  <c r="Y31" i="6"/>
  <c r="Z31" i="6" s="1"/>
  <c r="AB31" i="6"/>
  <c r="AC31" i="6"/>
  <c r="AG31" i="6"/>
  <c r="AH31" i="6"/>
  <c r="AI31" i="6"/>
  <c r="AQ31" i="6"/>
  <c r="A32" i="6"/>
  <c r="C32" i="6"/>
  <c r="H32" i="6" s="1"/>
  <c r="I32" i="6" s="1"/>
  <c r="L32" i="6" s="1"/>
  <c r="G32" i="6"/>
  <c r="J32" i="6"/>
  <c r="K32" i="6"/>
  <c r="Q32" i="6" s="1"/>
  <c r="R32" i="6" s="1"/>
  <c r="M32" i="6"/>
  <c r="P32" i="6"/>
  <c r="S32" i="6"/>
  <c r="T32" i="6"/>
  <c r="V32" i="6"/>
  <c r="Y32" i="6"/>
  <c r="Z32" i="6" s="1"/>
  <c r="AB32" i="6"/>
  <c r="AC32" i="6"/>
  <c r="AG32" i="6"/>
  <c r="AH32" i="6"/>
  <c r="AI32" i="6"/>
  <c r="AQ32" i="6"/>
  <c r="A33" i="6"/>
  <c r="C33" i="6" s="1"/>
  <c r="H33" i="6" s="1"/>
  <c r="I33" i="6" s="1"/>
  <c r="L33" i="6" s="1"/>
  <c r="G33" i="6"/>
  <c r="J33" i="6"/>
  <c r="K33" i="6"/>
  <c r="Z33" i="6" s="1"/>
  <c r="M33" i="6"/>
  <c r="P33" i="6"/>
  <c r="S33" i="6"/>
  <c r="T33" i="6"/>
  <c r="U33" i="6" s="1"/>
  <c r="V33" i="6"/>
  <c r="Y33" i="6"/>
  <c r="AB33" i="6"/>
  <c r="AC33" i="6" s="1"/>
  <c r="AG33" i="6"/>
  <c r="AH33" i="6"/>
  <c r="AI33" i="6"/>
  <c r="AQ33" i="6"/>
  <c r="A34" i="6"/>
  <c r="C34" i="6"/>
  <c r="H34" i="6" s="1"/>
  <c r="I34" i="6" s="1"/>
  <c r="G34" i="6"/>
  <c r="J34" i="6"/>
  <c r="K34" i="6" s="1"/>
  <c r="L34" i="6" s="1"/>
  <c r="Z34" i="6"/>
  <c r="M34" i="6"/>
  <c r="P34" i="6"/>
  <c r="S34" i="6"/>
  <c r="T34" i="6" s="1"/>
  <c r="U34" i="6"/>
  <c r="V34" i="6"/>
  <c r="Y34" i="6"/>
  <c r="AB34" i="6"/>
  <c r="AC34" i="6" s="1"/>
  <c r="AG34" i="6"/>
  <c r="AH34" i="6"/>
  <c r="AI34" i="6"/>
  <c r="AQ34" i="6"/>
  <c r="A35" i="6"/>
  <c r="C35" i="6" s="1"/>
  <c r="G35" i="6"/>
  <c r="H35" i="6"/>
  <c r="I35" i="6" s="1"/>
  <c r="L35" i="6" s="1"/>
  <c r="E35" i="6" s="1"/>
  <c r="J35" i="6"/>
  <c r="K35" i="6"/>
  <c r="M35" i="6"/>
  <c r="P35" i="6"/>
  <c r="S35" i="6"/>
  <c r="T35" i="6"/>
  <c r="U35" i="6"/>
  <c r="V35" i="6"/>
  <c r="Y35" i="6"/>
  <c r="Z35" i="6" s="1"/>
  <c r="AB35" i="6"/>
  <c r="AC35" i="6" s="1"/>
  <c r="AG35" i="6"/>
  <c r="AH35" i="6"/>
  <c r="AI35" i="6"/>
  <c r="AQ35" i="6"/>
  <c r="A36" i="6"/>
  <c r="C36" i="6"/>
  <c r="H36" i="6" s="1"/>
  <c r="I36" i="6" s="1"/>
  <c r="L36" i="6" s="1"/>
  <c r="G36" i="6"/>
  <c r="J36" i="6"/>
  <c r="K36" i="6"/>
  <c r="M36" i="6"/>
  <c r="P36" i="6"/>
  <c r="Q36" i="6"/>
  <c r="R36" i="6" s="1"/>
  <c r="S36" i="6"/>
  <c r="T36" i="6"/>
  <c r="U36" i="6"/>
  <c r="V36" i="6"/>
  <c r="Y36" i="6"/>
  <c r="Z36" i="6" s="1"/>
  <c r="AB36" i="6"/>
  <c r="AC36" i="6"/>
  <c r="AG36" i="6"/>
  <c r="AH36" i="6"/>
  <c r="AI36" i="6"/>
  <c r="AQ36" i="6"/>
  <c r="A37" i="6"/>
  <c r="C37" i="6" s="1"/>
  <c r="G37" i="6"/>
  <c r="J37" i="6"/>
  <c r="K37" i="6" s="1"/>
  <c r="Q37" i="6" s="1"/>
  <c r="R37" i="6" s="1"/>
  <c r="Z37" i="6"/>
  <c r="AA37" i="6" s="1"/>
  <c r="M37" i="6"/>
  <c r="P37" i="6"/>
  <c r="S37" i="6"/>
  <c r="T37" i="6"/>
  <c r="U37" i="6" s="1"/>
  <c r="V37" i="6"/>
  <c r="Y37" i="6"/>
  <c r="AB37" i="6"/>
  <c r="AC37" i="6"/>
  <c r="AD37" i="6" s="1"/>
  <c r="AG37" i="6"/>
  <c r="AH37" i="6"/>
  <c r="AI37" i="6"/>
  <c r="AQ37" i="6"/>
  <c r="A38" i="6"/>
  <c r="C38" i="6" s="1"/>
  <c r="H38" i="6" s="1"/>
  <c r="I38" i="6" s="1"/>
  <c r="L38" i="6" s="1"/>
  <c r="G38" i="6"/>
  <c r="J38" i="6"/>
  <c r="K38" i="6" s="1"/>
  <c r="M38" i="6"/>
  <c r="P38" i="6"/>
  <c r="S38" i="6"/>
  <c r="T38" i="6" s="1"/>
  <c r="U38" i="6" s="1"/>
  <c r="V38" i="6"/>
  <c r="Y38" i="6"/>
  <c r="AB38" i="6"/>
  <c r="AC38" i="6" s="1"/>
  <c r="AD38" i="6" s="1"/>
  <c r="AG38" i="6"/>
  <c r="AH38" i="6"/>
  <c r="AI38" i="6"/>
  <c r="AQ38" i="6"/>
  <c r="A39" i="6"/>
  <c r="C39" i="6"/>
  <c r="H39" i="6" s="1"/>
  <c r="I39" i="6" s="1"/>
  <c r="L39" i="6" s="1"/>
  <c r="G39" i="6"/>
  <c r="J39" i="6"/>
  <c r="K39" i="6" s="1"/>
  <c r="Z39" i="6"/>
  <c r="AA39" i="6" s="1"/>
  <c r="M39" i="6"/>
  <c r="P39" i="6"/>
  <c r="Q39" i="6" s="1"/>
  <c r="R39" i="6" s="1"/>
  <c r="S39" i="6"/>
  <c r="T39" i="6" s="1"/>
  <c r="U39" i="6" s="1"/>
  <c r="V39" i="6"/>
  <c r="Y39" i="6"/>
  <c r="AB39" i="6"/>
  <c r="AC39" i="6" s="1"/>
  <c r="AD39" i="6"/>
  <c r="AG39" i="6"/>
  <c r="AH39" i="6"/>
  <c r="AI39" i="6"/>
  <c r="AQ39" i="6"/>
  <c r="A40" i="6"/>
  <c r="C40" i="6" s="1"/>
  <c r="H40" i="6" s="1"/>
  <c r="G40" i="6"/>
  <c r="I40" i="6"/>
  <c r="L40" i="6" s="1"/>
  <c r="J40" i="6"/>
  <c r="K40" i="6" s="1"/>
  <c r="Q40" i="6" s="1"/>
  <c r="R40" i="6" s="1"/>
  <c r="Z40" i="6"/>
  <c r="AA40" i="6" s="1"/>
  <c r="M40" i="6"/>
  <c r="P40" i="6"/>
  <c r="S40" i="6"/>
  <c r="T40" i="6" s="1"/>
  <c r="U40" i="6"/>
  <c r="V40" i="6"/>
  <c r="Y40" i="6"/>
  <c r="AB40" i="6"/>
  <c r="AC40" i="6"/>
  <c r="AG40" i="6"/>
  <c r="AH40" i="6"/>
  <c r="AI40" i="6"/>
  <c r="AQ40" i="6"/>
  <c r="A41" i="6"/>
  <c r="C41" i="6"/>
  <c r="G41" i="6"/>
  <c r="H41" i="6"/>
  <c r="I41" i="6" s="1"/>
  <c r="L41" i="6" s="1"/>
  <c r="J41" i="6"/>
  <c r="K41" i="6" s="1"/>
  <c r="AA41" i="6"/>
  <c r="M41" i="6"/>
  <c r="P41" i="6"/>
  <c r="Q41" i="6" s="1"/>
  <c r="R41" i="6" s="1"/>
  <c r="S41" i="6"/>
  <c r="T41" i="6"/>
  <c r="U41" i="6" s="1"/>
  <c r="V41" i="6"/>
  <c r="Y41" i="6"/>
  <c r="Z41" i="6" s="1"/>
  <c r="AB41" i="6"/>
  <c r="AC41" i="6" s="1"/>
  <c r="AD41" i="6" s="1"/>
  <c r="AG41" i="6"/>
  <c r="AH41" i="6"/>
  <c r="AI41" i="6"/>
  <c r="AQ41" i="6"/>
  <c r="A42" i="6"/>
  <c r="C42" i="6"/>
  <c r="H42" i="6" s="1"/>
  <c r="I42" i="6" s="1"/>
  <c r="L42" i="6" s="1"/>
  <c r="G42" i="6"/>
  <c r="J42" i="6"/>
  <c r="K42" i="6"/>
  <c r="M42" i="6"/>
  <c r="P42" i="6"/>
  <c r="Q42" i="6" s="1"/>
  <c r="R42" i="6" s="1"/>
  <c r="S42" i="6"/>
  <c r="T42" i="6"/>
  <c r="U42" i="6"/>
  <c r="V42" i="6"/>
  <c r="Y42" i="6"/>
  <c r="Z42" i="6" s="1"/>
  <c r="AA42" i="6" s="1"/>
  <c r="AB42" i="6"/>
  <c r="AC42" i="6" s="1"/>
  <c r="AD42" i="6" s="1"/>
  <c r="AG42" i="6"/>
  <c r="AH42" i="6"/>
  <c r="AI42" i="6"/>
  <c r="AQ42" i="6"/>
  <c r="A43" i="6"/>
  <c r="C43" i="6" s="1"/>
  <c r="H43" i="6" s="1"/>
  <c r="I43" i="6" s="1"/>
  <c r="L43" i="6" s="1"/>
  <c r="G43" i="6"/>
  <c r="J43" i="6"/>
  <c r="K43" i="6"/>
  <c r="Z43" i="6"/>
  <c r="AA43" i="6" s="1"/>
  <c r="M43" i="6"/>
  <c r="P43" i="6"/>
  <c r="S43" i="6"/>
  <c r="T43" i="6" s="1"/>
  <c r="U43" i="6"/>
  <c r="V43" i="6"/>
  <c r="Y43" i="6"/>
  <c r="AB43" i="6"/>
  <c r="AC43" i="6" s="1"/>
  <c r="AD43" i="6" s="1"/>
  <c r="AG43" i="6"/>
  <c r="AH43" i="6"/>
  <c r="AI43" i="6"/>
  <c r="AQ43" i="6"/>
  <c r="A44" i="6"/>
  <c r="C44" i="6" s="1"/>
  <c r="H44" i="6" s="1"/>
  <c r="I44" i="6" s="1"/>
  <c r="G44" i="6"/>
  <c r="J44" i="6"/>
  <c r="K44" i="6"/>
  <c r="Z44" i="6" s="1"/>
  <c r="AA44" i="6" s="1"/>
  <c r="M44" i="6"/>
  <c r="P44" i="6"/>
  <c r="S44" i="6"/>
  <c r="T44" i="6"/>
  <c r="U44" i="6" s="1"/>
  <c r="V44" i="6"/>
  <c r="Y44" i="6"/>
  <c r="AB44" i="6"/>
  <c r="AC44" i="6" s="1"/>
  <c r="AD44" i="6" s="1"/>
  <c r="AG44" i="6"/>
  <c r="AH44" i="6"/>
  <c r="AI44" i="6"/>
  <c r="AQ44" i="6"/>
  <c r="A45" i="6"/>
  <c r="C45" i="6"/>
  <c r="G45" i="6"/>
  <c r="H45" i="6"/>
  <c r="I45" i="6" s="1"/>
  <c r="L45" i="6"/>
  <c r="J45" i="6"/>
  <c r="K45" i="6"/>
  <c r="Q45" i="6" s="1"/>
  <c r="R45" i="6" s="1"/>
  <c r="M45" i="6"/>
  <c r="P45" i="6"/>
  <c r="S45" i="6"/>
  <c r="T45" i="6"/>
  <c r="U45" i="6" s="1"/>
  <c r="V45" i="6"/>
  <c r="Y45" i="6"/>
  <c r="AB45" i="6"/>
  <c r="AC45" i="6" s="1"/>
  <c r="AD45" i="6" s="1"/>
  <c r="AG45" i="6"/>
  <c r="AH45" i="6"/>
  <c r="AI45" i="6"/>
  <c r="AQ45" i="6"/>
  <c r="A46" i="6"/>
  <c r="C46" i="6" s="1"/>
  <c r="H46" i="6" s="1"/>
  <c r="I46" i="6" s="1"/>
  <c r="L46" i="6" s="1"/>
  <c r="G46" i="6"/>
  <c r="J46" i="6"/>
  <c r="K46" i="6"/>
  <c r="Z46" i="6"/>
  <c r="AA46" i="6"/>
  <c r="M46" i="6"/>
  <c r="P46" i="6"/>
  <c r="Q46" i="6" s="1"/>
  <c r="R46" i="6" s="1"/>
  <c r="S46" i="6"/>
  <c r="T46" i="6"/>
  <c r="U46" i="6" s="1"/>
  <c r="V46" i="6"/>
  <c r="Y46" i="6"/>
  <c r="AB46" i="6"/>
  <c r="AC46" i="6" s="1"/>
  <c r="AD46" i="6"/>
  <c r="AG46" i="6"/>
  <c r="AH46" i="6"/>
  <c r="AI46" i="6"/>
  <c r="AQ46" i="6"/>
  <c r="A47" i="6"/>
  <c r="C47" i="6"/>
  <c r="G47" i="6"/>
  <c r="H47" i="6"/>
  <c r="I47" i="6" s="1"/>
  <c r="L47" i="6" s="1"/>
  <c r="J47" i="6"/>
  <c r="K47" i="6"/>
  <c r="Z47" i="6" s="1"/>
  <c r="AA47" i="6" s="1"/>
  <c r="M47" i="6"/>
  <c r="P47" i="6"/>
  <c r="S47" i="6"/>
  <c r="T47" i="6" s="1"/>
  <c r="U47" i="6" s="1"/>
  <c r="V47" i="6"/>
  <c r="Y47" i="6"/>
  <c r="AB47" i="6"/>
  <c r="AC47" i="6" s="1"/>
  <c r="AD47" i="6" s="1"/>
  <c r="AG47" i="6"/>
  <c r="AH47" i="6"/>
  <c r="AI47" i="6"/>
  <c r="AQ47" i="6"/>
  <c r="A48" i="6"/>
  <c r="C48" i="6" s="1"/>
  <c r="H48" i="6" s="1"/>
  <c r="I48" i="6" s="1"/>
  <c r="G48" i="6"/>
  <c r="L48" i="6"/>
  <c r="J48" i="6"/>
  <c r="K48" i="6"/>
  <c r="Q48" i="6" s="1"/>
  <c r="R48" i="6" s="1"/>
  <c r="M48" i="6"/>
  <c r="P48" i="6"/>
  <c r="S48" i="6"/>
  <c r="T48" i="6" s="1"/>
  <c r="U48" i="6"/>
  <c r="V48" i="6"/>
  <c r="Y48" i="6"/>
  <c r="AB48" i="6"/>
  <c r="AC48" i="6"/>
  <c r="AD48" i="6" s="1"/>
  <c r="AG48" i="6"/>
  <c r="AH48" i="6"/>
  <c r="AI48" i="6"/>
  <c r="AQ48" i="6"/>
  <c r="A49" i="6"/>
  <c r="C49" i="6"/>
  <c r="G49" i="6"/>
  <c r="H49" i="6" s="1"/>
  <c r="I49" i="6" s="1"/>
  <c r="L49" i="6" s="1"/>
  <c r="J49" i="6"/>
  <c r="K49" i="6" s="1"/>
  <c r="Q49" i="6" s="1"/>
  <c r="R49" i="6" s="1"/>
  <c r="M49" i="6"/>
  <c r="P49" i="6"/>
  <c r="S49" i="6"/>
  <c r="T49" i="6"/>
  <c r="U49" i="6" s="1"/>
  <c r="V49" i="6"/>
  <c r="Y49" i="6"/>
  <c r="Z49" i="6" s="1"/>
  <c r="AA49" i="6" s="1"/>
  <c r="AB49" i="6"/>
  <c r="AC49" i="6"/>
  <c r="AD49" i="6"/>
  <c r="AG49" i="6"/>
  <c r="AH49" i="6"/>
  <c r="AI49" i="6"/>
  <c r="AQ49" i="6"/>
  <c r="A50" i="6"/>
  <c r="C50" i="6" s="1"/>
  <c r="H50" i="6" s="1"/>
  <c r="I50" i="6" s="1"/>
  <c r="L50" i="6" s="1"/>
  <c r="G50" i="6"/>
  <c r="J50" i="6"/>
  <c r="K50" i="6"/>
  <c r="Z50" i="6"/>
  <c r="AA50" i="6" s="1"/>
  <c r="M50" i="6"/>
  <c r="P50" i="6"/>
  <c r="Q50" i="6"/>
  <c r="R50" i="6"/>
  <c r="S50" i="6"/>
  <c r="T50" i="6"/>
  <c r="U50" i="6"/>
  <c r="V50" i="6"/>
  <c r="Y50" i="6"/>
  <c r="AB50" i="6"/>
  <c r="AC50" i="6"/>
  <c r="AD50" i="6"/>
  <c r="AG50" i="6"/>
  <c r="AH50" i="6"/>
  <c r="AI50" i="6"/>
  <c r="AQ50" i="6"/>
  <c r="A58" i="6"/>
  <c r="C58" i="6" s="1"/>
  <c r="H58" i="6" s="1"/>
  <c r="I58" i="6" s="1"/>
  <c r="L58" i="6" s="1"/>
  <c r="G58" i="6"/>
  <c r="J58" i="6"/>
  <c r="K58" i="6"/>
  <c r="M58" i="6"/>
  <c r="P58" i="6"/>
  <c r="S58" i="6"/>
  <c r="T58" i="6" s="1"/>
  <c r="U58" i="6" s="1"/>
  <c r="V58" i="6"/>
  <c r="Y58" i="6"/>
  <c r="AB58" i="6"/>
  <c r="AC58" i="6" s="1"/>
  <c r="AG58" i="6"/>
  <c r="AH58" i="6"/>
  <c r="AI58" i="6"/>
  <c r="AQ58" i="6"/>
  <c r="A59" i="6"/>
  <c r="C59" i="6"/>
  <c r="H59" i="6" s="1"/>
  <c r="I59" i="6"/>
  <c r="G59" i="6"/>
  <c r="J59" i="6"/>
  <c r="K59" i="6"/>
  <c r="Q59" i="6" s="1"/>
  <c r="R59" i="6" s="1"/>
  <c r="M59" i="6"/>
  <c r="P59" i="6"/>
  <c r="S59" i="6"/>
  <c r="T59" i="6"/>
  <c r="U59" i="6" s="1"/>
  <c r="V59" i="6"/>
  <c r="Y59" i="6"/>
  <c r="AB59" i="6"/>
  <c r="AC59" i="6"/>
  <c r="AG59" i="6"/>
  <c r="AH59" i="6"/>
  <c r="AI59" i="6"/>
  <c r="AQ59" i="6"/>
  <c r="A60" i="6"/>
  <c r="C60" i="6" s="1"/>
  <c r="H60" i="6" s="1"/>
  <c r="I60" i="6" s="1"/>
  <c r="L60" i="6" s="1"/>
  <c r="G60" i="6"/>
  <c r="J60" i="6"/>
  <c r="K60" i="6"/>
  <c r="M60" i="6"/>
  <c r="P60" i="6"/>
  <c r="Q60" i="6"/>
  <c r="R60" i="6"/>
  <c r="S60" i="6"/>
  <c r="T60" i="6" s="1"/>
  <c r="V60" i="6"/>
  <c r="Y60" i="6"/>
  <c r="Z60" i="6" s="1"/>
  <c r="AB60" i="6"/>
  <c r="AC60" i="6"/>
  <c r="AG60" i="6"/>
  <c r="AH60" i="6"/>
  <c r="AI60" i="6"/>
  <c r="AQ60" i="6"/>
  <c r="A61" i="6"/>
  <c r="C61" i="6" s="1"/>
  <c r="H61" i="6" s="1"/>
  <c r="I61" i="6" s="1"/>
  <c r="G61" i="6"/>
  <c r="J61" i="6"/>
  <c r="K61" i="6" s="1"/>
  <c r="M61" i="6"/>
  <c r="P61" i="6"/>
  <c r="Q61" i="6" s="1"/>
  <c r="R61" i="6" s="1"/>
  <c r="S61" i="6"/>
  <c r="T61" i="6"/>
  <c r="V61" i="6"/>
  <c r="Y61" i="6"/>
  <c r="Z61" i="6" s="1"/>
  <c r="AB61" i="6"/>
  <c r="AC61" i="6"/>
  <c r="AG61" i="6"/>
  <c r="AH61" i="6"/>
  <c r="AI61" i="6"/>
  <c r="AQ61" i="6"/>
  <c r="A62" i="6"/>
  <c r="C62" i="6" s="1"/>
  <c r="H62" i="6" s="1"/>
  <c r="I62" i="6" s="1"/>
  <c r="L62" i="6" s="1"/>
  <c r="G62" i="6"/>
  <c r="J62" i="6"/>
  <c r="K62" i="6" s="1"/>
  <c r="M62" i="6"/>
  <c r="P62" i="6"/>
  <c r="Q62" i="6" s="1"/>
  <c r="R62" i="6" s="1"/>
  <c r="S62" i="6"/>
  <c r="T62" i="6" s="1"/>
  <c r="U62" i="6" s="1"/>
  <c r="V62" i="6"/>
  <c r="Y62" i="6"/>
  <c r="Z62" i="6" s="1"/>
  <c r="AB62" i="6"/>
  <c r="AC62" i="6" s="1"/>
  <c r="AG62" i="6"/>
  <c r="AH62" i="6"/>
  <c r="AI62" i="6"/>
  <c r="AQ62" i="6"/>
  <c r="A63" i="6"/>
  <c r="C63" i="6"/>
  <c r="H63" i="6" s="1"/>
  <c r="I63" i="6" s="1"/>
  <c r="G63" i="6"/>
  <c r="J63" i="6"/>
  <c r="K63" i="6"/>
  <c r="M63" i="6"/>
  <c r="P63" i="6"/>
  <c r="S63" i="6"/>
  <c r="T63" i="6" s="1"/>
  <c r="U63" i="6" s="1"/>
  <c r="V63" i="6"/>
  <c r="Y63" i="6"/>
  <c r="Z63" i="6" s="1"/>
  <c r="AB63" i="6"/>
  <c r="AC63" i="6"/>
  <c r="AG63" i="6"/>
  <c r="AH63" i="6"/>
  <c r="AI63" i="6"/>
  <c r="AQ63" i="6"/>
  <c r="A64" i="6"/>
  <c r="C64" i="6"/>
  <c r="H64" i="6" s="1"/>
  <c r="I64" i="6" s="1"/>
  <c r="L64" i="6" s="1"/>
  <c r="G64" i="6"/>
  <c r="J64" i="6"/>
  <c r="K64" i="6" s="1"/>
  <c r="Q64" i="6" s="1"/>
  <c r="R64" i="6" s="1"/>
  <c r="M64" i="6"/>
  <c r="P64" i="6"/>
  <c r="S64" i="6"/>
  <c r="T64" i="6" s="1"/>
  <c r="U64" i="6" s="1"/>
  <c r="V64" i="6"/>
  <c r="Y64" i="6"/>
  <c r="Z64" i="6"/>
  <c r="AB64" i="6"/>
  <c r="AC64" i="6"/>
  <c r="AG64" i="6"/>
  <c r="AH64" i="6"/>
  <c r="AI64" i="6"/>
  <c r="AQ64" i="6"/>
  <c r="A65" i="6"/>
  <c r="C65" i="6" s="1"/>
  <c r="H65" i="6"/>
  <c r="I65" i="6"/>
  <c r="L65" i="6" s="1"/>
  <c r="G65" i="6"/>
  <c r="J65" i="6"/>
  <c r="K65" i="6" s="1"/>
  <c r="Z65" i="6"/>
  <c r="M65" i="6"/>
  <c r="P65" i="6"/>
  <c r="Q65" i="6" s="1"/>
  <c r="R65" i="6" s="1"/>
  <c r="S65" i="6"/>
  <c r="T65" i="6" s="1"/>
  <c r="U65" i="6" s="1"/>
  <c r="V65" i="6"/>
  <c r="Y65" i="6"/>
  <c r="AB65" i="6"/>
  <c r="AC65" i="6"/>
  <c r="AG65" i="6"/>
  <c r="AH65" i="6"/>
  <c r="AI65" i="6"/>
  <c r="AQ65" i="6"/>
  <c r="A66" i="6"/>
  <c r="C66" i="6"/>
  <c r="G66" i="6"/>
  <c r="H66" i="6" s="1"/>
  <c r="I66" i="6" s="1"/>
  <c r="L66" i="6" s="1"/>
  <c r="J66" i="6"/>
  <c r="K66" i="6" s="1"/>
  <c r="Q66" i="6" s="1"/>
  <c r="R66" i="6" s="1"/>
  <c r="M66" i="6"/>
  <c r="P66" i="6"/>
  <c r="S66" i="6"/>
  <c r="T66" i="6" s="1"/>
  <c r="U66" i="6"/>
  <c r="V66" i="6"/>
  <c r="Y66" i="6"/>
  <c r="AB66" i="6"/>
  <c r="AC66" i="6" s="1"/>
  <c r="AG66" i="6"/>
  <c r="AH66" i="6"/>
  <c r="AI66" i="6"/>
  <c r="AQ66" i="6"/>
  <c r="A67" i="6"/>
  <c r="C67" i="6"/>
  <c r="H67" i="6" s="1"/>
  <c r="I67" i="6"/>
  <c r="L67" i="6" s="1"/>
  <c r="G67" i="6"/>
  <c r="J67" i="6"/>
  <c r="K67" i="6" s="1"/>
  <c r="M67" i="6"/>
  <c r="P67" i="6"/>
  <c r="Q67" i="6" s="1"/>
  <c r="R67" i="6" s="1"/>
  <c r="S67" i="6"/>
  <c r="T67" i="6"/>
  <c r="U67" i="6" s="1"/>
  <c r="V67" i="6"/>
  <c r="Y67" i="6"/>
  <c r="Z67" i="6" s="1"/>
  <c r="AB67" i="6"/>
  <c r="AC67" i="6"/>
  <c r="AG67" i="6"/>
  <c r="AH67" i="6"/>
  <c r="AI67" i="6"/>
  <c r="AQ67" i="6"/>
  <c r="A68" i="6"/>
  <c r="C68" i="6"/>
  <c r="H68" i="6" s="1"/>
  <c r="G68" i="6"/>
  <c r="I68" i="6"/>
  <c r="J68" i="6"/>
  <c r="K68" i="6" s="1"/>
  <c r="Q68" i="6" s="1"/>
  <c r="R68" i="6" s="1"/>
  <c r="M68" i="6"/>
  <c r="P68" i="6"/>
  <c r="S68" i="6"/>
  <c r="T68" i="6" s="1"/>
  <c r="U68" i="6"/>
  <c r="V68" i="6"/>
  <c r="Y68" i="6"/>
  <c r="Z68" i="6"/>
  <c r="AB68" i="6"/>
  <c r="AC68" i="6"/>
  <c r="AG68" i="6"/>
  <c r="AH68" i="6"/>
  <c r="AI68" i="6"/>
  <c r="AQ68" i="6"/>
  <c r="A69" i="6"/>
  <c r="C69" i="6" s="1"/>
  <c r="G69" i="6"/>
  <c r="H69" i="6" s="1"/>
  <c r="I69" i="6" s="1"/>
  <c r="J69" i="6"/>
  <c r="K69" i="6"/>
  <c r="Q69" i="6" s="1"/>
  <c r="R69" i="6" s="1"/>
  <c r="Z69" i="6"/>
  <c r="M69" i="6"/>
  <c r="P69" i="6"/>
  <c r="S69" i="6"/>
  <c r="T69" i="6" s="1"/>
  <c r="U69" i="6" s="1"/>
  <c r="V69" i="6"/>
  <c r="Y69" i="6"/>
  <c r="AB69" i="6"/>
  <c r="AC69" i="6"/>
  <c r="AG69" i="6"/>
  <c r="AH69" i="6"/>
  <c r="AI69" i="6"/>
  <c r="AQ69" i="6"/>
  <c r="A70" i="6"/>
  <c r="C70" i="6" s="1"/>
  <c r="H70" i="6" s="1"/>
  <c r="I70" i="6" s="1"/>
  <c r="G70" i="6"/>
  <c r="J70" i="6"/>
  <c r="K70" i="6"/>
  <c r="M70" i="6"/>
  <c r="P70" i="6"/>
  <c r="S70" i="6"/>
  <c r="T70" i="6" s="1"/>
  <c r="U70" i="6" s="1"/>
  <c r="V70" i="6"/>
  <c r="Y70" i="6"/>
  <c r="Z70" i="6" s="1"/>
  <c r="AB70" i="6"/>
  <c r="AC70" i="6"/>
  <c r="AG70" i="6"/>
  <c r="AH70" i="6"/>
  <c r="AI70" i="6"/>
  <c r="AQ70" i="6"/>
  <c r="A71" i="6"/>
  <c r="C71" i="6" s="1"/>
  <c r="H71" i="6" s="1"/>
  <c r="I71" i="6" s="1"/>
  <c r="G71" i="6"/>
  <c r="J71" i="6"/>
  <c r="K71" i="6" s="1"/>
  <c r="Q71" i="6" s="1"/>
  <c r="R71" i="6" s="1"/>
  <c r="M71" i="6"/>
  <c r="P71" i="6"/>
  <c r="S71" i="6"/>
  <c r="T71" i="6"/>
  <c r="U71" i="6"/>
  <c r="V71" i="6"/>
  <c r="Y71" i="6"/>
  <c r="AB71" i="6"/>
  <c r="AC71" i="6"/>
  <c r="AG71" i="6"/>
  <c r="AH71" i="6"/>
  <c r="AI71" i="6"/>
  <c r="AQ71" i="6"/>
  <c r="A72" i="6"/>
  <c r="C72" i="6"/>
  <c r="H72" i="6" s="1"/>
  <c r="I72" i="6" s="1"/>
  <c r="G72" i="6"/>
  <c r="J72" i="6"/>
  <c r="K72" i="6" s="1"/>
  <c r="L72" i="6"/>
  <c r="M72" i="6"/>
  <c r="P72" i="6"/>
  <c r="Q72" i="6"/>
  <c r="R72" i="6" s="1"/>
  <c r="S72" i="6"/>
  <c r="T72" i="6"/>
  <c r="U72" i="6"/>
  <c r="V72" i="6"/>
  <c r="Y72" i="6"/>
  <c r="Z72" i="6"/>
  <c r="AB72" i="6"/>
  <c r="AC72" i="6"/>
  <c r="AG72" i="6"/>
  <c r="AH72" i="6"/>
  <c r="AI72" i="6"/>
  <c r="AQ72" i="6"/>
  <c r="A73" i="6"/>
  <c r="C73" i="6" s="1"/>
  <c r="H73" i="6" s="1"/>
  <c r="I73" i="6" s="1"/>
  <c r="L73" i="6" s="1"/>
  <c r="G73" i="6"/>
  <c r="J73" i="6"/>
  <c r="K73" i="6"/>
  <c r="Z73" i="6" s="1"/>
  <c r="AA73" i="6" s="1"/>
  <c r="M73" i="6"/>
  <c r="P73" i="6"/>
  <c r="Q73" i="6" s="1"/>
  <c r="R73" i="6" s="1"/>
  <c r="S73" i="6"/>
  <c r="T73" i="6" s="1"/>
  <c r="U73" i="6"/>
  <c r="V73" i="6"/>
  <c r="Y73" i="6"/>
  <c r="AB73" i="6"/>
  <c r="AC73" i="6" s="1"/>
  <c r="AD73" i="6" s="1"/>
  <c r="AG73" i="6"/>
  <c r="AH73" i="6"/>
  <c r="AI73" i="6"/>
  <c r="AQ73" i="6"/>
  <c r="A74" i="6"/>
  <c r="C74" i="6" s="1"/>
  <c r="H74" i="6" s="1"/>
  <c r="I74" i="6" s="1"/>
  <c r="L74" i="6" s="1"/>
  <c r="G74" i="6"/>
  <c r="J74" i="6"/>
  <c r="K74" i="6"/>
  <c r="M74" i="6"/>
  <c r="P74" i="6"/>
  <c r="Q74" i="6" s="1"/>
  <c r="R74" i="6" s="1"/>
  <c r="S74" i="6"/>
  <c r="T74" i="6"/>
  <c r="U74" i="6" s="1"/>
  <c r="V74" i="6"/>
  <c r="Y74" i="6"/>
  <c r="Z74" i="6" s="1"/>
  <c r="AA74" i="6" s="1"/>
  <c r="AB74" i="6"/>
  <c r="AC74" i="6"/>
  <c r="AD74" i="6"/>
  <c r="AG74" i="6"/>
  <c r="AH74" i="6"/>
  <c r="AI74" i="6"/>
  <c r="AQ74" i="6"/>
  <c r="A75" i="6"/>
  <c r="C75" i="6" s="1"/>
  <c r="H75" i="6" s="1"/>
  <c r="I75" i="6" s="1"/>
  <c r="G75" i="6"/>
  <c r="J75" i="6"/>
  <c r="K75" i="6" s="1"/>
  <c r="Z75" i="6" s="1"/>
  <c r="AA75" i="6" s="1"/>
  <c r="M75" i="6"/>
  <c r="P75" i="6"/>
  <c r="S75" i="6"/>
  <c r="T75" i="6" s="1"/>
  <c r="U75" i="6" s="1"/>
  <c r="V75" i="6"/>
  <c r="Y75" i="6"/>
  <c r="AB75" i="6"/>
  <c r="AC75" i="6"/>
  <c r="AD75" i="6" s="1"/>
  <c r="AG75" i="6"/>
  <c r="AH75" i="6"/>
  <c r="AI75" i="6"/>
  <c r="AQ75" i="6"/>
  <c r="A76" i="6"/>
  <c r="C76" i="6" s="1"/>
  <c r="H76" i="6" s="1"/>
  <c r="I76" i="6" s="1"/>
  <c r="L76" i="6" s="1"/>
  <c r="G76" i="6"/>
  <c r="J76" i="6"/>
  <c r="K76" i="6"/>
  <c r="M76" i="6"/>
  <c r="P76" i="6"/>
  <c r="S76" i="6"/>
  <c r="T76" i="6"/>
  <c r="U76" i="6" s="1"/>
  <c r="V76" i="6"/>
  <c r="Y76" i="6"/>
  <c r="Z76" i="6" s="1"/>
  <c r="AA76" i="6" s="1"/>
  <c r="AB76" i="6"/>
  <c r="AC76" i="6"/>
  <c r="AG76" i="6"/>
  <c r="AH76" i="6"/>
  <c r="AI76" i="6"/>
  <c r="AQ76" i="6"/>
  <c r="A77" i="6"/>
  <c r="C77" i="6" s="1"/>
  <c r="H77" i="6" s="1"/>
  <c r="I77" i="6" s="1"/>
  <c r="G77" i="6"/>
  <c r="J77" i="6"/>
  <c r="K77" i="6" s="1"/>
  <c r="M77" i="6"/>
  <c r="P77" i="6"/>
  <c r="S77" i="6"/>
  <c r="T77" i="6"/>
  <c r="U77" i="6"/>
  <c r="V77" i="6"/>
  <c r="Y77" i="6"/>
  <c r="AB77" i="6"/>
  <c r="AC77" i="6"/>
  <c r="AD77" i="6"/>
  <c r="AG77" i="6"/>
  <c r="AH77" i="6"/>
  <c r="AI77" i="6"/>
  <c r="AQ77" i="6"/>
  <c r="A78" i="6"/>
  <c r="C78" i="6" s="1"/>
  <c r="H78" i="6" s="1"/>
  <c r="I78" i="6" s="1"/>
  <c r="G78" i="6"/>
  <c r="J78" i="6"/>
  <c r="K78" i="6" s="1"/>
  <c r="M78" i="6"/>
  <c r="P78" i="6"/>
  <c r="S78" i="6"/>
  <c r="T78" i="6" s="1"/>
  <c r="U78" i="6" s="1"/>
  <c r="V78" i="6"/>
  <c r="Y78" i="6"/>
  <c r="Z78" i="6"/>
  <c r="AA78" i="6" s="1"/>
  <c r="AB78" i="6"/>
  <c r="AC78" i="6"/>
  <c r="AD78" i="6" s="1"/>
  <c r="AG78" i="6"/>
  <c r="AH78" i="6"/>
  <c r="AI78" i="6"/>
  <c r="AQ78" i="6"/>
  <c r="A79" i="6"/>
  <c r="C79" i="6"/>
  <c r="H79" i="6"/>
  <c r="I79" i="6" s="1"/>
  <c r="L79" i="6" s="1"/>
  <c r="G79" i="6"/>
  <c r="J79" i="6"/>
  <c r="K79" i="6" s="1"/>
  <c r="M79" i="6"/>
  <c r="P79" i="6"/>
  <c r="Q79" i="6"/>
  <c r="R79" i="6" s="1"/>
  <c r="S79" i="6"/>
  <c r="T79" i="6"/>
  <c r="U79" i="6" s="1"/>
  <c r="V79" i="6"/>
  <c r="Y79" i="6"/>
  <c r="AB79" i="6"/>
  <c r="AC79" i="6" s="1"/>
  <c r="AD79" i="6" s="1"/>
  <c r="AG79" i="6"/>
  <c r="AH79" i="6"/>
  <c r="AI79" i="6"/>
  <c r="AJ79" i="6" s="1"/>
  <c r="AK79" i="6" s="1"/>
  <c r="AQ79" i="6"/>
  <c r="A80" i="6"/>
  <c r="C80" i="6"/>
  <c r="G80" i="6"/>
  <c r="J80" i="6"/>
  <c r="K80" i="6"/>
  <c r="Q80" i="6" s="1"/>
  <c r="R80" i="6" s="1"/>
  <c r="M80" i="6"/>
  <c r="P80" i="6"/>
  <c r="S80" i="6"/>
  <c r="T80" i="6" s="1"/>
  <c r="U80" i="6"/>
  <c r="V80" i="6"/>
  <c r="Y80" i="6"/>
  <c r="Z80" i="6"/>
  <c r="AA80" i="6" s="1"/>
  <c r="AB80" i="6"/>
  <c r="AC80" i="6"/>
  <c r="AD80" i="6" s="1"/>
  <c r="AG80" i="6"/>
  <c r="AH80" i="6"/>
  <c r="AI80" i="6"/>
  <c r="AQ80" i="6"/>
  <c r="A81" i="6"/>
  <c r="C81" i="6" s="1"/>
  <c r="G81" i="6"/>
  <c r="H81" i="6" s="1"/>
  <c r="I81" i="6" s="1"/>
  <c r="J81" i="6"/>
  <c r="K81" i="6"/>
  <c r="Q81" i="6" s="1"/>
  <c r="R81" i="6" s="1"/>
  <c r="Z81" i="6"/>
  <c r="AA81" i="6" s="1"/>
  <c r="M81" i="6"/>
  <c r="P81" i="6"/>
  <c r="S81" i="6"/>
  <c r="T81" i="6" s="1"/>
  <c r="U81" i="6" s="1"/>
  <c r="V81" i="6"/>
  <c r="Y81" i="6"/>
  <c r="AB81" i="6"/>
  <c r="AC81" i="6"/>
  <c r="AD81" i="6" s="1"/>
  <c r="AG81" i="6"/>
  <c r="AH81" i="6"/>
  <c r="AI81" i="6"/>
  <c r="AQ81" i="6"/>
  <c r="A82" i="6"/>
  <c r="C82" i="6"/>
  <c r="H82" i="6" s="1"/>
  <c r="I82" i="6" s="1"/>
  <c r="G82" i="6"/>
  <c r="J82" i="6"/>
  <c r="K82" i="6" s="1"/>
  <c r="Q82" i="6" s="1"/>
  <c r="R82" i="6" s="1"/>
  <c r="M82" i="6"/>
  <c r="P82" i="6"/>
  <c r="S82" i="6"/>
  <c r="T82" i="6"/>
  <c r="U82" i="6" s="1"/>
  <c r="V82" i="6"/>
  <c r="Y82" i="6"/>
  <c r="AB82" i="6"/>
  <c r="AC82" i="6" s="1"/>
  <c r="AD82" i="6" s="1"/>
  <c r="AG82" i="6"/>
  <c r="AH82" i="6"/>
  <c r="AI82" i="6"/>
  <c r="AQ82" i="6"/>
  <c r="A83" i="6"/>
  <c r="C83" i="6"/>
  <c r="H83" i="6" s="1"/>
  <c r="I83" i="6" s="1"/>
  <c r="L83" i="6" s="1"/>
  <c r="G83" i="6"/>
  <c r="J83" i="6"/>
  <c r="K83" i="6" s="1"/>
  <c r="M83" i="6"/>
  <c r="P83" i="6"/>
  <c r="S83" i="6"/>
  <c r="T83" i="6" s="1"/>
  <c r="U83" i="6" s="1"/>
  <c r="V83" i="6"/>
  <c r="Y83" i="6"/>
  <c r="AB83" i="6"/>
  <c r="AC83" i="6"/>
  <c r="AD83" i="6" s="1"/>
  <c r="AG83" i="6"/>
  <c r="AH83" i="6"/>
  <c r="AI83" i="6"/>
  <c r="AQ83" i="6"/>
  <c r="A84" i="6"/>
  <c r="C84" i="6"/>
  <c r="H84" i="6" s="1"/>
  <c r="G84" i="6"/>
  <c r="I84" i="6"/>
  <c r="L84" i="6" s="1"/>
  <c r="J84" i="6"/>
  <c r="K84" i="6" s="1"/>
  <c r="Q84" i="6" s="1"/>
  <c r="R84" i="6" s="1"/>
  <c r="M84" i="6"/>
  <c r="P84" i="6"/>
  <c r="S84" i="6"/>
  <c r="T84" i="6"/>
  <c r="U84" i="6" s="1"/>
  <c r="V84" i="6"/>
  <c r="Y84" i="6"/>
  <c r="AB84" i="6"/>
  <c r="AC84" i="6"/>
  <c r="AD84" i="6"/>
  <c r="AG84" i="6"/>
  <c r="AH84" i="6"/>
  <c r="AI84" i="6"/>
  <c r="AQ84" i="6"/>
  <c r="A85" i="6"/>
  <c r="C85" i="6" s="1"/>
  <c r="G85" i="6"/>
  <c r="H85" i="6" s="1"/>
  <c r="I85" i="6" s="1"/>
  <c r="J85" i="6"/>
  <c r="K85" i="6"/>
  <c r="L85" i="6" s="1"/>
  <c r="M85" i="6"/>
  <c r="P85" i="6"/>
  <c r="Q85" i="6" s="1"/>
  <c r="R85" i="6" s="1"/>
  <c r="S85" i="6"/>
  <c r="T85" i="6"/>
  <c r="U85" i="6" s="1"/>
  <c r="V85" i="6"/>
  <c r="Y85" i="6"/>
  <c r="Z85" i="6" s="1"/>
  <c r="AA85" i="6" s="1"/>
  <c r="AB85" i="6"/>
  <c r="AC85" i="6" s="1"/>
  <c r="AD85" i="6"/>
  <c r="AG85" i="6"/>
  <c r="AH85" i="6"/>
  <c r="AI85" i="6"/>
  <c r="AQ85" i="6"/>
  <c r="A86" i="6"/>
  <c r="C86" i="6"/>
  <c r="G86" i="6"/>
  <c r="H86" i="6"/>
  <c r="I86" i="6" s="1"/>
  <c r="L86" i="6" s="1"/>
  <c r="J86" i="6"/>
  <c r="K86" i="6"/>
  <c r="M86" i="6"/>
  <c r="P86" i="6"/>
  <c r="S86" i="6"/>
  <c r="T86" i="6" s="1"/>
  <c r="U86" i="6" s="1"/>
  <c r="V86" i="6"/>
  <c r="Y86" i="6"/>
  <c r="AB86" i="6"/>
  <c r="AC86" i="6"/>
  <c r="AD86" i="6" s="1"/>
  <c r="AG86" i="6"/>
  <c r="AH86" i="6"/>
  <c r="AI86" i="6"/>
  <c r="AQ86" i="6"/>
  <c r="A94" i="6"/>
  <c r="C94" i="6" s="1"/>
  <c r="H94" i="6"/>
  <c r="I94" i="6" s="1"/>
  <c r="L94" i="6" s="1"/>
  <c r="G94" i="6"/>
  <c r="J94" i="6"/>
  <c r="K94" i="6"/>
  <c r="M94" i="6"/>
  <c r="P94" i="6"/>
  <c r="Q94" i="6"/>
  <c r="R94" i="6" s="1"/>
  <c r="S94" i="6"/>
  <c r="T94" i="6" s="1"/>
  <c r="U94" i="6" s="1"/>
  <c r="V94" i="6"/>
  <c r="Y94" i="6"/>
  <c r="Z94" i="6"/>
  <c r="AB94" i="6"/>
  <c r="AC94" i="6" s="1"/>
  <c r="AG94" i="6"/>
  <c r="AH94" i="6"/>
  <c r="AI94" i="6"/>
  <c r="AQ94" i="6"/>
  <c r="A95" i="6"/>
  <c r="C95" i="6"/>
  <c r="H95" i="6" s="1"/>
  <c r="I95" i="6" s="1"/>
  <c r="L95" i="6" s="1"/>
  <c r="G95" i="6"/>
  <c r="J95" i="6"/>
  <c r="K95" i="6" s="1"/>
  <c r="Q95" i="6" s="1"/>
  <c r="R95" i="6" s="1"/>
  <c r="M95" i="6"/>
  <c r="P95" i="6"/>
  <c r="S95" i="6"/>
  <c r="T95" i="6"/>
  <c r="U95" i="6" s="1"/>
  <c r="V95" i="6"/>
  <c r="Y95" i="6"/>
  <c r="Z95" i="6" s="1"/>
  <c r="AA95" i="6" s="1"/>
  <c r="AB95" i="6"/>
  <c r="AC95" i="6"/>
  <c r="AG95" i="6"/>
  <c r="AH95" i="6"/>
  <c r="AI95" i="6"/>
  <c r="AQ95" i="6"/>
  <c r="A96" i="6"/>
  <c r="C96" i="6"/>
  <c r="G96" i="6"/>
  <c r="H96" i="6" s="1"/>
  <c r="I96" i="6" s="1"/>
  <c r="J96" i="6"/>
  <c r="K96" i="6" s="1"/>
  <c r="Z96" i="6" s="1"/>
  <c r="M96" i="6"/>
  <c r="P96" i="6"/>
  <c r="S96" i="6"/>
  <c r="T96" i="6" s="1"/>
  <c r="U96" i="6" s="1"/>
  <c r="V96" i="6"/>
  <c r="Y96" i="6"/>
  <c r="AB96" i="6"/>
  <c r="AC96" i="6" s="1"/>
  <c r="AG96" i="6"/>
  <c r="AH96" i="6"/>
  <c r="AI96" i="6"/>
  <c r="AQ96" i="6"/>
  <c r="A97" i="6"/>
  <c r="C97" i="6" s="1"/>
  <c r="H97" i="6" s="1"/>
  <c r="I97" i="6" s="1"/>
  <c r="G97" i="6"/>
  <c r="J97" i="6"/>
  <c r="K97" i="6"/>
  <c r="L97" i="6" s="1"/>
  <c r="M97" i="6"/>
  <c r="P97" i="6"/>
  <c r="S97" i="6"/>
  <c r="T97" i="6" s="1"/>
  <c r="U97" i="6"/>
  <c r="V97" i="6"/>
  <c r="Y97" i="6"/>
  <c r="Z97" i="6"/>
  <c r="AA97" i="6" s="1"/>
  <c r="AB97" i="6"/>
  <c r="AC97" i="6"/>
  <c r="AG97" i="6"/>
  <c r="AH97" i="6"/>
  <c r="AI97" i="6"/>
  <c r="AQ97" i="6"/>
  <c r="A98" i="6"/>
  <c r="C98" i="6"/>
  <c r="G98" i="6"/>
  <c r="H98" i="6" s="1"/>
  <c r="I98" i="6" s="1"/>
  <c r="L98" i="6" s="1"/>
  <c r="J98" i="6"/>
  <c r="K98" i="6"/>
  <c r="Q98" i="6" s="1"/>
  <c r="R98" i="6" s="1"/>
  <c r="M98" i="6"/>
  <c r="P98" i="6"/>
  <c r="S98" i="6"/>
  <c r="T98" i="6"/>
  <c r="U98" i="6" s="1"/>
  <c r="V98" i="6"/>
  <c r="W98" i="6" s="1"/>
  <c r="X98" i="6" s="1"/>
  <c r="Y98" i="6"/>
  <c r="Z98" i="6" s="1"/>
  <c r="AB98" i="6"/>
  <c r="AC98" i="6"/>
  <c r="AG98" i="6"/>
  <c r="AH98" i="6"/>
  <c r="AI98" i="6"/>
  <c r="AQ98" i="6"/>
  <c r="A99" i="6"/>
  <c r="C99" i="6" s="1"/>
  <c r="H99" i="6" s="1"/>
  <c r="I99" i="6" s="1"/>
  <c r="L99" i="6" s="1"/>
  <c r="G99" i="6"/>
  <c r="J99" i="6"/>
  <c r="K99" i="6" s="1"/>
  <c r="Q99" i="6" s="1"/>
  <c r="R99" i="6" s="1"/>
  <c r="M99" i="6"/>
  <c r="P99" i="6"/>
  <c r="S99" i="6"/>
  <c r="T99" i="6"/>
  <c r="U99" i="6"/>
  <c r="V99" i="6"/>
  <c r="Y99" i="6"/>
  <c r="AB99" i="6"/>
  <c r="AC99" i="6" s="1"/>
  <c r="AG99" i="6"/>
  <c r="AH99" i="6"/>
  <c r="AI99" i="6"/>
  <c r="AQ99" i="6"/>
  <c r="A100" i="6"/>
  <c r="C100" i="6"/>
  <c r="H100" i="6" s="1"/>
  <c r="I100" i="6"/>
  <c r="L100" i="6" s="1"/>
  <c r="E100" i="6" s="1"/>
  <c r="G100" i="6"/>
  <c r="J100" i="6"/>
  <c r="K100" i="6" s="1"/>
  <c r="Z100" i="6" s="1"/>
  <c r="M100" i="6"/>
  <c r="P100" i="6"/>
  <c r="Q100" i="6"/>
  <c r="R100" i="6" s="1"/>
  <c r="S100" i="6"/>
  <c r="T100" i="6" s="1"/>
  <c r="U100" i="6" s="1"/>
  <c r="V100" i="6"/>
  <c r="Y100" i="6"/>
  <c r="AB100" i="6"/>
  <c r="AC100" i="6"/>
  <c r="AG100" i="6"/>
  <c r="AH100" i="6"/>
  <c r="AI100" i="6"/>
  <c r="AQ100" i="6"/>
  <c r="A101" i="6"/>
  <c r="C101" i="6"/>
  <c r="H101" i="6" s="1"/>
  <c r="I101" i="6" s="1"/>
  <c r="L101" i="6" s="1"/>
  <c r="AE101" i="6" s="1"/>
  <c r="G101" i="6"/>
  <c r="J101" i="6"/>
  <c r="K101" i="6"/>
  <c r="M101" i="6"/>
  <c r="P101" i="6"/>
  <c r="Q101" i="6"/>
  <c r="R101" i="6"/>
  <c r="S101" i="6"/>
  <c r="T101" i="6" s="1"/>
  <c r="U101" i="6" s="1"/>
  <c r="V101" i="6"/>
  <c r="Y101" i="6"/>
  <c r="Z101" i="6"/>
  <c r="AB101" i="6"/>
  <c r="AC101" i="6"/>
  <c r="AG101" i="6"/>
  <c r="AH101" i="6"/>
  <c r="AI101" i="6"/>
  <c r="AQ101" i="6"/>
  <c r="A102" i="6"/>
  <c r="C102" i="6" s="1"/>
  <c r="H102" i="6" s="1"/>
  <c r="I102" i="6" s="1"/>
  <c r="L102" i="6" s="1"/>
  <c r="G102" i="6"/>
  <c r="J102" i="6"/>
  <c r="K102" i="6"/>
  <c r="Q102" i="6" s="1"/>
  <c r="R102" i="6" s="1"/>
  <c r="M102" i="6"/>
  <c r="P102" i="6"/>
  <c r="S102" i="6"/>
  <c r="T102" i="6"/>
  <c r="U102" i="6" s="1"/>
  <c r="V102" i="6"/>
  <c r="Y102" i="6"/>
  <c r="Z102" i="6" s="1"/>
  <c r="AB102" i="6"/>
  <c r="AC102" i="6"/>
  <c r="AG102" i="6"/>
  <c r="AH102" i="6"/>
  <c r="AI102" i="6"/>
  <c r="AQ102" i="6"/>
  <c r="A103" i="6"/>
  <c r="C103" i="6" s="1"/>
  <c r="H103" i="6" s="1"/>
  <c r="I103" i="6" s="1"/>
  <c r="L103" i="6" s="1"/>
  <c r="G103" i="6"/>
  <c r="J103" i="6"/>
  <c r="K103" i="6"/>
  <c r="Q103" i="6" s="1"/>
  <c r="R103" i="6" s="1"/>
  <c r="M103" i="6"/>
  <c r="P103" i="6"/>
  <c r="S103" i="6"/>
  <c r="T103" i="6"/>
  <c r="U103" i="6" s="1"/>
  <c r="V103" i="6"/>
  <c r="Y103" i="6"/>
  <c r="Z103" i="6" s="1"/>
  <c r="AB103" i="6"/>
  <c r="AC103" i="6" s="1"/>
  <c r="AG103" i="6"/>
  <c r="AH103" i="6"/>
  <c r="AI103" i="6"/>
  <c r="AQ103" i="6"/>
  <c r="A104" i="6"/>
  <c r="C104" i="6"/>
  <c r="G104" i="6"/>
  <c r="J104" i="6"/>
  <c r="K104" i="6" s="1"/>
  <c r="Z104" i="6" s="1"/>
  <c r="M104" i="6"/>
  <c r="P104" i="6"/>
  <c r="S104" i="6"/>
  <c r="T104" i="6" s="1"/>
  <c r="U104" i="6" s="1"/>
  <c r="V104" i="6"/>
  <c r="Y104" i="6"/>
  <c r="AB104" i="6"/>
  <c r="AC104" i="6" s="1"/>
  <c r="AG104" i="6"/>
  <c r="AH104" i="6"/>
  <c r="AI104" i="6"/>
  <c r="AQ104" i="6"/>
  <c r="A105" i="6"/>
  <c r="C105" i="6"/>
  <c r="H105" i="6" s="1"/>
  <c r="I105" i="6" s="1"/>
  <c r="L105" i="6" s="1"/>
  <c r="G105" i="6"/>
  <c r="J105" i="6"/>
  <c r="K105" i="6"/>
  <c r="M105" i="6"/>
  <c r="P105" i="6"/>
  <c r="Q105" i="6"/>
  <c r="R105" i="6"/>
  <c r="S105" i="6"/>
  <c r="T105" i="6" s="1"/>
  <c r="U105" i="6" s="1"/>
  <c r="V105" i="6"/>
  <c r="Y105" i="6"/>
  <c r="Z105" i="6"/>
  <c r="AB105" i="6"/>
  <c r="AC105" i="6" s="1"/>
  <c r="AG105" i="6"/>
  <c r="AH105" i="6"/>
  <c r="AI105" i="6"/>
  <c r="AQ105" i="6"/>
  <c r="A106" i="6"/>
  <c r="C106" i="6" s="1"/>
  <c r="H106" i="6" s="1"/>
  <c r="I106" i="6" s="1"/>
  <c r="G106" i="6"/>
  <c r="J106" i="6"/>
  <c r="K106" i="6"/>
  <c r="Q106" i="6" s="1"/>
  <c r="R106" i="6" s="1"/>
  <c r="M106" i="6"/>
  <c r="P106" i="6"/>
  <c r="S106" i="6"/>
  <c r="T106" i="6"/>
  <c r="U106" i="6" s="1"/>
  <c r="V106" i="6"/>
  <c r="Y106" i="6"/>
  <c r="AB106" i="6"/>
  <c r="AC106" i="6"/>
  <c r="AG106" i="6"/>
  <c r="AH106" i="6"/>
  <c r="AI106" i="6"/>
  <c r="AQ106" i="6"/>
  <c r="A107" i="6"/>
  <c r="C107" i="6" s="1"/>
  <c r="H107" i="6" s="1"/>
  <c r="I107" i="6" s="1"/>
  <c r="G107" i="6"/>
  <c r="J107" i="6"/>
  <c r="K107" i="6" s="1"/>
  <c r="Q107" i="6" s="1"/>
  <c r="R107" i="6" s="1"/>
  <c r="M107" i="6"/>
  <c r="P107" i="6"/>
  <c r="S107" i="6"/>
  <c r="T107" i="6"/>
  <c r="U107" i="6" s="1"/>
  <c r="V107" i="6"/>
  <c r="Y107" i="6"/>
  <c r="AB107" i="6"/>
  <c r="AC107" i="6" s="1"/>
  <c r="AG107" i="6"/>
  <c r="AH107" i="6"/>
  <c r="AI107" i="6"/>
  <c r="AQ107" i="6"/>
  <c r="A108" i="6"/>
  <c r="C108" i="6"/>
  <c r="G108" i="6"/>
  <c r="J108" i="6"/>
  <c r="K108" i="6" s="1"/>
  <c r="M108" i="6"/>
  <c r="P108" i="6"/>
  <c r="S108" i="6"/>
  <c r="T108" i="6" s="1"/>
  <c r="U108" i="6" s="1"/>
  <c r="V108" i="6"/>
  <c r="Y108" i="6"/>
  <c r="AB108" i="6"/>
  <c r="AC108" i="6"/>
  <c r="AG108" i="6"/>
  <c r="AH108" i="6"/>
  <c r="AI108" i="6"/>
  <c r="AQ108" i="6"/>
  <c r="A109" i="6"/>
  <c r="C109" i="6"/>
  <c r="H109" i="6" s="1"/>
  <c r="I109" i="6" s="1"/>
  <c r="L109" i="6" s="1"/>
  <c r="G109" i="6"/>
  <c r="J109" i="6"/>
  <c r="K109" i="6"/>
  <c r="M109" i="6"/>
  <c r="P109" i="6"/>
  <c r="Q109" i="6" s="1"/>
  <c r="R109" i="6" s="1"/>
  <c r="S109" i="6"/>
  <c r="T109" i="6" s="1"/>
  <c r="U109" i="6" s="1"/>
  <c r="V109" i="6"/>
  <c r="Y109" i="6"/>
  <c r="Z109" i="6"/>
  <c r="AA109" i="6"/>
  <c r="AB109" i="6"/>
  <c r="AC109" i="6" s="1"/>
  <c r="AD109" i="6" s="1"/>
  <c r="AG109" i="6"/>
  <c r="AH109" i="6"/>
  <c r="AI109" i="6"/>
  <c r="AQ109" i="6"/>
  <c r="A110" i="6"/>
  <c r="C110" i="6"/>
  <c r="H110" i="6"/>
  <c r="I110" i="6" s="1"/>
  <c r="L110" i="6" s="1"/>
  <c r="G110" i="6"/>
  <c r="J110" i="6"/>
  <c r="K110" i="6"/>
  <c r="Q110" i="6" s="1"/>
  <c r="R110" i="6" s="1"/>
  <c r="M110" i="6"/>
  <c r="P110" i="6"/>
  <c r="S110" i="6"/>
  <c r="T110" i="6"/>
  <c r="U110" i="6"/>
  <c r="V110" i="6"/>
  <c r="Y110" i="6"/>
  <c r="Z110" i="6" s="1"/>
  <c r="AA110" i="6" s="1"/>
  <c r="AB110" i="6"/>
  <c r="AC110" i="6"/>
  <c r="AD110" i="6"/>
  <c r="AG110" i="6"/>
  <c r="AH110" i="6"/>
  <c r="AI110" i="6"/>
  <c r="AQ110" i="6"/>
  <c r="A111" i="6"/>
  <c r="C111" i="6" s="1"/>
  <c r="H111" i="6" s="1"/>
  <c r="I111" i="6" s="1"/>
  <c r="G111" i="6"/>
  <c r="J111" i="6"/>
  <c r="K111" i="6"/>
  <c r="Q111" i="6" s="1"/>
  <c r="R111" i="6" s="1"/>
  <c r="L111" i="6"/>
  <c r="M111" i="6"/>
  <c r="P111" i="6"/>
  <c r="S111" i="6"/>
  <c r="T111" i="6"/>
  <c r="U111" i="6" s="1"/>
  <c r="V111" i="6"/>
  <c r="Y111" i="6"/>
  <c r="Z111" i="6" s="1"/>
  <c r="AA111" i="6" s="1"/>
  <c r="AB111" i="6"/>
  <c r="AC111" i="6" s="1"/>
  <c r="AD111" i="6"/>
  <c r="AG111" i="6"/>
  <c r="AH111" i="6"/>
  <c r="AI111" i="6"/>
  <c r="AQ111" i="6"/>
  <c r="A112" i="6"/>
  <c r="C112" i="6"/>
  <c r="H112" i="6" s="1"/>
  <c r="I112" i="6" s="1"/>
  <c r="L112" i="6" s="1"/>
  <c r="G112" i="6"/>
  <c r="J112" i="6"/>
  <c r="K112" i="6" s="1"/>
  <c r="Z112" i="6" s="1"/>
  <c r="AA112" i="6" s="1"/>
  <c r="M112" i="6"/>
  <c r="P112" i="6"/>
  <c r="Q112" i="6" s="1"/>
  <c r="R112" i="6"/>
  <c r="S112" i="6"/>
  <c r="T112" i="6" s="1"/>
  <c r="U112" i="6" s="1"/>
  <c r="V112" i="6"/>
  <c r="Y112" i="6"/>
  <c r="AB112" i="6"/>
  <c r="AC112" i="6"/>
  <c r="AD112" i="6" s="1"/>
  <c r="AG112" i="6"/>
  <c r="AH112" i="6"/>
  <c r="AI112" i="6"/>
  <c r="AQ112" i="6"/>
  <c r="A113" i="6"/>
  <c r="C113" i="6"/>
  <c r="G113" i="6"/>
  <c r="H113" i="6" s="1"/>
  <c r="I113" i="6" s="1"/>
  <c r="L113" i="6" s="1"/>
  <c r="J113" i="6"/>
  <c r="K113" i="6"/>
  <c r="M113" i="6"/>
  <c r="P113" i="6"/>
  <c r="Q113" i="6" s="1"/>
  <c r="R113" i="6" s="1"/>
  <c r="S113" i="6"/>
  <c r="T113" i="6" s="1"/>
  <c r="U113" i="6" s="1"/>
  <c r="V113" i="6"/>
  <c r="Y113" i="6"/>
  <c r="Z113" i="6"/>
  <c r="AA113" i="6"/>
  <c r="AB113" i="6"/>
  <c r="AC113" i="6" s="1"/>
  <c r="AD113" i="6" s="1"/>
  <c r="AG113" i="6"/>
  <c r="AH113" i="6"/>
  <c r="AI113" i="6"/>
  <c r="AQ113" i="6"/>
  <c r="A114" i="6"/>
  <c r="C114" i="6" s="1"/>
  <c r="H114" i="6" s="1"/>
  <c r="I114" i="6" s="1"/>
  <c r="L114" i="6" s="1"/>
  <c r="G114" i="6"/>
  <c r="J114" i="6"/>
  <c r="K114" i="6"/>
  <c r="Q114" i="6" s="1"/>
  <c r="R114" i="6" s="1"/>
  <c r="M114" i="6"/>
  <c r="P114" i="6"/>
  <c r="S114" i="6"/>
  <c r="T114" i="6"/>
  <c r="U114" i="6"/>
  <c r="V114" i="6"/>
  <c r="Y114" i="6"/>
  <c r="Z114" i="6" s="1"/>
  <c r="AA114" i="6" s="1"/>
  <c r="AB114" i="6"/>
  <c r="AC114" i="6"/>
  <c r="AD114" i="6"/>
  <c r="AG114" i="6"/>
  <c r="AH114" i="6"/>
  <c r="AI114" i="6"/>
  <c r="AQ114" i="6"/>
  <c r="A115" i="6"/>
  <c r="C115" i="6" s="1"/>
  <c r="H115" i="6" s="1"/>
  <c r="I115" i="6" s="1"/>
  <c r="G115" i="6"/>
  <c r="J115" i="6"/>
  <c r="K115" i="6" s="1"/>
  <c r="M115" i="6"/>
  <c r="P115" i="6"/>
  <c r="S115" i="6"/>
  <c r="T115" i="6"/>
  <c r="U115" i="6"/>
  <c r="V115" i="6"/>
  <c r="Y115" i="6"/>
  <c r="AB115" i="6"/>
  <c r="AC115" i="6" s="1"/>
  <c r="AD115" i="6"/>
  <c r="AG115" i="6"/>
  <c r="AH115" i="6"/>
  <c r="AI115" i="6"/>
  <c r="AQ115" i="6"/>
  <c r="A116" i="6"/>
  <c r="C116" i="6"/>
  <c r="H116" i="6" s="1"/>
  <c r="I116" i="6" s="1"/>
  <c r="L116" i="6" s="1"/>
  <c r="G116" i="6"/>
  <c r="J116" i="6"/>
  <c r="K116" i="6" s="1"/>
  <c r="Z116" i="6" s="1"/>
  <c r="AA116" i="6"/>
  <c r="M116" i="6"/>
  <c r="P116" i="6"/>
  <c r="Q116" i="6"/>
  <c r="R116" i="6" s="1"/>
  <c r="S116" i="6"/>
  <c r="T116" i="6" s="1"/>
  <c r="U116" i="6" s="1"/>
  <c r="V116" i="6"/>
  <c r="Y116" i="6"/>
  <c r="AB116" i="6"/>
  <c r="AC116" i="6" s="1"/>
  <c r="AD116" i="6" s="1"/>
  <c r="AG116" i="6"/>
  <c r="AH116" i="6"/>
  <c r="AI116" i="6"/>
  <c r="AQ116" i="6"/>
  <c r="A117" i="6"/>
  <c r="C117" i="6"/>
  <c r="H117" i="6" s="1"/>
  <c r="I117" i="6" s="1"/>
  <c r="L117" i="6" s="1"/>
  <c r="G117" i="6"/>
  <c r="J117" i="6"/>
  <c r="K117" i="6"/>
  <c r="M117" i="6"/>
  <c r="P117" i="6"/>
  <c r="Q117" i="6"/>
  <c r="R117" i="6" s="1"/>
  <c r="S117" i="6"/>
  <c r="T117" i="6" s="1"/>
  <c r="U117" i="6" s="1"/>
  <c r="V117" i="6"/>
  <c r="Y117" i="6"/>
  <c r="Z117" i="6"/>
  <c r="AA117" i="6" s="1"/>
  <c r="AB117" i="6"/>
  <c r="AC117" i="6" s="1"/>
  <c r="AD117" i="6" s="1"/>
  <c r="AG117" i="6"/>
  <c r="AH117" i="6"/>
  <c r="AI117" i="6"/>
  <c r="AQ117" i="6"/>
  <c r="A118" i="6"/>
  <c r="C118" i="6" s="1"/>
  <c r="H118" i="6" s="1"/>
  <c r="I118" i="6" s="1"/>
  <c r="L118" i="6" s="1"/>
  <c r="G118" i="6"/>
  <c r="J118" i="6"/>
  <c r="K118" i="6"/>
  <c r="Q118" i="6" s="1"/>
  <c r="M118" i="6"/>
  <c r="P118" i="6"/>
  <c r="R118" i="6"/>
  <c r="S118" i="6"/>
  <c r="T118" i="6"/>
  <c r="U118" i="6"/>
  <c r="V118" i="6"/>
  <c r="Y118" i="6"/>
  <c r="Z118" i="6" s="1"/>
  <c r="AA118" i="6" s="1"/>
  <c r="AB118" i="6"/>
  <c r="AC118" i="6"/>
  <c r="AD118" i="6"/>
  <c r="AG118" i="6"/>
  <c r="AH118" i="6"/>
  <c r="AI118" i="6"/>
  <c r="AQ118" i="6"/>
  <c r="A119" i="6"/>
  <c r="C119" i="6" s="1"/>
  <c r="H119" i="6" s="1"/>
  <c r="I119" i="6" s="1"/>
  <c r="G119" i="6"/>
  <c r="J119" i="6"/>
  <c r="K119" i="6"/>
  <c r="M119" i="6"/>
  <c r="P119" i="6"/>
  <c r="S119" i="6"/>
  <c r="T119" i="6"/>
  <c r="U119" i="6"/>
  <c r="V119" i="6"/>
  <c r="Y119" i="6"/>
  <c r="AB119" i="6"/>
  <c r="AC119" i="6" s="1"/>
  <c r="AD119" i="6" s="1"/>
  <c r="AG119" i="6"/>
  <c r="AH119" i="6"/>
  <c r="AI119" i="6"/>
  <c r="AQ119" i="6"/>
  <c r="A120" i="6"/>
  <c r="C120" i="6"/>
  <c r="H120" i="6" s="1"/>
  <c r="I120" i="6"/>
  <c r="L120" i="6" s="1"/>
  <c r="G120" i="6"/>
  <c r="J120" i="6"/>
  <c r="K120" i="6" s="1"/>
  <c r="Z120" i="6" s="1"/>
  <c r="AA120" i="6" s="1"/>
  <c r="M120" i="6"/>
  <c r="P120" i="6"/>
  <c r="Q120" i="6"/>
  <c r="R120" i="6" s="1"/>
  <c r="S120" i="6"/>
  <c r="T120" i="6" s="1"/>
  <c r="U120" i="6" s="1"/>
  <c r="V120" i="6"/>
  <c r="Y120" i="6"/>
  <c r="AB120" i="6"/>
  <c r="AC120" i="6"/>
  <c r="AD120" i="6" s="1"/>
  <c r="AG120" i="6"/>
  <c r="AH120" i="6"/>
  <c r="AI120" i="6"/>
  <c r="AQ120" i="6"/>
  <c r="A121" i="6"/>
  <c r="C121" i="6"/>
  <c r="G121" i="6"/>
  <c r="H121" i="6" s="1"/>
  <c r="I121" i="6" s="1"/>
  <c r="L121" i="6" s="1"/>
  <c r="J121" i="6"/>
  <c r="K121" i="6"/>
  <c r="M121" i="6"/>
  <c r="P121" i="6"/>
  <c r="Q121" i="6"/>
  <c r="R121" i="6"/>
  <c r="S121" i="6"/>
  <c r="T121" i="6" s="1"/>
  <c r="U121" i="6" s="1"/>
  <c r="V121" i="6"/>
  <c r="Y121" i="6"/>
  <c r="Z121" i="6"/>
  <c r="AA121" i="6" s="1"/>
  <c r="AB121" i="6"/>
  <c r="AC121" i="6"/>
  <c r="AD121" i="6" s="1"/>
  <c r="AG121" i="6"/>
  <c r="AH121" i="6"/>
  <c r="AI121" i="6"/>
  <c r="AQ121" i="6"/>
  <c r="A122" i="6"/>
  <c r="C122" i="6" s="1"/>
  <c r="H122" i="6" s="1"/>
  <c r="I122" i="6" s="1"/>
  <c r="G122" i="6"/>
  <c r="J122" i="6"/>
  <c r="K122" i="6"/>
  <c r="Q122" i="6" s="1"/>
  <c r="R122" i="6" s="1"/>
  <c r="Z122" i="6"/>
  <c r="AA122" i="6" s="1"/>
  <c r="M122" i="6"/>
  <c r="P122" i="6"/>
  <c r="S122" i="6"/>
  <c r="T122" i="6"/>
  <c r="U122" i="6" s="1"/>
  <c r="V122" i="6"/>
  <c r="Y122" i="6"/>
  <c r="AB122" i="6"/>
  <c r="AC122" i="6"/>
  <c r="AD122" i="6"/>
  <c r="AG122" i="6"/>
  <c r="AH122" i="6"/>
  <c r="AI122" i="6"/>
  <c r="AQ122" i="6"/>
  <c r="A130" i="6"/>
  <c r="C130" i="6" s="1"/>
  <c r="G130" i="6"/>
  <c r="H130" i="6"/>
  <c r="I130" i="6" s="1"/>
  <c r="L130" i="6" s="1"/>
  <c r="J130" i="6"/>
  <c r="K130" i="6"/>
  <c r="Q130" i="6" s="1"/>
  <c r="R130" i="6" s="1"/>
  <c r="M130" i="6"/>
  <c r="P130" i="6"/>
  <c r="S130" i="6"/>
  <c r="T130" i="6" s="1"/>
  <c r="U130" i="6" s="1"/>
  <c r="V130" i="6"/>
  <c r="Y130" i="6"/>
  <c r="Z130" i="6" s="1"/>
  <c r="AB130" i="6"/>
  <c r="AC130" i="6" s="1"/>
  <c r="AG130" i="6"/>
  <c r="AH130" i="6"/>
  <c r="AI130" i="6"/>
  <c r="AQ130" i="6"/>
  <c r="A131" i="6"/>
  <c r="C131" i="6" s="1"/>
  <c r="G131" i="6"/>
  <c r="J131" i="6"/>
  <c r="K131" i="6"/>
  <c r="Q131" i="6" s="1"/>
  <c r="M131" i="6"/>
  <c r="P131" i="6"/>
  <c r="R131" i="6"/>
  <c r="S131" i="6"/>
  <c r="T131" i="6"/>
  <c r="U131" i="6"/>
  <c r="V131" i="6"/>
  <c r="Y131" i="6"/>
  <c r="Z131" i="6" s="1"/>
  <c r="AB131" i="6"/>
  <c r="AC131" i="6"/>
  <c r="AG131" i="6"/>
  <c r="AH131" i="6"/>
  <c r="AI131" i="6"/>
  <c r="AQ131" i="6"/>
  <c r="A132" i="6"/>
  <c r="C132" i="6" s="1"/>
  <c r="H132" i="6" s="1"/>
  <c r="I132" i="6" s="1"/>
  <c r="L132" i="6" s="1"/>
  <c r="G132" i="6"/>
  <c r="J132" i="6"/>
  <c r="K132" i="6"/>
  <c r="Q132" i="6" s="1"/>
  <c r="R132" i="6" s="1"/>
  <c r="M132" i="6"/>
  <c r="P132" i="6"/>
  <c r="S132" i="6"/>
  <c r="T132" i="6"/>
  <c r="U132" i="6"/>
  <c r="V132" i="6"/>
  <c r="Y132" i="6"/>
  <c r="AB132" i="6"/>
  <c r="AC132" i="6" s="1"/>
  <c r="AG132" i="6"/>
  <c r="AH132" i="6"/>
  <c r="AI132" i="6"/>
  <c r="AQ132" i="6"/>
  <c r="A133" i="6"/>
  <c r="C133" i="6"/>
  <c r="H133" i="6" s="1"/>
  <c r="I133" i="6" s="1"/>
  <c r="L133" i="6" s="1"/>
  <c r="G133" i="6"/>
  <c r="J133" i="6"/>
  <c r="K133" i="6" s="1"/>
  <c r="Z133" i="6" s="1"/>
  <c r="M133" i="6"/>
  <c r="P133" i="6"/>
  <c r="Q133" i="6"/>
  <c r="R133" i="6" s="1"/>
  <c r="S133" i="6"/>
  <c r="T133" i="6" s="1"/>
  <c r="U133" i="6" s="1"/>
  <c r="V133" i="6"/>
  <c r="Y133" i="6"/>
  <c r="AB133" i="6"/>
  <c r="AC133" i="6" s="1"/>
  <c r="AG133" i="6"/>
  <c r="AH133" i="6"/>
  <c r="AI133" i="6"/>
  <c r="AQ133" i="6"/>
  <c r="A134" i="6"/>
  <c r="C134" i="6"/>
  <c r="G134" i="6"/>
  <c r="H134" i="6"/>
  <c r="I134" i="6" s="1"/>
  <c r="L134" i="6" s="1"/>
  <c r="J134" i="6"/>
  <c r="K134" i="6"/>
  <c r="M134" i="6"/>
  <c r="P134" i="6"/>
  <c r="Q134" i="6"/>
  <c r="R134" i="6"/>
  <c r="S134" i="6"/>
  <c r="T134" i="6" s="1"/>
  <c r="U134" i="6" s="1"/>
  <c r="V134" i="6"/>
  <c r="Y134" i="6"/>
  <c r="Z134" i="6"/>
  <c r="AB134" i="6"/>
  <c r="AC134" i="6"/>
  <c r="AG134" i="6"/>
  <c r="AH134" i="6"/>
  <c r="AI134" i="6"/>
  <c r="AQ134" i="6"/>
  <c r="A135" i="6"/>
  <c r="C135" i="6" s="1"/>
  <c r="H135" i="6" s="1"/>
  <c r="I135" i="6" s="1"/>
  <c r="L135" i="6" s="1"/>
  <c r="G135" i="6"/>
  <c r="J135" i="6"/>
  <c r="K135" i="6"/>
  <c r="Q135" i="6" s="1"/>
  <c r="R135" i="6" s="1"/>
  <c r="M135" i="6"/>
  <c r="P135" i="6"/>
  <c r="S135" i="6"/>
  <c r="T135" i="6"/>
  <c r="U135" i="6" s="1"/>
  <c r="V135" i="6"/>
  <c r="Y135" i="6"/>
  <c r="AB135" i="6"/>
  <c r="AC135" i="6"/>
  <c r="AG135" i="6"/>
  <c r="AH135" i="6"/>
  <c r="AI135" i="6"/>
  <c r="AQ135" i="6"/>
  <c r="A136" i="6"/>
  <c r="C136" i="6" s="1"/>
  <c r="G136" i="6"/>
  <c r="H136" i="6"/>
  <c r="I136" i="6" s="1"/>
  <c r="L136" i="6" s="1"/>
  <c r="J136" i="6"/>
  <c r="K136" i="6" s="1"/>
  <c r="Q136" i="6" s="1"/>
  <c r="R136" i="6" s="1"/>
  <c r="M136" i="6"/>
  <c r="P136" i="6"/>
  <c r="S136" i="6"/>
  <c r="T136" i="6"/>
  <c r="U136" i="6" s="1"/>
  <c r="V136" i="6"/>
  <c r="Y136" i="6"/>
  <c r="Z136" i="6" s="1"/>
  <c r="AB136" i="6"/>
  <c r="AC136" i="6" s="1"/>
  <c r="AG136" i="6"/>
  <c r="AH136" i="6"/>
  <c r="AI136" i="6"/>
  <c r="AQ136" i="6"/>
  <c r="A137" i="6"/>
  <c r="C137" i="6"/>
  <c r="H137" i="6" s="1"/>
  <c r="I137" i="6" s="1"/>
  <c r="L137" i="6" s="1"/>
  <c r="G137" i="6"/>
  <c r="J137" i="6"/>
  <c r="K137" i="6" s="1"/>
  <c r="Z137" i="6" s="1"/>
  <c r="M137" i="6"/>
  <c r="P137" i="6"/>
  <c r="Q137" i="6"/>
  <c r="R137" i="6"/>
  <c r="S137" i="6"/>
  <c r="T137" i="6" s="1"/>
  <c r="U137" i="6" s="1"/>
  <c r="V137" i="6"/>
  <c r="Y137" i="6"/>
  <c r="AB137" i="6"/>
  <c r="AC137" i="6"/>
  <c r="AG137" i="6"/>
  <c r="AH137" i="6"/>
  <c r="AI137" i="6"/>
  <c r="AQ137" i="6"/>
  <c r="A138" i="6"/>
  <c r="C138" i="6"/>
  <c r="G138" i="6"/>
  <c r="H138" i="6" s="1"/>
  <c r="I138" i="6" s="1"/>
  <c r="L138" i="6" s="1"/>
  <c r="J138" i="6"/>
  <c r="K138" i="6"/>
  <c r="M138" i="6"/>
  <c r="P138" i="6"/>
  <c r="Q138" i="6" s="1"/>
  <c r="R138" i="6"/>
  <c r="S138" i="6"/>
  <c r="T138" i="6" s="1"/>
  <c r="U138" i="6" s="1"/>
  <c r="V138" i="6"/>
  <c r="Y138" i="6"/>
  <c r="Z138" i="6"/>
  <c r="AB138" i="6"/>
  <c r="AC138" i="6" s="1"/>
  <c r="AG138" i="6"/>
  <c r="AH138" i="6"/>
  <c r="AI138" i="6"/>
  <c r="AQ138" i="6"/>
  <c r="A139" i="6"/>
  <c r="C139" i="6"/>
  <c r="H139" i="6" s="1"/>
  <c r="I139" i="6" s="1"/>
  <c r="G139" i="6"/>
  <c r="J139" i="6"/>
  <c r="K139" i="6"/>
  <c r="Q139" i="6" s="1"/>
  <c r="R139" i="6" s="1"/>
  <c r="M139" i="6"/>
  <c r="P139" i="6"/>
  <c r="S139" i="6"/>
  <c r="T139" i="6"/>
  <c r="U139" i="6" s="1"/>
  <c r="V139" i="6"/>
  <c r="Y139" i="6"/>
  <c r="AB139" i="6"/>
  <c r="AC139" i="6"/>
  <c r="AG139" i="6"/>
  <c r="AH139" i="6"/>
  <c r="AI139" i="6"/>
  <c r="AQ139" i="6"/>
  <c r="A140" i="6"/>
  <c r="C140" i="6" s="1"/>
  <c r="H140" i="6" s="1"/>
  <c r="I140" i="6" s="1"/>
  <c r="L140" i="6" s="1"/>
  <c r="G140" i="6"/>
  <c r="J140" i="6"/>
  <c r="K140" i="6"/>
  <c r="Q140" i="6" s="1"/>
  <c r="M140" i="6"/>
  <c r="P140" i="6"/>
  <c r="R140" i="6"/>
  <c r="S140" i="6"/>
  <c r="T140" i="6"/>
  <c r="U140" i="6" s="1"/>
  <c r="V140" i="6"/>
  <c r="Y140" i="6"/>
  <c r="Z140" i="6" s="1"/>
  <c r="AB140" i="6"/>
  <c r="AC140" i="6" s="1"/>
  <c r="AG140" i="6"/>
  <c r="AH140" i="6"/>
  <c r="AI140" i="6"/>
  <c r="AQ140" i="6"/>
  <c r="A141" i="6"/>
  <c r="C141" i="6"/>
  <c r="H141" i="6" s="1"/>
  <c r="G141" i="6"/>
  <c r="I141" i="6"/>
  <c r="L141" i="6" s="1"/>
  <c r="J141" i="6"/>
  <c r="K141" i="6" s="1"/>
  <c r="Z141" i="6" s="1"/>
  <c r="M141" i="6"/>
  <c r="P141" i="6"/>
  <c r="Q141" i="6" s="1"/>
  <c r="R141" i="6" s="1"/>
  <c r="S141" i="6"/>
  <c r="T141" i="6" s="1"/>
  <c r="U141" i="6" s="1"/>
  <c r="V141" i="6"/>
  <c r="Y141" i="6"/>
  <c r="AB141" i="6"/>
  <c r="AC141" i="6" s="1"/>
  <c r="AG141" i="6"/>
  <c r="AH141" i="6"/>
  <c r="AI141" i="6"/>
  <c r="AQ141" i="6"/>
  <c r="A142" i="6"/>
  <c r="C142" i="6"/>
  <c r="G142" i="6"/>
  <c r="H142" i="6"/>
  <c r="I142" i="6" s="1"/>
  <c r="L142" i="6" s="1"/>
  <c r="E142" i="6" s="1"/>
  <c r="J142" i="6"/>
  <c r="K142" i="6"/>
  <c r="M142" i="6"/>
  <c r="P142" i="6"/>
  <c r="S142" i="6"/>
  <c r="T142" i="6" s="1"/>
  <c r="U142" i="6" s="1"/>
  <c r="V142" i="6"/>
  <c r="Y142" i="6"/>
  <c r="Z142" i="6"/>
  <c r="AB142" i="6"/>
  <c r="AC142" i="6" s="1"/>
  <c r="AG142" i="6"/>
  <c r="AH142" i="6"/>
  <c r="AI142" i="6"/>
  <c r="AQ142" i="6"/>
  <c r="A143" i="6"/>
  <c r="C143" i="6" s="1"/>
  <c r="H143" i="6" s="1"/>
  <c r="I143" i="6" s="1"/>
  <c r="L143" i="6" s="1"/>
  <c r="G143" i="6"/>
  <c r="J143" i="6"/>
  <c r="K143" i="6"/>
  <c r="Q143" i="6" s="1"/>
  <c r="R143" i="6" s="1"/>
  <c r="M143" i="6"/>
  <c r="P143" i="6"/>
  <c r="S143" i="6"/>
  <c r="T143" i="6"/>
  <c r="U143" i="6"/>
  <c r="V143" i="6"/>
  <c r="Y143" i="6"/>
  <c r="Z143" i="6" s="1"/>
  <c r="AB143" i="6"/>
  <c r="AC143" i="6"/>
  <c r="AG143" i="6"/>
  <c r="AH143" i="6"/>
  <c r="AI143" i="6"/>
  <c r="AQ143" i="6"/>
  <c r="A144" i="6"/>
  <c r="C144" i="6" s="1"/>
  <c r="H144" i="6" s="1"/>
  <c r="I144" i="6" s="1"/>
  <c r="G144" i="6"/>
  <c r="J144" i="6"/>
  <c r="K144" i="6" s="1"/>
  <c r="Q144" i="6" s="1"/>
  <c r="M144" i="6"/>
  <c r="P144" i="6"/>
  <c r="R144" i="6"/>
  <c r="S144" i="6"/>
  <c r="T144" i="6"/>
  <c r="U144" i="6"/>
  <c r="V144" i="6"/>
  <c r="Y144" i="6"/>
  <c r="AB144" i="6"/>
  <c r="AC144" i="6" s="1"/>
  <c r="AG144" i="6"/>
  <c r="AH144" i="6"/>
  <c r="AI144" i="6"/>
  <c r="AQ144" i="6"/>
  <c r="A145" i="6"/>
  <c r="C145" i="6"/>
  <c r="G145" i="6"/>
  <c r="H145" i="6"/>
  <c r="I145" i="6"/>
  <c r="L145" i="6" s="1"/>
  <c r="J145" i="6"/>
  <c r="K145" i="6" s="1"/>
  <c r="Z145" i="6" s="1"/>
  <c r="AA145" i="6"/>
  <c r="M145" i="6"/>
  <c r="P145" i="6"/>
  <c r="Q145" i="6"/>
  <c r="R145" i="6"/>
  <c r="S145" i="6"/>
  <c r="T145" i="6" s="1"/>
  <c r="U145" i="6" s="1"/>
  <c r="V145" i="6"/>
  <c r="Y145" i="6"/>
  <c r="AB145" i="6"/>
  <c r="AC145" i="6" s="1"/>
  <c r="AD145" i="6" s="1"/>
  <c r="AG145" i="6"/>
  <c r="AH145" i="6"/>
  <c r="AI145" i="6"/>
  <c r="AQ145" i="6"/>
  <c r="A146" i="6"/>
  <c r="C146" i="6"/>
  <c r="H146" i="6" s="1"/>
  <c r="I146" i="6" s="1"/>
  <c r="L146" i="6" s="1"/>
  <c r="G146" i="6"/>
  <c r="J146" i="6"/>
  <c r="K146" i="6"/>
  <c r="M146" i="6"/>
  <c r="P146" i="6"/>
  <c r="Q146" i="6"/>
  <c r="R146" i="6" s="1"/>
  <c r="S146" i="6"/>
  <c r="T146" i="6" s="1"/>
  <c r="U146" i="6" s="1"/>
  <c r="V146" i="6"/>
  <c r="Y146" i="6"/>
  <c r="Z146" i="6"/>
  <c r="AA146" i="6" s="1"/>
  <c r="AB146" i="6"/>
  <c r="AC146" i="6"/>
  <c r="AD146" i="6" s="1"/>
  <c r="AG146" i="6"/>
  <c r="AH146" i="6"/>
  <c r="AI146" i="6"/>
  <c r="AQ146" i="6"/>
  <c r="A147" i="6"/>
  <c r="C147" i="6" s="1"/>
  <c r="H147" i="6" s="1"/>
  <c r="I147" i="6" s="1"/>
  <c r="G147" i="6"/>
  <c r="L147" i="6"/>
  <c r="J147" i="6"/>
  <c r="K147" i="6"/>
  <c r="Q147" i="6" s="1"/>
  <c r="M147" i="6"/>
  <c r="P147" i="6"/>
  <c r="R147" i="6"/>
  <c r="S147" i="6"/>
  <c r="T147" i="6"/>
  <c r="U147" i="6" s="1"/>
  <c r="V147" i="6"/>
  <c r="Y147" i="6"/>
  <c r="Z147" i="6" s="1"/>
  <c r="AA147" i="6" s="1"/>
  <c r="AB147" i="6"/>
  <c r="AC147" i="6"/>
  <c r="AD147" i="6"/>
  <c r="AG147" i="6"/>
  <c r="AH147" i="6"/>
  <c r="AI147" i="6"/>
  <c r="AQ147" i="6"/>
  <c r="A148" i="6"/>
  <c r="C148" i="6" s="1"/>
  <c r="H148" i="6" s="1"/>
  <c r="I148" i="6" s="1"/>
  <c r="L148" i="6" s="1"/>
  <c r="G148" i="6"/>
  <c r="J148" i="6"/>
  <c r="K148" i="6" s="1"/>
  <c r="Q148" i="6" s="1"/>
  <c r="M148" i="6"/>
  <c r="P148" i="6"/>
  <c r="R148" i="6"/>
  <c r="S148" i="6"/>
  <c r="T148" i="6"/>
  <c r="U148" i="6" s="1"/>
  <c r="V148" i="6"/>
  <c r="Y148" i="6"/>
  <c r="AB148" i="6"/>
  <c r="AC148" i="6" s="1"/>
  <c r="AD148" i="6"/>
  <c r="AG148" i="6"/>
  <c r="AH148" i="6"/>
  <c r="AI148" i="6"/>
  <c r="AQ148" i="6"/>
  <c r="A149" i="6"/>
  <c r="C149" i="6"/>
  <c r="G149" i="6"/>
  <c r="H149" i="6"/>
  <c r="I149" i="6"/>
  <c r="L149" i="6" s="1"/>
  <c r="J149" i="6"/>
  <c r="K149" i="6" s="1"/>
  <c r="Z149" i="6" s="1"/>
  <c r="AA149" i="6" s="1"/>
  <c r="M149" i="6"/>
  <c r="P149" i="6"/>
  <c r="S149" i="6"/>
  <c r="T149" i="6" s="1"/>
  <c r="U149" i="6" s="1"/>
  <c r="V149" i="6"/>
  <c r="Y149" i="6"/>
  <c r="AB149" i="6"/>
  <c r="AC149" i="6"/>
  <c r="AD149" i="6" s="1"/>
  <c r="AG149" i="6"/>
  <c r="AH149" i="6"/>
  <c r="AI149" i="6"/>
  <c r="AQ149" i="6"/>
  <c r="A150" i="6"/>
  <c r="C150" i="6"/>
  <c r="G150" i="6"/>
  <c r="H150" i="6" s="1"/>
  <c r="I150" i="6" s="1"/>
  <c r="J150" i="6"/>
  <c r="K150" i="6"/>
  <c r="Z150" i="6" s="1"/>
  <c r="AA150" i="6" s="1"/>
  <c r="M150" i="6"/>
  <c r="P150" i="6"/>
  <c r="S150" i="6"/>
  <c r="T150" i="6" s="1"/>
  <c r="U150" i="6" s="1"/>
  <c r="V150" i="6"/>
  <c r="Y150" i="6"/>
  <c r="AB150" i="6"/>
  <c r="AC150" i="6" s="1"/>
  <c r="AD150" i="6" s="1"/>
  <c r="AG150" i="6"/>
  <c r="AH150" i="6"/>
  <c r="AI150" i="6"/>
  <c r="AQ150" i="6"/>
  <c r="A151" i="6"/>
  <c r="C151" i="6"/>
  <c r="H151" i="6" s="1"/>
  <c r="I151" i="6" s="1"/>
  <c r="L151" i="6" s="1"/>
  <c r="G151" i="6"/>
  <c r="J151" i="6"/>
  <c r="K151" i="6"/>
  <c r="Q151" i="6" s="1"/>
  <c r="M151" i="6"/>
  <c r="P151" i="6"/>
  <c r="R151" i="6"/>
  <c r="S151" i="6"/>
  <c r="T151" i="6"/>
  <c r="U151" i="6" s="1"/>
  <c r="V151" i="6"/>
  <c r="Y151" i="6"/>
  <c r="Z151" i="6" s="1"/>
  <c r="AA151" i="6" s="1"/>
  <c r="AB151" i="6"/>
  <c r="AC151" i="6"/>
  <c r="AD151" i="6"/>
  <c r="AG151" i="6"/>
  <c r="AH151" i="6"/>
  <c r="AI151" i="6"/>
  <c r="AQ151" i="6"/>
  <c r="A152" i="6"/>
  <c r="C152" i="6" s="1"/>
  <c r="H152" i="6" s="1"/>
  <c r="I152" i="6" s="1"/>
  <c r="L152" i="6" s="1"/>
  <c r="G152" i="6"/>
  <c r="J152" i="6"/>
  <c r="K152" i="6"/>
  <c r="Q152" i="6" s="1"/>
  <c r="R152" i="6" s="1"/>
  <c r="M152" i="6"/>
  <c r="P152" i="6"/>
  <c r="S152" i="6"/>
  <c r="T152" i="6"/>
  <c r="U152" i="6"/>
  <c r="V152" i="6"/>
  <c r="Y152" i="6"/>
  <c r="AB152" i="6"/>
  <c r="AC152" i="6" s="1"/>
  <c r="AD152" i="6" s="1"/>
  <c r="AG152" i="6"/>
  <c r="AH152" i="6"/>
  <c r="AI152" i="6"/>
  <c r="AQ152" i="6"/>
  <c r="A153" i="6"/>
  <c r="C153" i="6"/>
  <c r="H153" i="6" s="1"/>
  <c r="G153" i="6"/>
  <c r="I153" i="6"/>
  <c r="L153" i="6" s="1"/>
  <c r="J153" i="6"/>
  <c r="K153" i="6" s="1"/>
  <c r="Z153" i="6" s="1"/>
  <c r="AA153" i="6" s="1"/>
  <c r="M153" i="6"/>
  <c r="P153" i="6"/>
  <c r="Q153" i="6" s="1"/>
  <c r="R153" i="6" s="1"/>
  <c r="S153" i="6"/>
  <c r="T153" i="6" s="1"/>
  <c r="U153" i="6" s="1"/>
  <c r="V153" i="6"/>
  <c r="Y153" i="6"/>
  <c r="AB153" i="6"/>
  <c r="AC153" i="6" s="1"/>
  <c r="AD153" i="6"/>
  <c r="AG153" i="6"/>
  <c r="AH153" i="6"/>
  <c r="AI153" i="6"/>
  <c r="AQ153" i="6"/>
  <c r="A154" i="6"/>
  <c r="C154" i="6"/>
  <c r="H154" i="6" s="1"/>
  <c r="I154" i="6" s="1"/>
  <c r="L154" i="6" s="1"/>
  <c r="G154" i="6"/>
  <c r="J154" i="6"/>
  <c r="K154" i="6"/>
  <c r="M154" i="6"/>
  <c r="P154" i="6"/>
  <c r="Q154" i="6" s="1"/>
  <c r="R154" i="6" s="1"/>
  <c r="S154" i="6"/>
  <c r="T154" i="6" s="1"/>
  <c r="U154" i="6" s="1"/>
  <c r="V154" i="6"/>
  <c r="Y154" i="6"/>
  <c r="Z154" i="6"/>
  <c r="AA154" i="6" s="1"/>
  <c r="AB154" i="6"/>
  <c r="AC154" i="6"/>
  <c r="AD154" i="6" s="1"/>
  <c r="AG154" i="6"/>
  <c r="AH154" i="6"/>
  <c r="AI154" i="6"/>
  <c r="AQ154" i="6"/>
  <c r="A155" i="6"/>
  <c r="C155" i="6" s="1"/>
  <c r="G155" i="6"/>
  <c r="J155" i="6"/>
  <c r="K155" i="6"/>
  <c r="M155" i="6"/>
  <c r="P155" i="6"/>
  <c r="S155" i="6"/>
  <c r="T155" i="6"/>
  <c r="U155" i="6"/>
  <c r="V155" i="6"/>
  <c r="Y155" i="6"/>
  <c r="AB155" i="6"/>
  <c r="AC155" i="6"/>
  <c r="AD155" i="6"/>
  <c r="AG155" i="6"/>
  <c r="AH155" i="6"/>
  <c r="AI155" i="6"/>
  <c r="AQ155" i="6"/>
  <c r="A156" i="6"/>
  <c r="C156" i="6" s="1"/>
  <c r="G156" i="6"/>
  <c r="H156" i="6"/>
  <c r="I156" i="6" s="1"/>
  <c r="L156" i="6" s="1"/>
  <c r="J156" i="6"/>
  <c r="K156" i="6" s="1"/>
  <c r="Q156" i="6" s="1"/>
  <c r="R156" i="6" s="1"/>
  <c r="M156" i="6"/>
  <c r="P156" i="6"/>
  <c r="S156" i="6"/>
  <c r="T156" i="6"/>
  <c r="U156" i="6" s="1"/>
  <c r="V156" i="6"/>
  <c r="Y156" i="6"/>
  <c r="AB156" i="6"/>
  <c r="AC156" i="6" s="1"/>
  <c r="AD156" i="6" s="1"/>
  <c r="AG156" i="6"/>
  <c r="AH156" i="6"/>
  <c r="AI156" i="6"/>
  <c r="AQ156" i="6"/>
  <c r="A157" i="6"/>
  <c r="C157" i="6"/>
  <c r="G157" i="6"/>
  <c r="H157" i="6"/>
  <c r="I157" i="6" s="1"/>
  <c r="L157" i="6"/>
  <c r="J157" i="6"/>
  <c r="K157" i="6" s="1"/>
  <c r="M157" i="6"/>
  <c r="P157" i="6"/>
  <c r="S157" i="6"/>
  <c r="T157" i="6" s="1"/>
  <c r="U157" i="6" s="1"/>
  <c r="V157" i="6"/>
  <c r="Y157" i="6"/>
  <c r="AB157" i="6"/>
  <c r="AC157" i="6" s="1"/>
  <c r="AD157" i="6" s="1"/>
  <c r="AG157" i="6"/>
  <c r="AH157" i="6"/>
  <c r="AI157" i="6"/>
  <c r="AQ157" i="6"/>
  <c r="A158" i="6"/>
  <c r="C158" i="6"/>
  <c r="G158" i="6"/>
  <c r="J158" i="6"/>
  <c r="K158" i="6" s="1"/>
  <c r="Z158" i="6" s="1"/>
  <c r="AA158" i="6" s="1"/>
  <c r="M158" i="6"/>
  <c r="P158" i="6"/>
  <c r="S158" i="6"/>
  <c r="T158" i="6" s="1"/>
  <c r="U158" i="6"/>
  <c r="V158" i="6"/>
  <c r="Y158" i="6"/>
  <c r="AB158" i="6"/>
  <c r="AC158" i="6" s="1"/>
  <c r="AD158" i="6" s="1"/>
  <c r="AG158" i="6"/>
  <c r="AH158" i="6"/>
  <c r="AI158" i="6"/>
  <c r="AQ158" i="6"/>
  <c r="A166" i="6"/>
  <c r="C166" i="6"/>
  <c r="H166" i="6" s="1"/>
  <c r="I166" i="6" s="1"/>
  <c r="L166" i="6" s="1"/>
  <c r="G166" i="6"/>
  <c r="J166" i="6"/>
  <c r="K166" i="6"/>
  <c r="M166" i="6"/>
  <c r="P166" i="6"/>
  <c r="Q166" i="6"/>
  <c r="R166" i="6" s="1"/>
  <c r="S166" i="6"/>
  <c r="T166" i="6" s="1"/>
  <c r="U166" i="6" s="1"/>
  <c r="V166" i="6"/>
  <c r="Y166" i="6"/>
  <c r="Z166" i="6" s="1"/>
  <c r="AB166" i="6"/>
  <c r="AC166" i="6" s="1"/>
  <c r="AG166" i="6"/>
  <c r="AH166" i="6"/>
  <c r="AI166" i="6"/>
  <c r="AQ166" i="6"/>
  <c r="A167" i="6"/>
  <c r="C167" i="6" s="1"/>
  <c r="G167" i="6"/>
  <c r="H167" i="6"/>
  <c r="I167" i="6" s="1"/>
  <c r="L167" i="6" s="1"/>
  <c r="J167" i="6"/>
  <c r="K167" i="6" s="1"/>
  <c r="M167" i="6"/>
  <c r="P167" i="6"/>
  <c r="Q167" i="6"/>
  <c r="R167" i="6" s="1"/>
  <c r="S167" i="6"/>
  <c r="T167" i="6" s="1"/>
  <c r="U167" i="6" s="1"/>
  <c r="V167" i="6"/>
  <c r="Y167" i="6"/>
  <c r="Z167" i="6" s="1"/>
  <c r="AB167" i="6"/>
  <c r="AC167" i="6" s="1"/>
  <c r="AG167" i="6"/>
  <c r="AH167" i="6"/>
  <c r="AI167" i="6"/>
  <c r="AQ167" i="6"/>
  <c r="A168" i="6"/>
  <c r="C168" i="6" s="1"/>
  <c r="H168" i="6" s="1"/>
  <c r="I168" i="6" s="1"/>
  <c r="L168" i="6" s="1"/>
  <c r="G168" i="6"/>
  <c r="J168" i="6"/>
  <c r="K168" i="6" s="1"/>
  <c r="M168" i="6"/>
  <c r="P168" i="6"/>
  <c r="Q168" i="6" s="1"/>
  <c r="R168" i="6" s="1"/>
  <c r="S168" i="6"/>
  <c r="T168" i="6" s="1"/>
  <c r="U168" i="6"/>
  <c r="V168" i="6"/>
  <c r="Y168" i="6"/>
  <c r="Z168" i="6" s="1"/>
  <c r="AB168" i="6"/>
  <c r="AC168" i="6" s="1"/>
  <c r="AG168" i="6"/>
  <c r="AH168" i="6"/>
  <c r="AI168" i="6"/>
  <c r="AQ168" i="6"/>
  <c r="A169" i="6"/>
  <c r="C169" i="6" s="1"/>
  <c r="G169" i="6"/>
  <c r="H169" i="6"/>
  <c r="I169" i="6" s="1"/>
  <c r="J169" i="6"/>
  <c r="K169" i="6"/>
  <c r="L169" i="6"/>
  <c r="M169" i="6"/>
  <c r="P169" i="6"/>
  <c r="S169" i="6"/>
  <c r="T169" i="6" s="1"/>
  <c r="U169" i="6" s="1"/>
  <c r="V169" i="6"/>
  <c r="Y169" i="6"/>
  <c r="Z169" i="6"/>
  <c r="AB169" i="6"/>
  <c r="AC169" i="6" s="1"/>
  <c r="AG169" i="6"/>
  <c r="AH169" i="6"/>
  <c r="AI169" i="6"/>
  <c r="AQ169" i="6"/>
  <c r="A170" i="6"/>
  <c r="C170" i="6"/>
  <c r="G170" i="6"/>
  <c r="J170" i="6"/>
  <c r="K170" i="6" s="1"/>
  <c r="Q170" i="6" s="1"/>
  <c r="R170" i="6" s="1"/>
  <c r="M170" i="6"/>
  <c r="P170" i="6"/>
  <c r="S170" i="6"/>
  <c r="T170" i="6" s="1"/>
  <c r="U170" i="6" s="1"/>
  <c r="V170" i="6"/>
  <c r="Y170" i="6"/>
  <c r="Z170" i="6" s="1"/>
  <c r="AB170" i="6"/>
  <c r="AC170" i="6"/>
  <c r="AG170" i="6"/>
  <c r="AH170" i="6"/>
  <c r="AI170" i="6"/>
  <c r="AQ170" i="6"/>
  <c r="A171" i="6"/>
  <c r="C171" i="6" s="1"/>
  <c r="H171" i="6" s="1"/>
  <c r="I171" i="6" s="1"/>
  <c r="L171" i="6" s="1"/>
  <c r="G171" i="6"/>
  <c r="J171" i="6"/>
  <c r="K171" i="6" s="1"/>
  <c r="M171" i="6"/>
  <c r="P171" i="6"/>
  <c r="Q171" i="6"/>
  <c r="R171" i="6" s="1"/>
  <c r="S171" i="6"/>
  <c r="T171" i="6" s="1"/>
  <c r="U171" i="6" s="1"/>
  <c r="V171" i="6"/>
  <c r="Y171" i="6"/>
  <c r="Z171" i="6" s="1"/>
  <c r="AB171" i="6"/>
  <c r="AC171" i="6" s="1"/>
  <c r="AG171" i="6"/>
  <c r="AH171" i="6"/>
  <c r="AI171" i="6"/>
  <c r="AQ171" i="6"/>
  <c r="A172" i="6"/>
  <c r="C172" i="6"/>
  <c r="H172" i="6" s="1"/>
  <c r="I172" i="6" s="1"/>
  <c r="L172" i="6" s="1"/>
  <c r="G172" i="6"/>
  <c r="J172" i="6"/>
  <c r="K172" i="6" s="1"/>
  <c r="M172" i="6"/>
  <c r="P172" i="6"/>
  <c r="Q172" i="6" s="1"/>
  <c r="R172" i="6" s="1"/>
  <c r="S172" i="6"/>
  <c r="T172" i="6"/>
  <c r="U172" i="6" s="1"/>
  <c r="V172" i="6"/>
  <c r="Y172" i="6"/>
  <c r="AB172" i="6"/>
  <c r="AC172" i="6"/>
  <c r="AG172" i="6"/>
  <c r="AH172" i="6"/>
  <c r="AI172" i="6"/>
  <c r="AQ172" i="6"/>
  <c r="A173" i="6"/>
  <c r="C173" i="6" s="1"/>
  <c r="G173" i="6"/>
  <c r="J173" i="6"/>
  <c r="K173" i="6" s="1"/>
  <c r="M173" i="6"/>
  <c r="P173" i="6"/>
  <c r="S173" i="6"/>
  <c r="T173" i="6"/>
  <c r="U173" i="6" s="1"/>
  <c r="V173" i="6"/>
  <c r="Y173" i="6"/>
  <c r="Z173" i="6"/>
  <c r="AB173" i="6"/>
  <c r="AC173" i="6"/>
  <c r="AG173" i="6"/>
  <c r="AH173" i="6"/>
  <c r="AI173" i="6"/>
  <c r="AQ173" i="6"/>
  <c r="A174" i="6"/>
  <c r="C174" i="6" s="1"/>
  <c r="H174" i="6"/>
  <c r="I174" i="6" s="1"/>
  <c r="G174" i="6"/>
  <c r="J174" i="6"/>
  <c r="K174" i="6"/>
  <c r="Z174" i="6" s="1"/>
  <c r="M174" i="6"/>
  <c r="P174" i="6"/>
  <c r="Q174" i="6" s="1"/>
  <c r="R174" i="6" s="1"/>
  <c r="S174" i="6"/>
  <c r="T174" i="6"/>
  <c r="U174" i="6" s="1"/>
  <c r="V174" i="6"/>
  <c r="Y174" i="6"/>
  <c r="AB174" i="6"/>
  <c r="AC174" i="6"/>
  <c r="AG174" i="6"/>
  <c r="AH174" i="6"/>
  <c r="AI174" i="6"/>
  <c r="AQ174" i="6"/>
  <c r="A175" i="6"/>
  <c r="C175" i="6"/>
  <c r="H175" i="6" s="1"/>
  <c r="I175" i="6" s="1"/>
  <c r="G175" i="6"/>
  <c r="J175" i="6"/>
  <c r="K175" i="6"/>
  <c r="Q175" i="6" s="1"/>
  <c r="R175" i="6" s="1"/>
  <c r="M175" i="6"/>
  <c r="P175" i="6"/>
  <c r="S175" i="6"/>
  <c r="T175" i="6" s="1"/>
  <c r="U175" i="6" s="1"/>
  <c r="V175" i="6"/>
  <c r="Y175" i="6"/>
  <c r="Z175" i="6" s="1"/>
  <c r="AA175" i="6" s="1"/>
  <c r="AB175" i="6"/>
  <c r="AC175" i="6"/>
  <c r="AG175" i="6"/>
  <c r="AH175" i="6"/>
  <c r="AI175" i="6"/>
  <c r="AQ175" i="6"/>
  <c r="A176" i="6"/>
  <c r="C176" i="6" s="1"/>
  <c r="G176" i="6"/>
  <c r="H176" i="6" s="1"/>
  <c r="I176" i="6" s="1"/>
  <c r="L176" i="6" s="1"/>
  <c r="AE176" i="6" s="1"/>
  <c r="J176" i="6"/>
  <c r="K176" i="6" s="1"/>
  <c r="Q176" i="6" s="1"/>
  <c r="R176" i="6" s="1"/>
  <c r="M176" i="6"/>
  <c r="P176" i="6"/>
  <c r="S176" i="6"/>
  <c r="T176" i="6" s="1"/>
  <c r="U176" i="6" s="1"/>
  <c r="V176" i="6"/>
  <c r="Y176" i="6"/>
  <c r="AB176" i="6"/>
  <c r="AC176" i="6" s="1"/>
  <c r="AG176" i="6"/>
  <c r="AH176" i="6"/>
  <c r="AI176" i="6"/>
  <c r="AQ176" i="6"/>
  <c r="A177" i="6"/>
  <c r="C177" i="6"/>
  <c r="H177" i="6" s="1"/>
  <c r="I177" i="6" s="1"/>
  <c r="L177" i="6" s="1"/>
  <c r="G177" i="6"/>
  <c r="J177" i="6"/>
  <c r="K177" i="6" s="1"/>
  <c r="Z177" i="6"/>
  <c r="M177" i="6"/>
  <c r="P177" i="6"/>
  <c r="Q177" i="6" s="1"/>
  <c r="R177" i="6" s="1"/>
  <c r="S177" i="6"/>
  <c r="T177" i="6" s="1"/>
  <c r="U177" i="6"/>
  <c r="V177" i="6"/>
  <c r="Y177" i="6"/>
  <c r="AB177" i="6"/>
  <c r="AC177" i="6" s="1"/>
  <c r="AG177" i="6"/>
  <c r="AH177" i="6"/>
  <c r="AI177" i="6"/>
  <c r="AQ177" i="6"/>
  <c r="A178" i="6"/>
  <c r="C178" i="6"/>
  <c r="H178" i="6" s="1"/>
  <c r="G178" i="6"/>
  <c r="I178" i="6"/>
  <c r="L178" i="6" s="1"/>
  <c r="J178" i="6"/>
  <c r="K178" i="6"/>
  <c r="M178" i="6"/>
  <c r="P178" i="6"/>
  <c r="S178" i="6"/>
  <c r="T178" i="6" s="1"/>
  <c r="U178" i="6"/>
  <c r="V178" i="6"/>
  <c r="Y178" i="6"/>
  <c r="Z178" i="6" s="1"/>
  <c r="AB178" i="6"/>
  <c r="AC178" i="6"/>
  <c r="AG178" i="6"/>
  <c r="AH178" i="6"/>
  <c r="AI178" i="6"/>
  <c r="AQ178" i="6"/>
  <c r="A179" i="6"/>
  <c r="C179" i="6"/>
  <c r="H179" i="6" s="1"/>
  <c r="I179" i="6" s="1"/>
  <c r="L179" i="6" s="1"/>
  <c r="G179" i="6"/>
  <c r="J179" i="6"/>
  <c r="K179" i="6"/>
  <c r="Q179" i="6" s="1"/>
  <c r="M179" i="6"/>
  <c r="P179" i="6"/>
  <c r="R179" i="6"/>
  <c r="S179" i="6"/>
  <c r="T179" i="6" s="1"/>
  <c r="U179" i="6" s="1"/>
  <c r="V179" i="6"/>
  <c r="Y179" i="6"/>
  <c r="Z179" i="6" s="1"/>
  <c r="AB179" i="6"/>
  <c r="AC179" i="6"/>
  <c r="AG179" i="6"/>
  <c r="AH179" i="6"/>
  <c r="AI179" i="6"/>
  <c r="AQ179" i="6"/>
  <c r="A180" i="6"/>
  <c r="C180" i="6" s="1"/>
  <c r="G180" i="6"/>
  <c r="H180" i="6" s="1"/>
  <c r="I180" i="6" s="1"/>
  <c r="L180" i="6" s="1"/>
  <c r="J180" i="6"/>
  <c r="K180" i="6" s="1"/>
  <c r="M180" i="6"/>
  <c r="P180" i="6"/>
  <c r="Q180" i="6"/>
  <c r="R180" i="6"/>
  <c r="S180" i="6"/>
  <c r="T180" i="6" s="1"/>
  <c r="U180" i="6" s="1"/>
  <c r="V180" i="6"/>
  <c r="Y180" i="6"/>
  <c r="AB180" i="6"/>
  <c r="AC180" i="6"/>
  <c r="AG180" i="6"/>
  <c r="AH180" i="6"/>
  <c r="AI180" i="6"/>
  <c r="AQ180" i="6"/>
  <c r="A181" i="6"/>
  <c r="C181" i="6"/>
  <c r="G181" i="6"/>
  <c r="H181" i="6" s="1"/>
  <c r="I181" i="6" s="1"/>
  <c r="L181" i="6" s="1"/>
  <c r="J181" i="6"/>
  <c r="K181" i="6" s="1"/>
  <c r="M181" i="6"/>
  <c r="P181" i="6"/>
  <c r="Q181" i="6" s="1"/>
  <c r="R181" i="6" s="1"/>
  <c r="S181" i="6"/>
  <c r="T181" i="6" s="1"/>
  <c r="U181" i="6"/>
  <c r="V181" i="6"/>
  <c r="Y181" i="6"/>
  <c r="Z181" i="6" s="1"/>
  <c r="AA181" i="6" s="1"/>
  <c r="AB181" i="6"/>
  <c r="AC181" i="6" s="1"/>
  <c r="AD181" i="6" s="1"/>
  <c r="AG181" i="6"/>
  <c r="AH181" i="6"/>
  <c r="AI181" i="6"/>
  <c r="AQ181" i="6"/>
  <c r="A182" i="6"/>
  <c r="C182" i="6"/>
  <c r="H182" i="6" s="1"/>
  <c r="I182" i="6" s="1"/>
  <c r="L182" i="6" s="1"/>
  <c r="G182" i="6"/>
  <c r="J182" i="6"/>
  <c r="K182" i="6"/>
  <c r="M182" i="6"/>
  <c r="P182" i="6"/>
  <c r="Q182" i="6" s="1"/>
  <c r="R182" i="6" s="1"/>
  <c r="S182" i="6"/>
  <c r="T182" i="6" s="1"/>
  <c r="U182" i="6"/>
  <c r="V182" i="6"/>
  <c r="Y182" i="6"/>
  <c r="Z182" i="6" s="1"/>
  <c r="AA182" i="6" s="1"/>
  <c r="AB182" i="6"/>
  <c r="AC182" i="6"/>
  <c r="AD182" i="6" s="1"/>
  <c r="AG182" i="6"/>
  <c r="AH182" i="6"/>
  <c r="AI182" i="6"/>
  <c r="AQ182" i="6"/>
  <c r="A183" i="6"/>
  <c r="C183" i="6"/>
  <c r="H183" i="6" s="1"/>
  <c r="I183" i="6" s="1"/>
  <c r="G183" i="6"/>
  <c r="J183" i="6"/>
  <c r="K183" i="6"/>
  <c r="Q183" i="6" s="1"/>
  <c r="R183" i="6" s="1"/>
  <c r="M183" i="6"/>
  <c r="P183" i="6"/>
  <c r="S183" i="6"/>
  <c r="T183" i="6" s="1"/>
  <c r="U183" i="6" s="1"/>
  <c r="V183" i="6"/>
  <c r="Y183" i="6"/>
  <c r="AB183" i="6"/>
  <c r="AC183" i="6"/>
  <c r="AD183" i="6" s="1"/>
  <c r="AG183" i="6"/>
  <c r="AH183" i="6"/>
  <c r="AI183" i="6"/>
  <c r="AQ183" i="6"/>
  <c r="A184" i="6"/>
  <c r="C184" i="6" s="1"/>
  <c r="G184" i="6"/>
  <c r="H184" i="6"/>
  <c r="I184" i="6" s="1"/>
  <c r="L184" i="6" s="1"/>
  <c r="J184" i="6"/>
  <c r="K184" i="6" s="1"/>
  <c r="Q184" i="6" s="1"/>
  <c r="R184" i="6" s="1"/>
  <c r="M184" i="6"/>
  <c r="P184" i="6"/>
  <c r="S184" i="6"/>
  <c r="T184" i="6" s="1"/>
  <c r="U184" i="6" s="1"/>
  <c r="V184" i="6"/>
  <c r="Y184" i="6"/>
  <c r="AB184" i="6"/>
  <c r="AC184" i="6" s="1"/>
  <c r="AD184" i="6" s="1"/>
  <c r="AG184" i="6"/>
  <c r="AH184" i="6"/>
  <c r="AI184" i="6"/>
  <c r="AQ184" i="6"/>
  <c r="A185" i="6"/>
  <c r="C185" i="6"/>
  <c r="H185" i="6" s="1"/>
  <c r="I185" i="6" s="1"/>
  <c r="L185" i="6" s="1"/>
  <c r="G185" i="6"/>
  <c r="J185" i="6"/>
  <c r="K185" i="6" s="1"/>
  <c r="Z185" i="6"/>
  <c r="AA185" i="6" s="1"/>
  <c r="M185" i="6"/>
  <c r="P185" i="6"/>
  <c r="Q185" i="6" s="1"/>
  <c r="R185" i="6" s="1"/>
  <c r="S185" i="6"/>
  <c r="T185" i="6" s="1"/>
  <c r="U185" i="6"/>
  <c r="V185" i="6"/>
  <c r="Y185" i="6"/>
  <c r="AB185" i="6"/>
  <c r="AC185" i="6" s="1"/>
  <c r="AD185" i="6" s="1"/>
  <c r="AG185" i="6"/>
  <c r="AH185" i="6"/>
  <c r="AI185" i="6"/>
  <c r="AQ185" i="6"/>
  <c r="A186" i="6"/>
  <c r="C186" i="6"/>
  <c r="H186" i="6" s="1"/>
  <c r="G186" i="6"/>
  <c r="I186" i="6"/>
  <c r="L186" i="6" s="1"/>
  <c r="J186" i="6"/>
  <c r="K186" i="6"/>
  <c r="M186" i="6"/>
  <c r="P186" i="6"/>
  <c r="S186" i="6"/>
  <c r="T186" i="6" s="1"/>
  <c r="U186" i="6"/>
  <c r="V186" i="6"/>
  <c r="Y186" i="6"/>
  <c r="Z186" i="6" s="1"/>
  <c r="AA186" i="6" s="1"/>
  <c r="AB186" i="6"/>
  <c r="AC186" i="6"/>
  <c r="AD186" i="6" s="1"/>
  <c r="AG186" i="6"/>
  <c r="AH186" i="6"/>
  <c r="AI186" i="6"/>
  <c r="AQ186" i="6"/>
  <c r="A187" i="6"/>
  <c r="C187" i="6"/>
  <c r="H187" i="6" s="1"/>
  <c r="I187" i="6" s="1"/>
  <c r="L187" i="6" s="1"/>
  <c r="G187" i="6"/>
  <c r="J187" i="6"/>
  <c r="K187" i="6"/>
  <c r="Q187" i="6" s="1"/>
  <c r="M187" i="6"/>
  <c r="P187" i="6"/>
  <c r="R187" i="6"/>
  <c r="S187" i="6"/>
  <c r="T187" i="6" s="1"/>
  <c r="U187" i="6" s="1"/>
  <c r="V187" i="6"/>
  <c r="Y187" i="6"/>
  <c r="Z187" i="6" s="1"/>
  <c r="AA187" i="6" s="1"/>
  <c r="AB187" i="6"/>
  <c r="AC187" i="6"/>
  <c r="AD187" i="6" s="1"/>
  <c r="AG187" i="6"/>
  <c r="AJ187" i="6" s="1"/>
  <c r="AH187" i="6"/>
  <c r="AI187" i="6"/>
  <c r="AQ187" i="6"/>
  <c r="A188" i="6"/>
  <c r="C188" i="6" s="1"/>
  <c r="H188" i="6" s="1"/>
  <c r="I188" i="6" s="1"/>
  <c r="L188" i="6" s="1"/>
  <c r="G188" i="6"/>
  <c r="J188" i="6"/>
  <c r="K188" i="6" s="1"/>
  <c r="M188" i="6"/>
  <c r="P188" i="6"/>
  <c r="Q188" i="6"/>
  <c r="R188" i="6"/>
  <c r="S188" i="6"/>
  <c r="T188" i="6" s="1"/>
  <c r="U188" i="6" s="1"/>
  <c r="V188" i="6"/>
  <c r="Y188" i="6"/>
  <c r="AB188" i="6"/>
  <c r="AC188" i="6"/>
  <c r="AD188" i="6"/>
  <c r="AG188" i="6"/>
  <c r="AH188" i="6"/>
  <c r="AI188" i="6"/>
  <c r="AQ188" i="6"/>
  <c r="A189" i="6"/>
  <c r="C189" i="6"/>
  <c r="H189" i="6"/>
  <c r="I189" i="6"/>
  <c r="L189" i="6" s="1"/>
  <c r="G189" i="6"/>
  <c r="J189" i="6"/>
  <c r="K189" i="6" s="1"/>
  <c r="M189" i="6"/>
  <c r="P189" i="6"/>
  <c r="Q189" i="6" s="1"/>
  <c r="R189" i="6" s="1"/>
  <c r="S189" i="6"/>
  <c r="T189" i="6" s="1"/>
  <c r="U189" i="6" s="1"/>
  <c r="V189" i="6"/>
  <c r="Y189" i="6"/>
  <c r="Z189" i="6" s="1"/>
  <c r="AA189" i="6" s="1"/>
  <c r="AB189" i="6"/>
  <c r="AC189" i="6" s="1"/>
  <c r="AD189" i="6" s="1"/>
  <c r="AG189" i="6"/>
  <c r="AH189" i="6"/>
  <c r="AI189" i="6"/>
  <c r="AQ189" i="6"/>
  <c r="A190" i="6"/>
  <c r="C190" i="6"/>
  <c r="H190" i="6" s="1"/>
  <c r="I190" i="6" s="1"/>
  <c r="L190" i="6" s="1"/>
  <c r="G190" i="6"/>
  <c r="J190" i="6"/>
  <c r="K190" i="6"/>
  <c r="M190" i="6"/>
  <c r="P190" i="6"/>
  <c r="Q190" i="6" s="1"/>
  <c r="R190" i="6" s="1"/>
  <c r="S190" i="6"/>
  <c r="T190" i="6" s="1"/>
  <c r="U190" i="6"/>
  <c r="V190" i="6"/>
  <c r="Y190" i="6"/>
  <c r="Z190" i="6" s="1"/>
  <c r="AA190" i="6" s="1"/>
  <c r="AB190" i="6"/>
  <c r="AC190" i="6"/>
  <c r="AD190" i="6" s="1"/>
  <c r="AG190" i="6"/>
  <c r="AH190" i="6"/>
  <c r="AI190" i="6"/>
  <c r="AQ190" i="6"/>
  <c r="A191" i="6"/>
  <c r="C191" i="6"/>
  <c r="H191" i="6" s="1"/>
  <c r="I191" i="6" s="1"/>
  <c r="L191" i="6" s="1"/>
  <c r="E191" i="6" s="1"/>
  <c r="G191" i="6"/>
  <c r="J191" i="6"/>
  <c r="K191" i="6"/>
  <c r="Q191" i="6" s="1"/>
  <c r="R191" i="6" s="1"/>
  <c r="M191" i="6"/>
  <c r="P191" i="6"/>
  <c r="S191" i="6"/>
  <c r="T191" i="6" s="1"/>
  <c r="U191" i="6" s="1"/>
  <c r="V191" i="6"/>
  <c r="Y191" i="6"/>
  <c r="Z191" i="6" s="1"/>
  <c r="AA191" i="6" s="1"/>
  <c r="AB191" i="6"/>
  <c r="AC191" i="6"/>
  <c r="AD191" i="6" s="1"/>
  <c r="AG191" i="6"/>
  <c r="AH191" i="6"/>
  <c r="AI191" i="6"/>
  <c r="AQ191" i="6"/>
  <c r="A192" i="6"/>
  <c r="C192" i="6" s="1"/>
  <c r="G192" i="6"/>
  <c r="H192" i="6"/>
  <c r="I192" i="6" s="1"/>
  <c r="L192" i="6" s="1"/>
  <c r="AE192" i="6" s="1"/>
  <c r="AF192" i="6" s="1"/>
  <c r="AR192" i="6" s="1"/>
  <c r="J192" i="6"/>
  <c r="K192" i="6" s="1"/>
  <c r="Q192" i="6" s="1"/>
  <c r="R192" i="6" s="1"/>
  <c r="M192" i="6"/>
  <c r="P192" i="6"/>
  <c r="S192" i="6"/>
  <c r="T192" i="6" s="1"/>
  <c r="U192" i="6" s="1"/>
  <c r="V192" i="6"/>
  <c r="Y192" i="6"/>
  <c r="AB192" i="6"/>
  <c r="AC192" i="6" s="1"/>
  <c r="AD192" i="6" s="1"/>
  <c r="AG192" i="6"/>
  <c r="AH192" i="6"/>
  <c r="AI192" i="6"/>
  <c r="AQ192" i="6"/>
  <c r="A193" i="6"/>
  <c r="C193" i="6"/>
  <c r="H193" i="6" s="1"/>
  <c r="I193" i="6" s="1"/>
  <c r="L193" i="6" s="1"/>
  <c r="G193" i="6"/>
  <c r="J193" i="6"/>
  <c r="K193" i="6" s="1"/>
  <c r="Z193" i="6"/>
  <c r="AA193" i="6" s="1"/>
  <c r="M193" i="6"/>
  <c r="P193" i="6"/>
  <c r="Q193" i="6" s="1"/>
  <c r="R193" i="6"/>
  <c r="S193" i="6"/>
  <c r="T193" i="6" s="1"/>
  <c r="U193" i="6"/>
  <c r="V193" i="6"/>
  <c r="Y193" i="6"/>
  <c r="AB193" i="6"/>
  <c r="AC193" i="6" s="1"/>
  <c r="AD193" i="6" s="1"/>
  <c r="AG193" i="6"/>
  <c r="AH193" i="6"/>
  <c r="AI193" i="6"/>
  <c r="AQ193" i="6"/>
  <c r="A194" i="6"/>
  <c r="C194" i="6"/>
  <c r="H194" i="6" s="1"/>
  <c r="G194" i="6"/>
  <c r="I194" i="6"/>
  <c r="L194" i="6" s="1"/>
  <c r="J194" i="6"/>
  <c r="K194" i="6"/>
  <c r="M194" i="6"/>
  <c r="P194" i="6"/>
  <c r="S194" i="6"/>
  <c r="T194" i="6" s="1"/>
  <c r="U194" i="6"/>
  <c r="V194" i="6"/>
  <c r="Y194" i="6"/>
  <c r="Z194" i="6" s="1"/>
  <c r="AA194" i="6" s="1"/>
  <c r="AB194" i="6"/>
  <c r="AC194" i="6"/>
  <c r="AD194" i="6" s="1"/>
  <c r="AG194" i="6"/>
  <c r="AH194" i="6"/>
  <c r="AI194" i="6"/>
  <c r="AQ194" i="6"/>
  <c r="A202" i="6"/>
  <c r="C202" i="6"/>
  <c r="G202" i="6"/>
  <c r="J202" i="6"/>
  <c r="K202" i="6" s="1"/>
  <c r="M202" i="6"/>
  <c r="P202" i="6"/>
  <c r="S202" i="6"/>
  <c r="T202" i="6"/>
  <c r="U202" i="6" s="1"/>
  <c r="V202" i="6"/>
  <c r="Y202" i="6"/>
  <c r="Z202" i="6" s="1"/>
  <c r="AB202" i="6"/>
  <c r="AC202" i="6" s="1"/>
  <c r="AG202" i="6"/>
  <c r="AH202" i="6"/>
  <c r="AI202" i="6"/>
  <c r="AQ202" i="6"/>
  <c r="A203" i="6"/>
  <c r="C203" i="6"/>
  <c r="H203" i="6" s="1"/>
  <c r="I203" i="6" s="1"/>
  <c r="G203" i="6"/>
  <c r="J203" i="6"/>
  <c r="K203" i="6" s="1"/>
  <c r="M203" i="6"/>
  <c r="P203" i="6"/>
  <c r="S203" i="6"/>
  <c r="T203" i="6" s="1"/>
  <c r="U203" i="6" s="1"/>
  <c r="V203" i="6"/>
  <c r="Y203" i="6"/>
  <c r="AB203" i="6"/>
  <c r="AC203" i="6"/>
  <c r="AG203" i="6"/>
  <c r="AH203" i="6"/>
  <c r="AI203" i="6"/>
  <c r="AQ203" i="6"/>
  <c r="A204" i="6"/>
  <c r="C204" i="6" s="1"/>
  <c r="H204" i="6" s="1"/>
  <c r="I204" i="6" s="1"/>
  <c r="G204" i="6"/>
  <c r="J204" i="6"/>
  <c r="K204" i="6" s="1"/>
  <c r="M204" i="6"/>
  <c r="P204" i="6"/>
  <c r="S204" i="6"/>
  <c r="T204" i="6"/>
  <c r="U204" i="6" s="1"/>
  <c r="V204" i="6"/>
  <c r="Y204" i="6"/>
  <c r="AB204" i="6"/>
  <c r="AC204" i="6"/>
  <c r="AG204" i="6"/>
  <c r="AH204" i="6"/>
  <c r="AI204" i="6"/>
  <c r="AQ204" i="6"/>
  <c r="A205" i="6"/>
  <c r="C205" i="6" s="1"/>
  <c r="H205" i="6" s="1"/>
  <c r="I205" i="6" s="1"/>
  <c r="G205" i="6"/>
  <c r="J205" i="6"/>
  <c r="K205" i="6"/>
  <c r="M205" i="6"/>
  <c r="P205" i="6"/>
  <c r="S205" i="6"/>
  <c r="T205" i="6"/>
  <c r="U205" i="6" s="1"/>
  <c r="V205" i="6"/>
  <c r="Y205" i="6"/>
  <c r="AB205" i="6"/>
  <c r="AC205" i="6" s="1"/>
  <c r="AG205" i="6"/>
  <c r="AH205" i="6"/>
  <c r="AI205" i="6"/>
  <c r="AQ205" i="6"/>
  <c r="A206" i="6"/>
  <c r="C206" i="6"/>
  <c r="H206" i="6" s="1"/>
  <c r="I206" i="6" s="1"/>
  <c r="G206" i="6"/>
  <c r="J206" i="6"/>
  <c r="K206" i="6"/>
  <c r="M206" i="6"/>
  <c r="P206" i="6"/>
  <c r="S206" i="6"/>
  <c r="T206" i="6" s="1"/>
  <c r="U206" i="6" s="1"/>
  <c r="V206" i="6"/>
  <c r="Y206" i="6"/>
  <c r="AB206" i="6"/>
  <c r="AC206" i="6" s="1"/>
  <c r="AG206" i="6"/>
  <c r="AH206" i="6"/>
  <c r="AI206" i="6"/>
  <c r="AQ206" i="6"/>
  <c r="A207" i="6"/>
  <c r="H207" i="6" s="1"/>
  <c r="I207" i="6" s="1"/>
  <c r="G207" i="6"/>
  <c r="J207" i="6"/>
  <c r="K207" i="6" s="1"/>
  <c r="M207" i="6"/>
  <c r="P207" i="6"/>
  <c r="S207" i="6"/>
  <c r="T207" i="6" s="1"/>
  <c r="U207" i="6"/>
  <c r="V207" i="6"/>
  <c r="Y207" i="6"/>
  <c r="AB207" i="6"/>
  <c r="AC207" i="6" s="1"/>
  <c r="AG207" i="6"/>
  <c r="AH207" i="6"/>
  <c r="AI207" i="6"/>
  <c r="AQ207" i="6"/>
  <c r="A208" i="6"/>
  <c r="H208" i="6" s="1"/>
  <c r="I208" i="6" s="1"/>
  <c r="L208" i="6" s="1"/>
  <c r="G208" i="6"/>
  <c r="J208" i="6"/>
  <c r="K208" i="6"/>
  <c r="M208" i="6"/>
  <c r="P208" i="6"/>
  <c r="S208" i="6"/>
  <c r="T208" i="6" s="1"/>
  <c r="U208" i="6" s="1"/>
  <c r="V208" i="6"/>
  <c r="Y208" i="6"/>
  <c r="AB208" i="6"/>
  <c r="AC208" i="6"/>
  <c r="AG208" i="6"/>
  <c r="AH208" i="6"/>
  <c r="AI208" i="6"/>
  <c r="AQ208" i="6"/>
  <c r="A209" i="6"/>
  <c r="C209" i="6"/>
  <c r="G209" i="6"/>
  <c r="H209" i="6"/>
  <c r="I209" i="6" s="1"/>
  <c r="J209" i="6"/>
  <c r="K209" i="6"/>
  <c r="M209" i="6"/>
  <c r="P209" i="6"/>
  <c r="S209" i="6"/>
  <c r="T209" i="6"/>
  <c r="U209" i="6"/>
  <c r="V209" i="6"/>
  <c r="Y209" i="6"/>
  <c r="AB209" i="6"/>
  <c r="AC209" i="6"/>
  <c r="AG209" i="6"/>
  <c r="AH209" i="6"/>
  <c r="AI209" i="6"/>
  <c r="AQ209" i="6"/>
  <c r="A210" i="6"/>
  <c r="C210" i="6"/>
  <c r="G210" i="6"/>
  <c r="J210" i="6"/>
  <c r="K210" i="6" s="1"/>
  <c r="M210" i="6"/>
  <c r="P210" i="6"/>
  <c r="S210" i="6"/>
  <c r="T210" i="6"/>
  <c r="U210" i="6" s="1"/>
  <c r="V210" i="6"/>
  <c r="Y210" i="6"/>
  <c r="AB210" i="6"/>
  <c r="AC210" i="6" s="1"/>
  <c r="AG210" i="6"/>
  <c r="AH210" i="6"/>
  <c r="AI210" i="6"/>
  <c r="AQ210" i="6"/>
  <c r="A211" i="6"/>
  <c r="C211" i="6"/>
  <c r="H211" i="6" s="1"/>
  <c r="I211" i="6" s="1"/>
  <c r="G211" i="6"/>
  <c r="J211" i="6"/>
  <c r="K211" i="6" s="1"/>
  <c r="M211" i="6"/>
  <c r="P211" i="6"/>
  <c r="S211" i="6"/>
  <c r="T211" i="6" s="1"/>
  <c r="U211" i="6" s="1"/>
  <c r="V211" i="6"/>
  <c r="Y211" i="6"/>
  <c r="AB211" i="6"/>
  <c r="AC211" i="6"/>
  <c r="AG211" i="6"/>
  <c r="AH211" i="6"/>
  <c r="AI211" i="6"/>
  <c r="AQ211" i="6"/>
  <c r="A212" i="6"/>
  <c r="C212" i="6" s="1"/>
  <c r="H212" i="6" s="1"/>
  <c r="I212" i="6" s="1"/>
  <c r="L212" i="6" s="1"/>
  <c r="G212" i="6"/>
  <c r="J212" i="6"/>
  <c r="K212" i="6" s="1"/>
  <c r="M212" i="6"/>
  <c r="P212" i="6"/>
  <c r="S212" i="6"/>
  <c r="T212" i="6" s="1"/>
  <c r="U212" i="6"/>
  <c r="V212" i="6"/>
  <c r="Y212" i="6"/>
  <c r="AB212" i="6"/>
  <c r="AC212" i="6" s="1"/>
  <c r="AG212" i="6"/>
  <c r="AH212" i="6"/>
  <c r="AI212" i="6"/>
  <c r="AQ212" i="6"/>
  <c r="A213" i="6"/>
  <c r="C213" i="6"/>
  <c r="H213" i="6" s="1"/>
  <c r="I213" i="6" s="1"/>
  <c r="G213" i="6"/>
  <c r="J213" i="6"/>
  <c r="K213" i="6" s="1"/>
  <c r="M213" i="6"/>
  <c r="P213" i="6"/>
  <c r="S213" i="6"/>
  <c r="T213" i="6" s="1"/>
  <c r="U213" i="6" s="1"/>
  <c r="V213" i="6"/>
  <c r="Y213" i="6"/>
  <c r="AB213" i="6"/>
  <c r="AC213" i="6" s="1"/>
  <c r="AG213" i="6"/>
  <c r="AH213" i="6"/>
  <c r="AI213" i="6"/>
  <c r="AQ213" i="6"/>
  <c r="A214" i="6"/>
  <c r="C214" i="6" s="1"/>
  <c r="H214" i="6"/>
  <c r="I214" i="6" s="1"/>
  <c r="G214" i="6"/>
  <c r="J214" i="6"/>
  <c r="K214" i="6" s="1"/>
  <c r="M214" i="6"/>
  <c r="P214" i="6"/>
  <c r="S214" i="6"/>
  <c r="T214" i="6"/>
  <c r="U214" i="6" s="1"/>
  <c r="V214" i="6"/>
  <c r="Y214" i="6"/>
  <c r="AB214" i="6"/>
  <c r="AC214" i="6"/>
  <c r="AG214" i="6"/>
  <c r="AH214" i="6"/>
  <c r="AI214" i="6"/>
  <c r="AQ214" i="6"/>
  <c r="A215" i="6"/>
  <c r="C215" i="6" s="1"/>
  <c r="H215" i="6" s="1"/>
  <c r="I215" i="6" s="1"/>
  <c r="G215" i="6"/>
  <c r="J215" i="6"/>
  <c r="K215" i="6" s="1"/>
  <c r="M215" i="6"/>
  <c r="P215" i="6"/>
  <c r="S215" i="6"/>
  <c r="T215" i="6"/>
  <c r="U215" i="6" s="1"/>
  <c r="V215" i="6"/>
  <c r="Y215" i="6"/>
  <c r="AB215" i="6"/>
  <c r="AC215" i="6"/>
  <c r="AG215" i="6"/>
  <c r="AH215" i="6"/>
  <c r="AI215" i="6"/>
  <c r="AQ215" i="6"/>
  <c r="A216" i="6"/>
  <c r="C216" i="6" s="1"/>
  <c r="H216" i="6" s="1"/>
  <c r="I216" i="6"/>
  <c r="L216" i="6" s="1"/>
  <c r="G216" i="6"/>
  <c r="J216" i="6"/>
  <c r="K216" i="6"/>
  <c r="M216" i="6"/>
  <c r="P216" i="6"/>
  <c r="S216" i="6"/>
  <c r="T216" i="6" s="1"/>
  <c r="U216" i="6" s="1"/>
  <c r="V216" i="6"/>
  <c r="Y216" i="6"/>
  <c r="AB216" i="6"/>
  <c r="AC216" i="6" s="1"/>
  <c r="AG216" i="6"/>
  <c r="AH216" i="6"/>
  <c r="AI216" i="6"/>
  <c r="AQ216" i="6"/>
  <c r="A217" i="6"/>
  <c r="C217" i="6" s="1"/>
  <c r="G217" i="6"/>
  <c r="J217" i="6"/>
  <c r="K217" i="6" s="1"/>
  <c r="M217" i="6"/>
  <c r="P217" i="6"/>
  <c r="S217" i="6"/>
  <c r="T217" i="6"/>
  <c r="U217" i="6" s="1"/>
  <c r="V217" i="6"/>
  <c r="Y217" i="6"/>
  <c r="AB217" i="6"/>
  <c r="AC217" i="6"/>
  <c r="AD217" i="6"/>
  <c r="AG217" i="6"/>
  <c r="AH217" i="6"/>
  <c r="AI217" i="6"/>
  <c r="AQ217" i="6"/>
  <c r="A218" i="6"/>
  <c r="C218" i="6" s="1"/>
  <c r="G218" i="6"/>
  <c r="J218" i="6"/>
  <c r="K218" i="6" s="1"/>
  <c r="M218" i="6"/>
  <c r="P218" i="6"/>
  <c r="S218" i="6"/>
  <c r="T218" i="6"/>
  <c r="U218" i="6" s="1"/>
  <c r="V218" i="6"/>
  <c r="Y218" i="6"/>
  <c r="AB218" i="6"/>
  <c r="AC218" i="6"/>
  <c r="AD218" i="6" s="1"/>
  <c r="AG218" i="6"/>
  <c r="AH218" i="6"/>
  <c r="AI218" i="6"/>
  <c r="AQ218" i="6"/>
  <c r="A219" i="6"/>
  <c r="C219" i="6" s="1"/>
  <c r="G219" i="6"/>
  <c r="H219" i="6" s="1"/>
  <c r="I219" i="6" s="1"/>
  <c r="J219" i="6"/>
  <c r="K219" i="6" s="1"/>
  <c r="M219" i="6"/>
  <c r="P219" i="6"/>
  <c r="S219" i="6"/>
  <c r="T219" i="6"/>
  <c r="U219" i="6" s="1"/>
  <c r="V219" i="6"/>
  <c r="Y219" i="6"/>
  <c r="AB219" i="6"/>
  <c r="AC219" i="6"/>
  <c r="AD219" i="6" s="1"/>
  <c r="AG219" i="6"/>
  <c r="AH219" i="6"/>
  <c r="AI219" i="6"/>
  <c r="AQ219" i="6"/>
  <c r="A220" i="6"/>
  <c r="C220" i="6" s="1"/>
  <c r="H220" i="6"/>
  <c r="I220" i="6" s="1"/>
  <c r="L220" i="6" s="1"/>
  <c r="G220" i="6"/>
  <c r="J220" i="6"/>
  <c r="K220" i="6" s="1"/>
  <c r="M220" i="6"/>
  <c r="P220" i="6"/>
  <c r="S220" i="6"/>
  <c r="T220" i="6"/>
  <c r="U220" i="6" s="1"/>
  <c r="V220" i="6"/>
  <c r="Y220" i="6"/>
  <c r="AB220" i="6"/>
  <c r="AC220" i="6"/>
  <c r="AD220" i="6"/>
  <c r="AG220" i="6"/>
  <c r="AH220" i="6"/>
  <c r="AI220" i="6"/>
  <c r="AQ220" i="6"/>
  <c r="A221" i="6"/>
  <c r="C221" i="6" s="1"/>
  <c r="G221" i="6"/>
  <c r="H221" i="6" s="1"/>
  <c r="I221" i="6" s="1"/>
  <c r="J221" i="6"/>
  <c r="K221" i="6" s="1"/>
  <c r="M221" i="6"/>
  <c r="P221" i="6"/>
  <c r="S221" i="6"/>
  <c r="T221" i="6"/>
  <c r="U221" i="6"/>
  <c r="V221" i="6"/>
  <c r="Y221" i="6"/>
  <c r="AB221" i="6"/>
  <c r="AC221" i="6"/>
  <c r="AD221" i="6"/>
  <c r="AG221" i="6"/>
  <c r="AH221" i="6"/>
  <c r="AI221" i="6"/>
  <c r="AQ221" i="6"/>
  <c r="A222" i="6"/>
  <c r="C222" i="6" s="1"/>
  <c r="H222" i="6" s="1"/>
  <c r="I222" i="6" s="1"/>
  <c r="G222" i="6"/>
  <c r="J222" i="6"/>
  <c r="K222" i="6" s="1"/>
  <c r="M222" i="6"/>
  <c r="P222" i="6"/>
  <c r="S222" i="6"/>
  <c r="T222" i="6"/>
  <c r="U222" i="6" s="1"/>
  <c r="V222" i="6"/>
  <c r="Y222" i="6"/>
  <c r="AB222" i="6"/>
  <c r="AC222" i="6"/>
  <c r="AD222" i="6"/>
  <c r="AG222" i="6"/>
  <c r="AH222" i="6"/>
  <c r="AI222" i="6"/>
  <c r="AQ222" i="6"/>
  <c r="A223" i="6"/>
  <c r="C223" i="6" s="1"/>
  <c r="G223" i="6"/>
  <c r="H223" i="6"/>
  <c r="I223" i="6" s="1"/>
  <c r="J223" i="6"/>
  <c r="K223" i="6" s="1"/>
  <c r="M223" i="6"/>
  <c r="P223" i="6"/>
  <c r="S223" i="6"/>
  <c r="T223" i="6" s="1"/>
  <c r="U223" i="6" s="1"/>
  <c r="V223" i="6"/>
  <c r="Y223" i="6"/>
  <c r="AB223" i="6"/>
  <c r="AC223" i="6" s="1"/>
  <c r="AD223" i="6" s="1"/>
  <c r="AG223" i="6"/>
  <c r="AH223" i="6"/>
  <c r="AI223" i="6"/>
  <c r="AQ223" i="6"/>
  <c r="A224" i="6"/>
  <c r="C224" i="6" s="1"/>
  <c r="H224" i="6" s="1"/>
  <c r="I224" i="6"/>
  <c r="L224" i="6" s="1"/>
  <c r="G224" i="6"/>
  <c r="J224" i="6"/>
  <c r="K224" i="6" s="1"/>
  <c r="M224" i="6"/>
  <c r="P224" i="6"/>
  <c r="S224" i="6"/>
  <c r="T224" i="6"/>
  <c r="U224" i="6" s="1"/>
  <c r="V224" i="6"/>
  <c r="Y224" i="6"/>
  <c r="AB224" i="6"/>
  <c r="AC224" i="6"/>
  <c r="AD224" i="6"/>
  <c r="AG224" i="6"/>
  <c r="AH224" i="6"/>
  <c r="AI224" i="6"/>
  <c r="AQ224" i="6"/>
  <c r="A225" i="6"/>
  <c r="C225" i="6" s="1"/>
  <c r="H225" i="6" s="1"/>
  <c r="I225" i="6" s="1"/>
  <c r="G225" i="6"/>
  <c r="J225" i="6"/>
  <c r="K225" i="6" s="1"/>
  <c r="M225" i="6"/>
  <c r="P225" i="6"/>
  <c r="S225" i="6"/>
  <c r="T225" i="6"/>
  <c r="U225" i="6" s="1"/>
  <c r="V225" i="6"/>
  <c r="Y225" i="6"/>
  <c r="AB225" i="6"/>
  <c r="AC225" i="6" s="1"/>
  <c r="AD225" i="6" s="1"/>
  <c r="AG225" i="6"/>
  <c r="AH225" i="6"/>
  <c r="AI225" i="6"/>
  <c r="AQ225" i="6"/>
  <c r="A226" i="6"/>
  <c r="C226" i="6"/>
  <c r="H226" i="6" s="1"/>
  <c r="I226" i="6" s="1"/>
  <c r="G226" i="6"/>
  <c r="J226" i="6"/>
  <c r="K226" i="6" s="1"/>
  <c r="M226" i="6"/>
  <c r="P226" i="6"/>
  <c r="S226" i="6"/>
  <c r="T226" i="6"/>
  <c r="U226" i="6" s="1"/>
  <c r="V226" i="6"/>
  <c r="Y226" i="6"/>
  <c r="AB226" i="6"/>
  <c r="AC226" i="6" s="1"/>
  <c r="AD226" i="6" s="1"/>
  <c r="AG226" i="6"/>
  <c r="AH226" i="6"/>
  <c r="AI226" i="6"/>
  <c r="AQ226" i="6"/>
  <c r="A227" i="6"/>
  <c r="C227" i="6"/>
  <c r="H227" i="6" s="1"/>
  <c r="I227" i="6" s="1"/>
  <c r="G227" i="6"/>
  <c r="J227" i="6"/>
  <c r="K227" i="6" s="1"/>
  <c r="M227" i="6"/>
  <c r="P227" i="6"/>
  <c r="S227" i="6"/>
  <c r="T227" i="6" s="1"/>
  <c r="U227" i="6" s="1"/>
  <c r="V227" i="6"/>
  <c r="Y227" i="6"/>
  <c r="AB227" i="6"/>
  <c r="AC227" i="6"/>
  <c r="AD227" i="6" s="1"/>
  <c r="AG227" i="6"/>
  <c r="AH227" i="6"/>
  <c r="AI227" i="6"/>
  <c r="AQ227" i="6"/>
  <c r="A228" i="6"/>
  <c r="C228" i="6" s="1"/>
  <c r="H228" i="6" s="1"/>
  <c r="G228" i="6"/>
  <c r="J228" i="6"/>
  <c r="K228" i="6" s="1"/>
  <c r="M228" i="6"/>
  <c r="P228" i="6"/>
  <c r="S228" i="6"/>
  <c r="T228" i="6"/>
  <c r="U228" i="6" s="1"/>
  <c r="V228" i="6"/>
  <c r="Y228" i="6"/>
  <c r="AB228" i="6"/>
  <c r="AC228" i="6" s="1"/>
  <c r="AD228" i="6"/>
  <c r="AG228" i="6"/>
  <c r="AH228" i="6"/>
  <c r="AI228" i="6"/>
  <c r="AQ228" i="6"/>
  <c r="A229" i="6"/>
  <c r="C229" i="6"/>
  <c r="G229" i="6"/>
  <c r="J229" i="6"/>
  <c r="K229" i="6" s="1"/>
  <c r="M229" i="6"/>
  <c r="P229" i="6"/>
  <c r="S229" i="6"/>
  <c r="T229" i="6" s="1"/>
  <c r="U229" i="6" s="1"/>
  <c r="V229" i="6"/>
  <c r="Y229" i="6"/>
  <c r="AB229" i="6"/>
  <c r="AC229" i="6" s="1"/>
  <c r="AD229" i="6" s="1"/>
  <c r="AG229" i="6"/>
  <c r="AH229" i="6"/>
  <c r="AI229" i="6"/>
  <c r="AQ229" i="6"/>
  <c r="A230" i="6"/>
  <c r="C230" i="6" s="1"/>
  <c r="G230" i="6"/>
  <c r="J230" i="6"/>
  <c r="K230" i="6" s="1"/>
  <c r="Q230" i="6" s="1"/>
  <c r="R230" i="6" s="1"/>
  <c r="M230" i="6"/>
  <c r="P230" i="6"/>
  <c r="S230" i="6"/>
  <c r="T230" i="6"/>
  <c r="U230" i="6" s="1"/>
  <c r="V230" i="6"/>
  <c r="Y230" i="6"/>
  <c r="AB230" i="6"/>
  <c r="AC230" i="6" s="1"/>
  <c r="AD230" i="6" s="1"/>
  <c r="AG230" i="6"/>
  <c r="AH230" i="6"/>
  <c r="AI230" i="6"/>
  <c r="AQ230" i="6"/>
  <c r="A238" i="6"/>
  <c r="C238" i="6"/>
  <c r="G238" i="6"/>
  <c r="J238" i="6"/>
  <c r="K238" i="6" s="1"/>
  <c r="M238" i="6"/>
  <c r="P238" i="6"/>
  <c r="S238" i="6"/>
  <c r="T238" i="6"/>
  <c r="U238" i="6" s="1"/>
  <c r="V238" i="6"/>
  <c r="Y238" i="6"/>
  <c r="Z238" i="6"/>
  <c r="AB238" i="6"/>
  <c r="AC238" i="6" s="1"/>
  <c r="AG238" i="6"/>
  <c r="AH238" i="6"/>
  <c r="AI238" i="6"/>
  <c r="AQ238" i="6"/>
  <c r="A239" i="6"/>
  <c r="C239" i="6"/>
  <c r="G239" i="6"/>
  <c r="J239" i="6"/>
  <c r="K239" i="6"/>
  <c r="M239" i="6"/>
  <c r="P239" i="6"/>
  <c r="Q239" i="6"/>
  <c r="R239" i="6" s="1"/>
  <c r="S239" i="6"/>
  <c r="T239" i="6" s="1"/>
  <c r="U239" i="6" s="1"/>
  <c r="V239" i="6"/>
  <c r="Y239" i="6"/>
  <c r="Z239" i="6"/>
  <c r="AB239" i="6"/>
  <c r="AC239" i="6"/>
  <c r="AG239" i="6"/>
  <c r="AH239" i="6"/>
  <c r="AI239" i="6"/>
  <c r="AQ239" i="6"/>
  <c r="A240" i="6"/>
  <c r="C240" i="6" s="1"/>
  <c r="G240" i="6"/>
  <c r="J240" i="6"/>
  <c r="K240" i="6" s="1"/>
  <c r="M240" i="6"/>
  <c r="P240" i="6"/>
  <c r="Q240" i="6"/>
  <c r="R240" i="6" s="1"/>
  <c r="S240" i="6"/>
  <c r="T240" i="6"/>
  <c r="U240" i="6" s="1"/>
  <c r="V240" i="6"/>
  <c r="Y240" i="6"/>
  <c r="Z240" i="6"/>
  <c r="AB240" i="6"/>
  <c r="AC240" i="6" s="1"/>
  <c r="AG240" i="6"/>
  <c r="AH240" i="6"/>
  <c r="AI240" i="6"/>
  <c r="AQ240" i="6"/>
  <c r="A241" i="6"/>
  <c r="C241" i="6" s="1"/>
  <c r="H241" i="6" s="1"/>
  <c r="G241" i="6"/>
  <c r="J241" i="6"/>
  <c r="K241" i="6" s="1"/>
  <c r="Z241" i="6" s="1"/>
  <c r="M241" i="6"/>
  <c r="P241" i="6"/>
  <c r="Q241" i="6" s="1"/>
  <c r="R241" i="6" s="1"/>
  <c r="S241" i="6"/>
  <c r="T241" i="6" s="1"/>
  <c r="U241" i="6"/>
  <c r="V241" i="6"/>
  <c r="Y241" i="6"/>
  <c r="AB241" i="6"/>
  <c r="AC241" i="6" s="1"/>
  <c r="AG241" i="6"/>
  <c r="AH241" i="6"/>
  <c r="AI241" i="6"/>
  <c r="AQ241" i="6"/>
  <c r="A242" i="6"/>
  <c r="C242" i="6"/>
  <c r="G242" i="6"/>
  <c r="J242" i="6"/>
  <c r="K242" i="6"/>
  <c r="M242" i="6"/>
  <c r="P242" i="6"/>
  <c r="Q242" i="6"/>
  <c r="R242" i="6" s="1"/>
  <c r="S242" i="6"/>
  <c r="T242" i="6" s="1"/>
  <c r="U242" i="6" s="1"/>
  <c r="V242" i="6"/>
  <c r="Y242" i="6"/>
  <c r="Z242" i="6" s="1"/>
  <c r="AB242" i="6"/>
  <c r="AC242" i="6"/>
  <c r="AG242" i="6"/>
  <c r="AH242" i="6"/>
  <c r="AI242" i="6"/>
  <c r="AQ242" i="6"/>
  <c r="A243" i="6"/>
  <c r="C243" i="6"/>
  <c r="G243" i="6"/>
  <c r="J243" i="6"/>
  <c r="K243" i="6" s="1"/>
  <c r="M243" i="6"/>
  <c r="P243" i="6"/>
  <c r="S243" i="6"/>
  <c r="T243" i="6" s="1"/>
  <c r="U243" i="6" s="1"/>
  <c r="V243" i="6"/>
  <c r="Y243" i="6"/>
  <c r="Z243" i="6" s="1"/>
  <c r="AB243" i="6"/>
  <c r="AC243" i="6" s="1"/>
  <c r="AG243" i="6"/>
  <c r="AH243" i="6"/>
  <c r="AI243" i="6"/>
  <c r="AQ243" i="6"/>
  <c r="A244" i="6"/>
  <c r="C244" i="6"/>
  <c r="G244" i="6"/>
  <c r="J244" i="6"/>
  <c r="K244" i="6"/>
  <c r="Z244" i="6" s="1"/>
  <c r="M244" i="6"/>
  <c r="P244" i="6"/>
  <c r="S244" i="6"/>
  <c r="T244" i="6" s="1"/>
  <c r="U244" i="6" s="1"/>
  <c r="V244" i="6"/>
  <c r="Y244" i="6"/>
  <c r="AB244" i="6"/>
  <c r="AC244" i="6"/>
  <c r="AG244" i="6"/>
  <c r="AH244" i="6"/>
  <c r="AI244" i="6"/>
  <c r="AQ244" i="6"/>
  <c r="A245" i="6"/>
  <c r="C245" i="6" s="1"/>
  <c r="G245" i="6"/>
  <c r="J245" i="6"/>
  <c r="K245" i="6" s="1"/>
  <c r="Q245" i="6" s="1"/>
  <c r="R245" i="6" s="1"/>
  <c r="M245" i="6"/>
  <c r="P245" i="6"/>
  <c r="S245" i="6"/>
  <c r="T245" i="6"/>
  <c r="U245" i="6" s="1"/>
  <c r="V245" i="6"/>
  <c r="Y245" i="6"/>
  <c r="AB245" i="6"/>
  <c r="AC245" i="6" s="1"/>
  <c r="AG245" i="6"/>
  <c r="AH245" i="6"/>
  <c r="AI245" i="6"/>
  <c r="AQ245" i="6"/>
  <c r="A246" i="6"/>
  <c r="C246" i="6" s="1"/>
  <c r="G246" i="6"/>
  <c r="J246" i="6"/>
  <c r="K246" i="6" s="1"/>
  <c r="M246" i="6"/>
  <c r="P246" i="6"/>
  <c r="Q246" i="6" s="1"/>
  <c r="R246" i="6" s="1"/>
  <c r="S246" i="6"/>
  <c r="T246" i="6" s="1"/>
  <c r="U246" i="6"/>
  <c r="V246" i="6"/>
  <c r="Y246" i="6"/>
  <c r="AB246" i="6"/>
  <c r="AC246" i="6" s="1"/>
  <c r="AG246" i="6"/>
  <c r="AH246" i="6"/>
  <c r="AI246" i="6"/>
  <c r="AQ246" i="6"/>
  <c r="A247" i="6"/>
  <c r="C247" i="6"/>
  <c r="G247" i="6"/>
  <c r="J247" i="6"/>
  <c r="K247" i="6"/>
  <c r="M247" i="6"/>
  <c r="P247" i="6"/>
  <c r="Q247" i="6" s="1"/>
  <c r="R247" i="6" s="1"/>
  <c r="S247" i="6"/>
  <c r="T247" i="6" s="1"/>
  <c r="U247" i="6" s="1"/>
  <c r="V247" i="6"/>
  <c r="Y247" i="6"/>
  <c r="AB247" i="6"/>
  <c r="AC247" i="6"/>
  <c r="AG247" i="6"/>
  <c r="AH247" i="6"/>
  <c r="AI247" i="6"/>
  <c r="AQ247" i="6"/>
  <c r="A248" i="6"/>
  <c r="C248" i="6" s="1"/>
  <c r="G248" i="6"/>
  <c r="J248" i="6"/>
  <c r="K248" i="6" s="1"/>
  <c r="M248" i="6"/>
  <c r="P248" i="6"/>
  <c r="S248" i="6"/>
  <c r="T248" i="6"/>
  <c r="U248" i="6" s="1"/>
  <c r="V248" i="6"/>
  <c r="Y248" i="6"/>
  <c r="Z248" i="6" s="1"/>
  <c r="AA248" i="6"/>
  <c r="AB248" i="6"/>
  <c r="AC248" i="6" s="1"/>
  <c r="AG248" i="6"/>
  <c r="AH248" i="6"/>
  <c r="AI248" i="6"/>
  <c r="AQ248" i="6"/>
  <c r="A249" i="6"/>
  <c r="C249" i="6" s="1"/>
  <c r="H249" i="6" s="1"/>
  <c r="G249" i="6"/>
  <c r="J249" i="6"/>
  <c r="K249" i="6" s="1"/>
  <c r="Z249" i="6" s="1"/>
  <c r="AA249" i="6" s="1"/>
  <c r="M249" i="6"/>
  <c r="P249" i="6"/>
  <c r="Q249" i="6"/>
  <c r="R249" i="6" s="1"/>
  <c r="S249" i="6"/>
  <c r="T249" i="6" s="1"/>
  <c r="U249" i="6"/>
  <c r="V249" i="6"/>
  <c r="Y249" i="6"/>
  <c r="AB249" i="6"/>
  <c r="AC249" i="6" s="1"/>
  <c r="AD249" i="6" s="1"/>
  <c r="AG249" i="6"/>
  <c r="AH249" i="6"/>
  <c r="AI249" i="6"/>
  <c r="AQ249" i="6"/>
  <c r="A250" i="6"/>
  <c r="C250" i="6" s="1"/>
  <c r="G250" i="6"/>
  <c r="J250" i="6"/>
  <c r="K250" i="6"/>
  <c r="Q250" i="6" s="1"/>
  <c r="R250" i="6" s="1"/>
  <c r="M250" i="6"/>
  <c r="P250" i="6"/>
  <c r="S250" i="6"/>
  <c r="T250" i="6"/>
  <c r="U250" i="6" s="1"/>
  <c r="V250" i="6"/>
  <c r="Y250" i="6"/>
  <c r="Z250" i="6" s="1"/>
  <c r="AB250" i="6"/>
  <c r="AC250" i="6"/>
  <c r="AG250" i="6"/>
  <c r="AH250" i="6"/>
  <c r="AI250" i="6"/>
  <c r="AQ250" i="6"/>
  <c r="A251" i="6"/>
  <c r="C251" i="6" s="1"/>
  <c r="G251" i="6"/>
  <c r="J251" i="6"/>
  <c r="K251" i="6" s="1"/>
  <c r="M251" i="6"/>
  <c r="P251" i="6"/>
  <c r="Q251" i="6" s="1"/>
  <c r="R251" i="6"/>
  <c r="S251" i="6"/>
  <c r="T251" i="6"/>
  <c r="U251" i="6" s="1"/>
  <c r="V251" i="6"/>
  <c r="Y251" i="6"/>
  <c r="Z251" i="6" s="1"/>
  <c r="AB251" i="6"/>
  <c r="AC251" i="6"/>
  <c r="AD251" i="6" s="1"/>
  <c r="AG251" i="6"/>
  <c r="AH251" i="6"/>
  <c r="AI251" i="6"/>
  <c r="AQ251" i="6"/>
  <c r="A252" i="6"/>
  <c r="C252" i="6"/>
  <c r="G252" i="6"/>
  <c r="J252" i="6"/>
  <c r="K252" i="6"/>
  <c r="Z252" i="6" s="1"/>
  <c r="M252" i="6"/>
  <c r="P252" i="6"/>
  <c r="S252" i="6"/>
  <c r="T252" i="6" s="1"/>
  <c r="U252" i="6" s="1"/>
  <c r="V252" i="6"/>
  <c r="Y252" i="6"/>
  <c r="AB252" i="6"/>
  <c r="AC252" i="6"/>
  <c r="AG252" i="6"/>
  <c r="AH252" i="6"/>
  <c r="AI252" i="6"/>
  <c r="AQ252" i="6"/>
  <c r="A253" i="6"/>
  <c r="C253" i="6" s="1"/>
  <c r="G253" i="6"/>
  <c r="J253" i="6"/>
  <c r="K253" i="6"/>
  <c r="M253" i="6"/>
  <c r="P253" i="6"/>
  <c r="Q253" i="6"/>
  <c r="R253" i="6" s="1"/>
  <c r="S253" i="6"/>
  <c r="T253" i="6"/>
  <c r="U253" i="6"/>
  <c r="V253" i="6"/>
  <c r="Y253" i="6"/>
  <c r="Z253" i="6" s="1"/>
  <c r="AA253" i="6" s="1"/>
  <c r="AB253" i="6"/>
  <c r="AC253" i="6" s="1"/>
  <c r="AD253" i="6"/>
  <c r="AG253" i="6"/>
  <c r="AH253" i="6"/>
  <c r="AI253" i="6"/>
  <c r="AQ253" i="6"/>
  <c r="A254" i="6"/>
  <c r="C254" i="6" s="1"/>
  <c r="G254" i="6"/>
  <c r="J254" i="6"/>
  <c r="K254" i="6"/>
  <c r="Z254" i="6" s="1"/>
  <c r="AA254" i="6" s="1"/>
  <c r="M254" i="6"/>
  <c r="P254" i="6"/>
  <c r="S254" i="6"/>
  <c r="T254" i="6" s="1"/>
  <c r="U254" i="6"/>
  <c r="V254" i="6"/>
  <c r="Y254" i="6"/>
  <c r="AB254" i="6"/>
  <c r="AC254" i="6" s="1"/>
  <c r="AD254" i="6" s="1"/>
  <c r="AG254" i="6"/>
  <c r="AH254" i="6"/>
  <c r="AI254" i="6"/>
  <c r="AQ254" i="6"/>
  <c r="A255" i="6"/>
  <c r="C255" i="6"/>
  <c r="G255" i="6"/>
  <c r="J255" i="6"/>
  <c r="K255" i="6"/>
  <c r="Q255" i="6" s="1"/>
  <c r="R255" i="6" s="1"/>
  <c r="M255" i="6"/>
  <c r="P255" i="6"/>
  <c r="S255" i="6"/>
  <c r="T255" i="6" s="1"/>
  <c r="U255" i="6" s="1"/>
  <c r="V255" i="6"/>
  <c r="Y255" i="6"/>
  <c r="Z255" i="6" s="1"/>
  <c r="AA255" i="6"/>
  <c r="AB255" i="6"/>
  <c r="AC255" i="6"/>
  <c r="AD255" i="6" s="1"/>
  <c r="AG255" i="6"/>
  <c r="AH255" i="6"/>
  <c r="AI255" i="6"/>
  <c r="AQ255" i="6"/>
  <c r="A256" i="6"/>
  <c r="C256" i="6" s="1"/>
  <c r="G256" i="6"/>
  <c r="J256" i="6"/>
  <c r="K256" i="6" s="1"/>
  <c r="M256" i="6"/>
  <c r="P256" i="6"/>
  <c r="Q256" i="6" s="1"/>
  <c r="R256" i="6" s="1"/>
  <c r="S256" i="6"/>
  <c r="T256" i="6"/>
  <c r="U256" i="6" s="1"/>
  <c r="V256" i="6"/>
  <c r="Y256" i="6"/>
  <c r="Z256" i="6" s="1"/>
  <c r="AA256" i="6"/>
  <c r="AB256" i="6"/>
  <c r="AC256" i="6" s="1"/>
  <c r="AD256" i="6" s="1"/>
  <c r="AG256" i="6"/>
  <c r="AH256" i="6"/>
  <c r="AI256" i="6"/>
  <c r="AQ256" i="6"/>
  <c r="A257" i="6"/>
  <c r="C257" i="6"/>
  <c r="H257" i="6" s="1"/>
  <c r="G257" i="6"/>
  <c r="J257" i="6"/>
  <c r="K257" i="6" s="1"/>
  <c r="M257" i="6"/>
  <c r="P257" i="6"/>
  <c r="Q257" i="6" s="1"/>
  <c r="R257" i="6" s="1"/>
  <c r="S257" i="6"/>
  <c r="T257" i="6" s="1"/>
  <c r="U257" i="6"/>
  <c r="V257" i="6"/>
  <c r="Y257" i="6"/>
  <c r="Z257" i="6"/>
  <c r="AA257" i="6"/>
  <c r="AB257" i="6"/>
  <c r="AC257" i="6"/>
  <c r="AD257" i="6" s="1"/>
  <c r="AG257" i="6"/>
  <c r="AH257" i="6"/>
  <c r="AI257" i="6"/>
  <c r="AQ257" i="6"/>
  <c r="A258" i="6"/>
  <c r="C258" i="6"/>
  <c r="G258" i="6"/>
  <c r="J258" i="6"/>
  <c r="K258" i="6"/>
  <c r="Q258" i="6" s="1"/>
  <c r="R258" i="6" s="1"/>
  <c r="M258" i="6"/>
  <c r="P258" i="6"/>
  <c r="S258" i="6"/>
  <c r="T258" i="6"/>
  <c r="U258" i="6" s="1"/>
  <c r="V258" i="6"/>
  <c r="Y258" i="6"/>
  <c r="Z258" i="6" s="1"/>
  <c r="AA258" i="6"/>
  <c r="AB258" i="6"/>
  <c r="AC258" i="6" s="1"/>
  <c r="AD258" i="6"/>
  <c r="AG258" i="6"/>
  <c r="AH258" i="6"/>
  <c r="AI258" i="6"/>
  <c r="AQ258" i="6"/>
  <c r="A259" i="6"/>
  <c r="C259" i="6" s="1"/>
  <c r="G259" i="6"/>
  <c r="J259" i="6"/>
  <c r="K259" i="6" s="1"/>
  <c r="M259" i="6"/>
  <c r="P259" i="6"/>
  <c r="S259" i="6"/>
  <c r="T259" i="6"/>
  <c r="U259" i="6" s="1"/>
  <c r="V259" i="6"/>
  <c r="Y259" i="6"/>
  <c r="AB259" i="6"/>
  <c r="AC259" i="6"/>
  <c r="AD259" i="6" s="1"/>
  <c r="AG259" i="6"/>
  <c r="AH259" i="6"/>
  <c r="AI259" i="6"/>
  <c r="AQ259" i="6"/>
  <c r="A260" i="6"/>
  <c r="C260" i="6"/>
  <c r="G260" i="6"/>
  <c r="J260" i="6"/>
  <c r="K260" i="6" s="1"/>
  <c r="Z260" i="6" s="1"/>
  <c r="AA260" i="6" s="1"/>
  <c r="M260" i="6"/>
  <c r="P260" i="6"/>
  <c r="S260" i="6"/>
  <c r="T260" i="6"/>
  <c r="U260" i="6"/>
  <c r="V260" i="6"/>
  <c r="Y260" i="6"/>
  <c r="AB260" i="6"/>
  <c r="AC260" i="6"/>
  <c r="AD260" i="6" s="1"/>
  <c r="AG260" i="6"/>
  <c r="AH260" i="6"/>
  <c r="AI260" i="6"/>
  <c r="AQ260" i="6"/>
  <c r="A261" i="6"/>
  <c r="C261" i="6" s="1"/>
  <c r="G261" i="6"/>
  <c r="J261" i="6"/>
  <c r="K261" i="6" s="1"/>
  <c r="Q261" i="6" s="1"/>
  <c r="R261" i="6" s="1"/>
  <c r="M261" i="6"/>
  <c r="P261" i="6"/>
  <c r="S261" i="6"/>
  <c r="T261" i="6"/>
  <c r="U261" i="6"/>
  <c r="V261" i="6"/>
  <c r="Y261" i="6"/>
  <c r="AB261" i="6"/>
  <c r="AC261" i="6" s="1"/>
  <c r="AD261" i="6" s="1"/>
  <c r="AG261" i="6"/>
  <c r="AH261" i="6"/>
  <c r="AI261" i="6"/>
  <c r="AQ261" i="6"/>
  <c r="A262" i="6"/>
  <c r="C262" i="6" s="1"/>
  <c r="G262" i="6"/>
  <c r="J262" i="6"/>
  <c r="K262" i="6" s="1"/>
  <c r="Z262" i="6" s="1"/>
  <c r="AA262" i="6" s="1"/>
  <c r="M262" i="6"/>
  <c r="P262" i="6"/>
  <c r="S262" i="6"/>
  <c r="T262" i="6" s="1"/>
  <c r="U262" i="6" s="1"/>
  <c r="V262" i="6"/>
  <c r="Y262" i="6"/>
  <c r="AB262" i="6"/>
  <c r="AC262" i="6" s="1"/>
  <c r="AD262" i="6" s="1"/>
  <c r="AG262" i="6"/>
  <c r="AH262" i="6"/>
  <c r="AI262" i="6"/>
  <c r="AQ262" i="6"/>
  <c r="A263" i="6"/>
  <c r="C263" i="6"/>
  <c r="G263" i="6"/>
  <c r="J263" i="6"/>
  <c r="K263" i="6"/>
  <c r="M263" i="6"/>
  <c r="P263" i="6"/>
  <c r="Q263" i="6" s="1"/>
  <c r="R263" i="6" s="1"/>
  <c r="S263" i="6"/>
  <c r="T263" i="6" s="1"/>
  <c r="U263" i="6" s="1"/>
  <c r="V263" i="6"/>
  <c r="Y263" i="6"/>
  <c r="Z263" i="6"/>
  <c r="AA263" i="6" s="1"/>
  <c r="AB263" i="6"/>
  <c r="AC263" i="6"/>
  <c r="AD263" i="6" s="1"/>
  <c r="AG263" i="6"/>
  <c r="AH263" i="6"/>
  <c r="AI263" i="6"/>
  <c r="AQ263" i="6"/>
  <c r="A264" i="6"/>
  <c r="C264" i="6" s="1"/>
  <c r="G264" i="6"/>
  <c r="J264" i="6"/>
  <c r="K264" i="6" s="1"/>
  <c r="M264" i="6"/>
  <c r="P264" i="6"/>
  <c r="Q264" i="6"/>
  <c r="R264" i="6"/>
  <c r="S264" i="6"/>
  <c r="T264" i="6"/>
  <c r="U264" i="6" s="1"/>
  <c r="V264" i="6"/>
  <c r="Y264" i="6"/>
  <c r="Z264" i="6" s="1"/>
  <c r="AA264" i="6" s="1"/>
  <c r="AB264" i="6"/>
  <c r="AC264" i="6" s="1"/>
  <c r="AD264" i="6"/>
  <c r="AG264" i="6"/>
  <c r="AH264" i="6"/>
  <c r="AI264" i="6"/>
  <c r="AQ264" i="6"/>
  <c r="A265" i="6"/>
  <c r="C265" i="6" s="1"/>
  <c r="G265" i="6"/>
  <c r="J265" i="6"/>
  <c r="K265" i="6" s="1"/>
  <c r="Z265" i="6" s="1"/>
  <c r="M265" i="6"/>
  <c r="P265" i="6"/>
  <c r="Q265" i="6" s="1"/>
  <c r="R265" i="6"/>
  <c r="S265" i="6"/>
  <c r="T265" i="6" s="1"/>
  <c r="U265" i="6" s="1"/>
  <c r="V265" i="6"/>
  <c r="Y265" i="6"/>
  <c r="AA265" i="6"/>
  <c r="AB265" i="6"/>
  <c r="AC265" i="6"/>
  <c r="AD265" i="6" s="1"/>
  <c r="AG265" i="6"/>
  <c r="AH265" i="6"/>
  <c r="AI265" i="6"/>
  <c r="AQ265" i="6"/>
  <c r="A266" i="6"/>
  <c r="C266" i="6"/>
  <c r="G266" i="6"/>
  <c r="J266" i="6"/>
  <c r="K266" i="6"/>
  <c r="M266" i="6"/>
  <c r="P266" i="6"/>
  <c r="Q266" i="6"/>
  <c r="R266" i="6" s="1"/>
  <c r="S266" i="6"/>
  <c r="T266" i="6" s="1"/>
  <c r="U266" i="6" s="1"/>
  <c r="V266" i="6"/>
  <c r="Y266" i="6"/>
  <c r="Z266" i="6" s="1"/>
  <c r="AA266" i="6" s="1"/>
  <c r="AB266" i="6"/>
  <c r="AC266" i="6" s="1"/>
  <c r="AD266" i="6" s="1"/>
  <c r="AG266" i="6"/>
  <c r="AH266" i="6"/>
  <c r="AI266" i="6"/>
  <c r="AQ266" i="6"/>
  <c r="C13" i="8"/>
  <c r="G13" i="8"/>
  <c r="J13" i="8"/>
  <c r="K13" i="8" s="1"/>
  <c r="M13" i="8"/>
  <c r="P13" i="8"/>
  <c r="S13" i="8"/>
  <c r="T13" i="8"/>
  <c r="U13" i="8" s="1"/>
  <c r="V13" i="8"/>
  <c r="Y13" i="8"/>
  <c r="Z13" i="8" s="1"/>
  <c r="AB13" i="8"/>
  <c r="AC13" i="8" s="1"/>
  <c r="AG13" i="8"/>
  <c r="AH13" i="8"/>
  <c r="AI13" i="8"/>
  <c r="AQ13" i="8"/>
  <c r="C14" i="8"/>
  <c r="G14" i="8"/>
  <c r="H14" i="8" s="1"/>
  <c r="L14" i="8" s="1"/>
  <c r="J14" i="8"/>
  <c r="K14" i="8" s="1"/>
  <c r="M14" i="8"/>
  <c r="P14" i="8"/>
  <c r="Q14" i="8" s="1"/>
  <c r="R14" i="8" s="1"/>
  <c r="S14" i="8"/>
  <c r="T14" i="8"/>
  <c r="U14" i="8" s="1"/>
  <c r="V14" i="8"/>
  <c r="Y14" i="8"/>
  <c r="Z14" i="8"/>
  <c r="AB14" i="8"/>
  <c r="AC14" i="8" s="1"/>
  <c r="AG14" i="8"/>
  <c r="AH14" i="8"/>
  <c r="AI14" i="8"/>
  <c r="AQ14" i="8"/>
  <c r="A23" i="8"/>
  <c r="C23" i="8" s="1"/>
  <c r="H23" i="8" s="1"/>
  <c r="L23" i="8" s="1"/>
  <c r="G23" i="8"/>
  <c r="J23" i="8"/>
  <c r="K23" i="8" s="1"/>
  <c r="M23" i="8"/>
  <c r="P23" i="8"/>
  <c r="Q23" i="8" s="1"/>
  <c r="R23" i="8" s="1"/>
  <c r="S23" i="8"/>
  <c r="T23" i="8" s="1"/>
  <c r="U23" i="8" s="1"/>
  <c r="V23" i="8"/>
  <c r="Y23" i="8"/>
  <c r="Z23" i="8" s="1"/>
  <c r="AB23" i="8"/>
  <c r="AC23" i="8"/>
  <c r="AG23" i="8"/>
  <c r="AH23" i="8"/>
  <c r="AI23" i="8"/>
  <c r="AQ23" i="8"/>
  <c r="A24" i="8"/>
  <c r="C24" i="8"/>
  <c r="G24" i="8"/>
  <c r="H24" i="8"/>
  <c r="L24" i="8" s="1"/>
  <c r="J24" i="8"/>
  <c r="K24" i="8"/>
  <c r="M24" i="8"/>
  <c r="P24" i="8"/>
  <c r="Q24" i="8" s="1"/>
  <c r="R24" i="8"/>
  <c r="S24" i="8"/>
  <c r="T24" i="8" s="1"/>
  <c r="U24" i="8"/>
  <c r="V24" i="8"/>
  <c r="Y24" i="8"/>
  <c r="Z24" i="8"/>
  <c r="AB24" i="8"/>
  <c r="AC24" i="8"/>
  <c r="AG24" i="8"/>
  <c r="AH24" i="8"/>
  <c r="AI24" i="8"/>
  <c r="AQ24" i="8"/>
  <c r="A25" i="8"/>
  <c r="C25" i="8" s="1"/>
  <c r="G25" i="8"/>
  <c r="J25" i="8"/>
  <c r="K25" i="8" s="1"/>
  <c r="M25" i="8"/>
  <c r="P25" i="8"/>
  <c r="Q25" i="8" s="1"/>
  <c r="R25" i="8" s="1"/>
  <c r="S25" i="8"/>
  <c r="T25" i="8" s="1"/>
  <c r="U25" i="8" s="1"/>
  <c r="V25" i="8"/>
  <c r="Y25" i="8"/>
  <c r="Z25" i="8"/>
  <c r="AA25" i="8" s="1"/>
  <c r="AB25" i="8"/>
  <c r="AC25" i="8" s="1"/>
  <c r="AG25" i="8"/>
  <c r="AH25" i="8"/>
  <c r="AI25" i="8"/>
  <c r="AQ25" i="8"/>
  <c r="A26" i="8"/>
  <c r="C26" i="8"/>
  <c r="G26" i="8"/>
  <c r="J26" i="8"/>
  <c r="K26" i="8" s="1"/>
  <c r="M26" i="8"/>
  <c r="P26" i="8"/>
  <c r="Q26" i="8" s="1"/>
  <c r="R26" i="8" s="1"/>
  <c r="S26" i="8"/>
  <c r="T26" i="8"/>
  <c r="U26" i="8" s="1"/>
  <c r="V26" i="8"/>
  <c r="Y26" i="8"/>
  <c r="Z26" i="8"/>
  <c r="AB26" i="8"/>
  <c r="AC26" i="8" s="1"/>
  <c r="AG26" i="8"/>
  <c r="AH26" i="8"/>
  <c r="AI26" i="8"/>
  <c r="AQ26" i="8"/>
  <c r="A27" i="8"/>
  <c r="C27" i="8" s="1"/>
  <c r="G27" i="8"/>
  <c r="J27" i="8"/>
  <c r="K27" i="8"/>
  <c r="M27" i="8"/>
  <c r="P27" i="8"/>
  <c r="Q27" i="8"/>
  <c r="R27" i="8" s="1"/>
  <c r="S27" i="8"/>
  <c r="T27" i="8" s="1"/>
  <c r="U27" i="8" s="1"/>
  <c r="V27" i="8"/>
  <c r="Y27" i="8"/>
  <c r="Z27" i="8" s="1"/>
  <c r="AB27" i="8"/>
  <c r="AC27" i="8"/>
  <c r="AG27" i="8"/>
  <c r="AH27" i="8"/>
  <c r="AI27" i="8"/>
  <c r="AQ27" i="8"/>
  <c r="A28" i="8"/>
  <c r="C28" i="8" s="1"/>
  <c r="G28" i="8"/>
  <c r="H28" i="8" s="1"/>
  <c r="J28" i="8"/>
  <c r="K28" i="8"/>
  <c r="L28" i="8"/>
  <c r="E28" i="8" s="1"/>
  <c r="M28" i="8"/>
  <c r="P28" i="8"/>
  <c r="S28" i="8"/>
  <c r="T28" i="8" s="1"/>
  <c r="U28" i="8"/>
  <c r="V28" i="8"/>
  <c r="Y28" i="8"/>
  <c r="Z28" i="8"/>
  <c r="AB28" i="8"/>
  <c r="AC28" i="8" s="1"/>
  <c r="AG28" i="8"/>
  <c r="AH28" i="8"/>
  <c r="AI28" i="8"/>
  <c r="AQ28" i="8"/>
  <c r="A29" i="8"/>
  <c r="C29" i="8"/>
  <c r="G29" i="8"/>
  <c r="H29" i="8" s="1"/>
  <c r="J29" i="8"/>
  <c r="K29" i="8" s="1"/>
  <c r="Q29" i="8" s="1"/>
  <c r="R29" i="8" s="1"/>
  <c r="M29" i="8"/>
  <c r="P29" i="8"/>
  <c r="S29" i="8"/>
  <c r="T29" i="8"/>
  <c r="U29" i="8" s="1"/>
  <c r="V29" i="8"/>
  <c r="Y29" i="8"/>
  <c r="AB29" i="8"/>
  <c r="AC29" i="8" s="1"/>
  <c r="AG29" i="8"/>
  <c r="AH29" i="8"/>
  <c r="AI29" i="8"/>
  <c r="AQ29" i="8"/>
  <c r="A30" i="8"/>
  <c r="C30" i="8" s="1"/>
  <c r="H30" i="8" s="1"/>
  <c r="L30" i="8" s="1"/>
  <c r="G30" i="8"/>
  <c r="J30" i="8"/>
  <c r="K30" i="8"/>
  <c r="Z30" i="8" s="1"/>
  <c r="M30" i="8"/>
  <c r="P30" i="8"/>
  <c r="Q30" i="8"/>
  <c r="R30" i="8" s="1"/>
  <c r="S30" i="8"/>
  <c r="T30" i="8" s="1"/>
  <c r="U30" i="8" s="1"/>
  <c r="V30" i="8"/>
  <c r="Y30" i="8"/>
  <c r="AB30" i="8"/>
  <c r="AC30" i="8"/>
  <c r="AG30" i="8"/>
  <c r="AH30" i="8"/>
  <c r="AI30" i="8"/>
  <c r="AQ30" i="8"/>
  <c r="A31" i="8"/>
  <c r="C31" i="8" s="1"/>
  <c r="G31" i="8"/>
  <c r="H31" i="8" s="1"/>
  <c r="L31" i="8" s="1"/>
  <c r="E31" i="8" s="1"/>
  <c r="J31" i="8"/>
  <c r="K31" i="8" s="1"/>
  <c r="M31" i="8"/>
  <c r="P31" i="8"/>
  <c r="S31" i="8"/>
  <c r="T31" i="8" s="1"/>
  <c r="U31" i="8"/>
  <c r="V31" i="8"/>
  <c r="Y31" i="8"/>
  <c r="Z31" i="8"/>
  <c r="AB31" i="8"/>
  <c r="AC31" i="8" s="1"/>
  <c r="AG31" i="8"/>
  <c r="AH31" i="8"/>
  <c r="AI31" i="8"/>
  <c r="AQ31" i="8"/>
  <c r="A32" i="8"/>
  <c r="C32" i="8"/>
  <c r="G32" i="8"/>
  <c r="H32" i="8"/>
  <c r="L32" i="8" s="1"/>
  <c r="J32" i="8"/>
  <c r="K32" i="8" s="1"/>
  <c r="M32" i="8"/>
  <c r="P32" i="8"/>
  <c r="Q32" i="8"/>
  <c r="R32" i="8" s="1"/>
  <c r="S32" i="8"/>
  <c r="T32" i="8"/>
  <c r="U32" i="8" s="1"/>
  <c r="V32" i="8"/>
  <c r="Y32" i="8"/>
  <c r="Z32" i="8" s="1"/>
  <c r="AB32" i="8"/>
  <c r="AC32" i="8"/>
  <c r="AG32" i="8"/>
  <c r="AH32" i="8"/>
  <c r="AI32" i="8"/>
  <c r="AQ32" i="8"/>
  <c r="A33" i="8"/>
  <c r="C33" i="8" s="1"/>
  <c r="H33" i="8" s="1"/>
  <c r="L33" i="8" s="1"/>
  <c r="E33" i="8" s="1"/>
  <c r="G33" i="8"/>
  <c r="J33" i="8"/>
  <c r="K33" i="8"/>
  <c r="Z33" i="8" s="1"/>
  <c r="M33" i="8"/>
  <c r="P33" i="8"/>
  <c r="S33" i="8"/>
  <c r="T33" i="8" s="1"/>
  <c r="U33" i="8" s="1"/>
  <c r="V33" i="8"/>
  <c r="Y33" i="8"/>
  <c r="AB33" i="8"/>
  <c r="AC33" i="8"/>
  <c r="AG33" i="8"/>
  <c r="AH33" i="8"/>
  <c r="AI33" i="8"/>
  <c r="AQ33" i="8"/>
  <c r="A34" i="8"/>
  <c r="C34" i="8"/>
  <c r="G34" i="8"/>
  <c r="J34" i="8"/>
  <c r="K34" i="8" s="1"/>
  <c r="M34" i="8"/>
  <c r="P34" i="8"/>
  <c r="Q34" i="8" s="1"/>
  <c r="R34" i="8" s="1"/>
  <c r="S34" i="8"/>
  <c r="T34" i="8"/>
  <c r="U34" i="8"/>
  <c r="V34" i="8"/>
  <c r="Y34" i="8"/>
  <c r="Z34" i="8"/>
  <c r="AB34" i="8"/>
  <c r="AC34" i="8" s="1"/>
  <c r="AG34" i="8"/>
  <c r="AH34" i="8"/>
  <c r="AI34" i="8"/>
  <c r="AQ34" i="8"/>
  <c r="A35" i="8"/>
  <c r="C35" i="8" s="1"/>
  <c r="L35" i="8"/>
  <c r="G35" i="8"/>
  <c r="H35" i="8" s="1"/>
  <c r="J35" i="8"/>
  <c r="K35" i="8"/>
  <c r="Q35" i="8" s="1"/>
  <c r="R35" i="8" s="1"/>
  <c r="M35" i="8"/>
  <c r="P35" i="8"/>
  <c r="S35" i="8"/>
  <c r="T35" i="8"/>
  <c r="U35" i="8" s="1"/>
  <c r="V35" i="8"/>
  <c r="Y35" i="8"/>
  <c r="Z35" i="8"/>
  <c r="AA35" i="8" s="1"/>
  <c r="AB35" i="8"/>
  <c r="AC35" i="8"/>
  <c r="AG35" i="8"/>
  <c r="AH35" i="8"/>
  <c r="AI35" i="8"/>
  <c r="AQ35" i="8"/>
  <c r="A36" i="8"/>
  <c r="C36" i="8" s="1"/>
  <c r="G36" i="8"/>
  <c r="H36" i="8"/>
  <c r="J36" i="8"/>
  <c r="K36" i="8"/>
  <c r="L36" i="8"/>
  <c r="M36" i="8"/>
  <c r="P36" i="8"/>
  <c r="Q36" i="8" s="1"/>
  <c r="R36" i="8" s="1"/>
  <c r="S36" i="8"/>
  <c r="T36" i="8" s="1"/>
  <c r="U36" i="8"/>
  <c r="V36" i="8"/>
  <c r="Y36" i="8"/>
  <c r="Z36" i="8" s="1"/>
  <c r="AA36" i="8" s="1"/>
  <c r="AB36" i="8"/>
  <c r="AC36" i="8"/>
  <c r="AG36" i="8"/>
  <c r="AH36" i="8"/>
  <c r="AI36" i="8"/>
  <c r="AQ36" i="8"/>
  <c r="A37" i="8"/>
  <c r="C37" i="8"/>
  <c r="G37" i="8"/>
  <c r="H37" i="8" s="1"/>
  <c r="J37" i="8"/>
  <c r="K37" i="8" s="1"/>
  <c r="Q37" i="8" s="1"/>
  <c r="R37" i="8" s="1"/>
  <c r="M37" i="8"/>
  <c r="P37" i="8"/>
  <c r="S37" i="8"/>
  <c r="T37" i="8"/>
  <c r="U37" i="8" s="1"/>
  <c r="V37" i="8"/>
  <c r="Y37" i="8"/>
  <c r="AB37" i="8"/>
  <c r="AC37" i="8" s="1"/>
  <c r="AG37" i="8"/>
  <c r="AH37" i="8"/>
  <c r="AI37" i="8"/>
  <c r="AQ37" i="8"/>
  <c r="A38" i="8"/>
  <c r="C38" i="8" s="1"/>
  <c r="H38" i="8" s="1"/>
  <c r="L38" i="8" s="1"/>
  <c r="G38" i="8"/>
  <c r="J38" i="8"/>
  <c r="K38" i="8"/>
  <c r="Z38" i="8" s="1"/>
  <c r="M38" i="8"/>
  <c r="P38" i="8"/>
  <c r="Q38" i="8"/>
  <c r="R38" i="8" s="1"/>
  <c r="S38" i="8"/>
  <c r="T38" i="8" s="1"/>
  <c r="U38" i="8" s="1"/>
  <c r="V38" i="8"/>
  <c r="Y38" i="8"/>
  <c r="AA38" i="8"/>
  <c r="AB38" i="8"/>
  <c r="AC38" i="8"/>
  <c r="AD38" i="8"/>
  <c r="AG38" i="8"/>
  <c r="AH38" i="8"/>
  <c r="AI38" i="8"/>
  <c r="AQ38" i="8"/>
  <c r="A39" i="8"/>
  <c r="C39" i="8" s="1"/>
  <c r="L39" i="8"/>
  <c r="E39" i="8" s="1"/>
  <c r="G39" i="8"/>
  <c r="H39" i="8" s="1"/>
  <c r="J39" i="8"/>
  <c r="K39" i="8" s="1"/>
  <c r="M39" i="8"/>
  <c r="N39" i="8" s="1"/>
  <c r="O39" i="8" s="1"/>
  <c r="P39" i="8"/>
  <c r="S39" i="8"/>
  <c r="T39" i="8"/>
  <c r="U39" i="8" s="1"/>
  <c r="V39" i="8"/>
  <c r="Y39" i="8"/>
  <c r="Z39" i="8"/>
  <c r="AA39" i="8" s="1"/>
  <c r="AB39" i="8"/>
  <c r="AC39" i="8" s="1"/>
  <c r="AD39" i="8" s="1"/>
  <c r="AG39" i="8"/>
  <c r="AH39" i="8"/>
  <c r="AI39" i="8"/>
  <c r="AQ39" i="8"/>
  <c r="A40" i="8"/>
  <c r="C40" i="8"/>
  <c r="G40" i="8"/>
  <c r="H40" i="8"/>
  <c r="J40" i="8"/>
  <c r="K40" i="8" s="1"/>
  <c r="L40" i="8"/>
  <c r="M40" i="8"/>
  <c r="P40" i="8"/>
  <c r="Q40" i="8"/>
  <c r="R40" i="8" s="1"/>
  <c r="S40" i="8"/>
  <c r="T40" i="8"/>
  <c r="U40" i="8" s="1"/>
  <c r="V40" i="8"/>
  <c r="Y40" i="8"/>
  <c r="Z40" i="8" s="1"/>
  <c r="AA40" i="8"/>
  <c r="AB40" i="8"/>
  <c r="AC40" i="8"/>
  <c r="AD40" i="8" s="1"/>
  <c r="AG40" i="8"/>
  <c r="AH40" i="8"/>
  <c r="AI40" i="8"/>
  <c r="AQ40" i="8"/>
  <c r="A41" i="8"/>
  <c r="C41" i="8" s="1"/>
  <c r="H41" i="8"/>
  <c r="G41" i="8"/>
  <c r="J41" i="8"/>
  <c r="K41" i="8" s="1"/>
  <c r="Z41" i="8" s="1"/>
  <c r="AA41" i="8" s="1"/>
  <c r="M41" i="8"/>
  <c r="P41" i="8"/>
  <c r="Q41" i="8" s="1"/>
  <c r="R41" i="8" s="1"/>
  <c r="S41" i="8"/>
  <c r="T41" i="8" s="1"/>
  <c r="U41" i="8" s="1"/>
  <c r="V41" i="8"/>
  <c r="Y41" i="8"/>
  <c r="AB41" i="8"/>
  <c r="AC41" i="8"/>
  <c r="AD41" i="8" s="1"/>
  <c r="AG41" i="8"/>
  <c r="AH41" i="8"/>
  <c r="AI41" i="8"/>
  <c r="AQ41" i="8"/>
  <c r="A42" i="8"/>
  <c r="C42" i="8"/>
  <c r="G42" i="8"/>
  <c r="J42" i="8"/>
  <c r="K42" i="8" s="1"/>
  <c r="M42" i="8"/>
  <c r="P42" i="8"/>
  <c r="S42" i="8"/>
  <c r="T42" i="8"/>
  <c r="U42" i="8"/>
  <c r="V42" i="8"/>
  <c r="Y42" i="8"/>
  <c r="AB42" i="8"/>
  <c r="AC42" i="8" s="1"/>
  <c r="AD42" i="8"/>
  <c r="AG42" i="8"/>
  <c r="AH42" i="8"/>
  <c r="AI42" i="8"/>
  <c r="AQ42" i="8"/>
  <c r="A43" i="8"/>
  <c r="C43" i="8"/>
  <c r="G43" i="8"/>
  <c r="H43" i="8" s="1"/>
  <c r="L43" i="8" s="1"/>
  <c r="E43" i="8" s="1"/>
  <c r="J43" i="8"/>
  <c r="K43" i="8"/>
  <c r="Q43" i="8" s="1"/>
  <c r="R43" i="8" s="1"/>
  <c r="M43" i="8"/>
  <c r="P43" i="8"/>
  <c r="S43" i="8"/>
  <c r="T43" i="8" s="1"/>
  <c r="U43" i="8" s="1"/>
  <c r="V43" i="8"/>
  <c r="Y43" i="8"/>
  <c r="Z43" i="8"/>
  <c r="AA43" i="8" s="1"/>
  <c r="AB43" i="8"/>
  <c r="AC43" i="8"/>
  <c r="AD43" i="8" s="1"/>
  <c r="AG43" i="8"/>
  <c r="AH43" i="8"/>
  <c r="AI43" i="8"/>
  <c r="AQ43" i="8"/>
  <c r="A44" i="8"/>
  <c r="C44" i="8" s="1"/>
  <c r="G44" i="8"/>
  <c r="H44" i="8"/>
  <c r="L44" i="8" s="1"/>
  <c r="E44" i="8" s="1"/>
  <c r="J44" i="8"/>
  <c r="K44" i="8"/>
  <c r="M44" i="8"/>
  <c r="P44" i="8"/>
  <c r="Q44" i="8" s="1"/>
  <c r="R44" i="8" s="1"/>
  <c r="S44" i="8"/>
  <c r="T44" i="8" s="1"/>
  <c r="U44" i="8"/>
  <c r="V44" i="8"/>
  <c r="Y44" i="8"/>
  <c r="Z44" i="8"/>
  <c r="AA44" i="8" s="1"/>
  <c r="AB44" i="8"/>
  <c r="AC44" i="8"/>
  <c r="AD44" i="8" s="1"/>
  <c r="AG44" i="8"/>
  <c r="AH44" i="8"/>
  <c r="AI44" i="8"/>
  <c r="AQ44" i="8"/>
  <c r="A45" i="8"/>
  <c r="C45" i="8"/>
  <c r="G45" i="8"/>
  <c r="J45" i="8"/>
  <c r="K45" i="8" s="1"/>
  <c r="Q45" i="8" s="1"/>
  <c r="R45" i="8" s="1"/>
  <c r="M45" i="8"/>
  <c r="P45" i="8"/>
  <c r="S45" i="8"/>
  <c r="T45" i="8"/>
  <c r="U45" i="8" s="1"/>
  <c r="V45" i="8"/>
  <c r="Y45" i="8"/>
  <c r="Z45" i="8" s="1"/>
  <c r="AA45" i="8" s="1"/>
  <c r="AB45" i="8"/>
  <c r="AC45" i="8" s="1"/>
  <c r="AD45" i="8"/>
  <c r="AG45" i="8"/>
  <c r="AH45" i="8"/>
  <c r="AI45" i="8"/>
  <c r="AQ45" i="8"/>
  <c r="A46" i="8"/>
  <c r="C46" i="8" s="1"/>
  <c r="H46" i="8" s="1"/>
  <c r="L46" i="8" s="1"/>
  <c r="G46" i="8"/>
  <c r="J46" i="8"/>
  <c r="K46" i="8"/>
  <c r="M46" i="8"/>
  <c r="P46" i="8"/>
  <c r="Q46" i="8"/>
  <c r="R46" i="8" s="1"/>
  <c r="S46" i="8"/>
  <c r="T46" i="8"/>
  <c r="U46" i="8" s="1"/>
  <c r="V46" i="8"/>
  <c r="Y46" i="8"/>
  <c r="Z46" i="8" s="1"/>
  <c r="AA46" i="8" s="1"/>
  <c r="AB46" i="8"/>
  <c r="AC46" i="8"/>
  <c r="AD46" i="8"/>
  <c r="AG46" i="8"/>
  <c r="AH46" i="8"/>
  <c r="AI46" i="8"/>
  <c r="AQ46" i="8"/>
  <c r="A47" i="8"/>
  <c r="C47" i="8" s="1"/>
  <c r="G47" i="8"/>
  <c r="H47" i="8" s="1"/>
  <c r="J47" i="8"/>
  <c r="K47" i="8"/>
  <c r="M47" i="8"/>
  <c r="P47" i="8"/>
  <c r="S47" i="8"/>
  <c r="T47" i="8" s="1"/>
  <c r="U47" i="8"/>
  <c r="V47" i="8"/>
  <c r="Y47" i="8"/>
  <c r="AB47" i="8"/>
  <c r="AC47" i="8"/>
  <c r="AD47" i="8" s="1"/>
  <c r="AG47" i="8"/>
  <c r="AH47" i="8"/>
  <c r="AI47" i="8"/>
  <c r="AQ47" i="8"/>
  <c r="A48" i="8"/>
  <c r="C48" i="8"/>
  <c r="G48" i="8"/>
  <c r="H48" i="8" s="1"/>
  <c r="J48" i="8"/>
  <c r="K48" i="8" s="1"/>
  <c r="Q48" i="8" s="1"/>
  <c r="R48" i="8" s="1"/>
  <c r="M48" i="8"/>
  <c r="P48" i="8"/>
  <c r="S48" i="8"/>
  <c r="T48" i="8" s="1"/>
  <c r="U48" i="8" s="1"/>
  <c r="V48" i="8"/>
  <c r="Y48" i="8"/>
  <c r="AB48" i="8"/>
  <c r="AC48" i="8"/>
  <c r="AD48" i="8"/>
  <c r="AG48" i="8"/>
  <c r="AH48" i="8"/>
  <c r="AI48" i="8"/>
  <c r="AQ48" i="8"/>
  <c r="A49" i="8"/>
  <c r="C49" i="8" s="1"/>
  <c r="L49" i="8"/>
  <c r="G49" i="8"/>
  <c r="H49" i="8" s="1"/>
  <c r="J49" i="8"/>
  <c r="K49" i="8" s="1"/>
  <c r="Z49" i="8" s="1"/>
  <c r="AA49" i="8" s="1"/>
  <c r="M49" i="8"/>
  <c r="P49" i="8"/>
  <c r="S49" i="8"/>
  <c r="T49" i="8"/>
  <c r="U49" i="8" s="1"/>
  <c r="V49" i="8"/>
  <c r="Y49" i="8"/>
  <c r="AB49" i="8"/>
  <c r="AC49" i="8" s="1"/>
  <c r="AD49" i="8" s="1"/>
  <c r="AG49" i="8"/>
  <c r="AH49" i="8"/>
  <c r="AI49" i="8"/>
  <c r="AQ49" i="8"/>
  <c r="A50" i="8"/>
  <c r="C50" i="8"/>
  <c r="G50" i="8"/>
  <c r="H50" i="8"/>
  <c r="L50" i="8" s="1"/>
  <c r="J50" i="8"/>
  <c r="K50" i="8" s="1"/>
  <c r="M50" i="8"/>
  <c r="P50" i="8"/>
  <c r="Q50" i="8" s="1"/>
  <c r="R50" i="8"/>
  <c r="S50" i="8"/>
  <c r="T50" i="8" s="1"/>
  <c r="U50" i="8" s="1"/>
  <c r="V50" i="8"/>
  <c r="Y50" i="8"/>
  <c r="Z50" i="8" s="1"/>
  <c r="AA50" i="8" s="1"/>
  <c r="AB50" i="8"/>
  <c r="AC50" i="8"/>
  <c r="AD50" i="8"/>
  <c r="AG50" i="8"/>
  <c r="AH50" i="8"/>
  <c r="AI50" i="8"/>
  <c r="AQ50" i="8"/>
  <c r="A51" i="8"/>
  <c r="C51" i="8"/>
  <c r="H51" i="8"/>
  <c r="L51" i="8"/>
  <c r="G51" i="8"/>
  <c r="J51" i="8"/>
  <c r="K51" i="8"/>
  <c r="M51" i="8"/>
  <c r="P51" i="8"/>
  <c r="Q51" i="8"/>
  <c r="R51" i="8"/>
  <c r="S51" i="8"/>
  <c r="T51" i="8" s="1"/>
  <c r="U51" i="8" s="1"/>
  <c r="V51" i="8"/>
  <c r="Y51" i="8"/>
  <c r="Z51" i="8" s="1"/>
  <c r="AA51" i="8" s="1"/>
  <c r="AB51" i="8"/>
  <c r="AC51" i="8" s="1"/>
  <c r="AD51" i="8"/>
  <c r="AG51" i="8"/>
  <c r="AH51" i="8"/>
  <c r="AI51" i="8"/>
  <c r="AQ51" i="8"/>
  <c r="A59" i="8"/>
  <c r="C59" i="8"/>
  <c r="G59" i="8"/>
  <c r="H59" i="8"/>
  <c r="L59" i="8" s="1"/>
  <c r="E59" i="8" s="1"/>
  <c r="J59" i="8"/>
  <c r="K59" i="8"/>
  <c r="M59" i="8"/>
  <c r="P59" i="8"/>
  <c r="Q59" i="8"/>
  <c r="R59" i="8" s="1"/>
  <c r="S59" i="8"/>
  <c r="T59" i="8"/>
  <c r="U59" i="8" s="1"/>
  <c r="V59" i="8"/>
  <c r="Y59" i="8"/>
  <c r="Z59" i="8"/>
  <c r="AB59" i="8"/>
  <c r="AC59" i="8" s="1"/>
  <c r="AG59" i="8"/>
  <c r="AH59" i="8"/>
  <c r="AI59" i="8"/>
  <c r="AQ59" i="8"/>
  <c r="A60" i="8"/>
  <c r="C60" i="8"/>
  <c r="G60" i="8"/>
  <c r="H60" i="8" s="1"/>
  <c r="L60" i="8" s="1"/>
  <c r="J60" i="8"/>
  <c r="K60" i="8" s="1"/>
  <c r="Z60" i="8" s="1"/>
  <c r="M60" i="8"/>
  <c r="P60" i="8"/>
  <c r="Q60" i="8"/>
  <c r="R60" i="8" s="1"/>
  <c r="S60" i="8"/>
  <c r="T60" i="8"/>
  <c r="U60" i="8"/>
  <c r="V60" i="8"/>
  <c r="Y60" i="8"/>
  <c r="AB60" i="8"/>
  <c r="AC60" i="8" s="1"/>
  <c r="AG60" i="8"/>
  <c r="AH60" i="8"/>
  <c r="AI60" i="8"/>
  <c r="AQ60" i="8"/>
  <c r="A61" i="8"/>
  <c r="C61" i="8" s="1"/>
  <c r="H61" i="8" s="1"/>
  <c r="G61" i="8"/>
  <c r="J61" i="8"/>
  <c r="K61" i="8"/>
  <c r="Q61" i="8" s="1"/>
  <c r="R61" i="8" s="1"/>
  <c r="M61" i="8"/>
  <c r="P61" i="8"/>
  <c r="S61" i="8"/>
  <c r="T61" i="8"/>
  <c r="U61" i="8" s="1"/>
  <c r="V61" i="8"/>
  <c r="Y61" i="8"/>
  <c r="AB61" i="8"/>
  <c r="AC61" i="8" s="1"/>
  <c r="AG61" i="8"/>
  <c r="AH61" i="8"/>
  <c r="AI61" i="8"/>
  <c r="AQ61" i="8"/>
  <c r="A62" i="8"/>
  <c r="C62" i="8" s="1"/>
  <c r="G62" i="8"/>
  <c r="H62" i="8" s="1"/>
  <c r="L62" i="8" s="1"/>
  <c r="J62" i="8"/>
  <c r="K62" i="8"/>
  <c r="M62" i="8"/>
  <c r="P62" i="8"/>
  <c r="S62" i="8"/>
  <c r="T62" i="8"/>
  <c r="U62" i="8" s="1"/>
  <c r="V62" i="8"/>
  <c r="Y62" i="8"/>
  <c r="Z62" i="8" s="1"/>
  <c r="AA62" i="8" s="1"/>
  <c r="AB62" i="8"/>
  <c r="AC62" i="8" s="1"/>
  <c r="AG62" i="8"/>
  <c r="AH62" i="8"/>
  <c r="AI62" i="8"/>
  <c r="AQ62" i="8"/>
  <c r="A63" i="8"/>
  <c r="C63" i="8" s="1"/>
  <c r="G63" i="8"/>
  <c r="J63" i="8"/>
  <c r="K63" i="8"/>
  <c r="M63" i="8"/>
  <c r="P63" i="8"/>
  <c r="Q63" i="8" s="1"/>
  <c r="R63" i="8" s="1"/>
  <c r="S63" i="8"/>
  <c r="T63" i="8" s="1"/>
  <c r="U63" i="8" s="1"/>
  <c r="V63" i="8"/>
  <c r="Y63" i="8"/>
  <c r="Z63" i="8" s="1"/>
  <c r="AB63" i="8"/>
  <c r="AC63" i="8"/>
  <c r="AD63" i="8" s="1"/>
  <c r="AG63" i="8"/>
  <c r="AH63" i="8"/>
  <c r="AI63" i="8"/>
  <c r="AQ63" i="8"/>
  <c r="A64" i="8"/>
  <c r="C64" i="8" s="1"/>
  <c r="H64" i="8"/>
  <c r="G64" i="8"/>
  <c r="J64" i="8"/>
  <c r="K64" i="8" s="1"/>
  <c r="Z64" i="8" s="1"/>
  <c r="AA64" i="8" s="1"/>
  <c r="M64" i="8"/>
  <c r="P64" i="8"/>
  <c r="S64" i="8"/>
  <c r="T64" i="8" s="1"/>
  <c r="U64" i="8" s="1"/>
  <c r="V64" i="8"/>
  <c r="Y64" i="8"/>
  <c r="AB64" i="8"/>
  <c r="AC64" i="8"/>
  <c r="AG64" i="8"/>
  <c r="AH64" i="8"/>
  <c r="AI64" i="8"/>
  <c r="AQ64" i="8"/>
  <c r="A65" i="8"/>
  <c r="C65" i="8" s="1"/>
  <c r="H65" i="8" s="1"/>
  <c r="L65" i="8" s="1"/>
  <c r="G65" i="8"/>
  <c r="J65" i="8"/>
  <c r="K65" i="8"/>
  <c r="M65" i="8"/>
  <c r="P65" i="8"/>
  <c r="S65" i="8"/>
  <c r="T65" i="8" s="1"/>
  <c r="U65" i="8" s="1"/>
  <c r="V65" i="8"/>
  <c r="Y65" i="8"/>
  <c r="Z65" i="8" s="1"/>
  <c r="AB65" i="8"/>
  <c r="AC65" i="8"/>
  <c r="AG65" i="8"/>
  <c r="AH65" i="8"/>
  <c r="AI65" i="8"/>
  <c r="AQ65" i="8"/>
  <c r="A66" i="8"/>
  <c r="C66" i="8" s="1"/>
  <c r="H66" i="8" s="1"/>
  <c r="L66" i="8" s="1"/>
  <c r="G66" i="8"/>
  <c r="J66" i="8"/>
  <c r="K66" i="8"/>
  <c r="M66" i="8"/>
  <c r="P66" i="8"/>
  <c r="Q66" i="8" s="1"/>
  <c r="R66" i="8"/>
  <c r="S66" i="8"/>
  <c r="T66" i="8"/>
  <c r="U66" i="8" s="1"/>
  <c r="V66" i="8"/>
  <c r="Y66" i="8"/>
  <c r="Z66" i="8"/>
  <c r="AB66" i="8"/>
  <c r="AC66" i="8"/>
  <c r="AG66" i="8"/>
  <c r="AH66" i="8"/>
  <c r="AI66" i="8"/>
  <c r="AQ66" i="8"/>
  <c r="A67" i="8"/>
  <c r="C67" i="8" s="1"/>
  <c r="G67" i="8"/>
  <c r="J67" i="8"/>
  <c r="K67" i="8" s="1"/>
  <c r="M67" i="8"/>
  <c r="P67" i="8"/>
  <c r="Q67" i="8" s="1"/>
  <c r="R67" i="8" s="1"/>
  <c r="S67" i="8"/>
  <c r="T67" i="8"/>
  <c r="U67" i="8" s="1"/>
  <c r="V67" i="8"/>
  <c r="Y67" i="8"/>
  <c r="Z67" i="8" s="1"/>
  <c r="AB67" i="8"/>
  <c r="AC67" i="8" s="1"/>
  <c r="AD67" i="8"/>
  <c r="AG67" i="8"/>
  <c r="AH67" i="8"/>
  <c r="AI67" i="8"/>
  <c r="AQ67" i="8"/>
  <c r="A68" i="8"/>
  <c r="C68" i="8"/>
  <c r="H68" i="8" s="1"/>
  <c r="L68" i="8"/>
  <c r="G68" i="8"/>
  <c r="J68" i="8"/>
  <c r="K68" i="8"/>
  <c r="M68" i="8"/>
  <c r="P68" i="8"/>
  <c r="Q68" i="8"/>
  <c r="R68" i="8" s="1"/>
  <c r="S68" i="8"/>
  <c r="T68" i="8" s="1"/>
  <c r="U68" i="8" s="1"/>
  <c r="V68" i="8"/>
  <c r="Y68" i="8"/>
  <c r="AB68" i="8"/>
  <c r="AC68" i="8"/>
  <c r="AG68" i="8"/>
  <c r="AH68" i="8"/>
  <c r="AI68" i="8"/>
  <c r="AQ68" i="8"/>
  <c r="A69" i="8"/>
  <c r="C69" i="8"/>
  <c r="G69" i="8"/>
  <c r="H69" i="8"/>
  <c r="L69" i="8" s="1"/>
  <c r="J69" i="8"/>
  <c r="K69" i="8"/>
  <c r="Q69" i="8" s="1"/>
  <c r="M69" i="8"/>
  <c r="P69" i="8"/>
  <c r="R69" i="8"/>
  <c r="S69" i="8"/>
  <c r="T69" i="8"/>
  <c r="U69" i="8" s="1"/>
  <c r="V69" i="8"/>
  <c r="Y69" i="8"/>
  <c r="Z69" i="8" s="1"/>
  <c r="AB69" i="8"/>
  <c r="AC69" i="8" s="1"/>
  <c r="AG69" i="8"/>
  <c r="AH69" i="8"/>
  <c r="AI69" i="8"/>
  <c r="AQ69" i="8"/>
  <c r="A70" i="8"/>
  <c r="C70" i="8"/>
  <c r="H70" i="8" s="1"/>
  <c r="L70" i="8"/>
  <c r="G70" i="8"/>
  <c r="J70" i="8"/>
  <c r="K70" i="8"/>
  <c r="M70" i="8"/>
  <c r="P70" i="8"/>
  <c r="Q70" i="8"/>
  <c r="R70" i="8" s="1"/>
  <c r="S70" i="8"/>
  <c r="T70" i="8" s="1"/>
  <c r="U70" i="8" s="1"/>
  <c r="V70" i="8"/>
  <c r="Y70" i="8"/>
  <c r="Z70" i="8" s="1"/>
  <c r="AB70" i="8"/>
  <c r="AC70" i="8" s="1"/>
  <c r="AG70" i="8"/>
  <c r="AH70" i="8"/>
  <c r="AI70" i="8"/>
  <c r="AQ70" i="8"/>
  <c r="A71" i="8"/>
  <c r="C71" i="8"/>
  <c r="G71" i="8"/>
  <c r="H71" i="8" s="1"/>
  <c r="J71" i="8"/>
  <c r="K71" i="8"/>
  <c r="Q71" i="8" s="1"/>
  <c r="R71" i="8" s="1"/>
  <c r="M71" i="8"/>
  <c r="P71" i="8"/>
  <c r="S71" i="8"/>
  <c r="T71" i="8" s="1"/>
  <c r="U71" i="8" s="1"/>
  <c r="V71" i="8"/>
  <c r="Y71" i="8"/>
  <c r="AB71" i="8"/>
  <c r="AC71" i="8"/>
  <c r="AG71" i="8"/>
  <c r="AH71" i="8"/>
  <c r="AI71" i="8"/>
  <c r="AQ71" i="8"/>
  <c r="A72" i="8"/>
  <c r="C72" i="8" s="1"/>
  <c r="G72" i="8"/>
  <c r="J72" i="8"/>
  <c r="K72" i="8" s="1"/>
  <c r="M72" i="8"/>
  <c r="P72" i="8"/>
  <c r="S72" i="8"/>
  <c r="T72" i="8" s="1"/>
  <c r="U72" i="8"/>
  <c r="V72" i="8"/>
  <c r="Y72" i="8"/>
  <c r="AB72" i="8"/>
  <c r="AC72" i="8" s="1"/>
  <c r="AG72" i="8"/>
  <c r="AH72" i="8"/>
  <c r="AI72" i="8"/>
  <c r="AQ72" i="8"/>
  <c r="A73" i="8"/>
  <c r="C73" i="8" s="1"/>
  <c r="G73" i="8"/>
  <c r="H73" i="8"/>
  <c r="J73" i="8"/>
  <c r="K73" i="8" s="1"/>
  <c r="M73" i="8"/>
  <c r="P73" i="8"/>
  <c r="S73" i="8"/>
  <c r="T73" i="8"/>
  <c r="U73" i="8" s="1"/>
  <c r="V73" i="8"/>
  <c r="Y73" i="8"/>
  <c r="AB73" i="8"/>
  <c r="AC73" i="8" s="1"/>
  <c r="AG73" i="8"/>
  <c r="AH73" i="8"/>
  <c r="AI73" i="8"/>
  <c r="AQ73" i="8"/>
  <c r="A74" i="8"/>
  <c r="C74" i="8"/>
  <c r="G74" i="8"/>
  <c r="J74" i="8"/>
  <c r="K74" i="8"/>
  <c r="M74" i="8"/>
  <c r="P74" i="8"/>
  <c r="Q74" i="8"/>
  <c r="R74" i="8" s="1"/>
  <c r="S74" i="8"/>
  <c r="T74" i="8" s="1"/>
  <c r="U74" i="8"/>
  <c r="V74" i="8"/>
  <c r="Y74" i="8"/>
  <c r="AB74" i="8"/>
  <c r="AC74" i="8" s="1"/>
  <c r="AD74" i="8"/>
  <c r="AG74" i="8"/>
  <c r="AH74" i="8"/>
  <c r="AI74" i="8"/>
  <c r="AQ74" i="8"/>
  <c r="A75" i="8"/>
  <c r="C75" i="8"/>
  <c r="G75" i="8"/>
  <c r="H75" i="8"/>
  <c r="J75" i="8"/>
  <c r="K75" i="8" s="1"/>
  <c r="M75" i="8"/>
  <c r="P75" i="8"/>
  <c r="Q75" i="8" s="1"/>
  <c r="R75" i="8" s="1"/>
  <c r="S75" i="8"/>
  <c r="T75" i="8" s="1"/>
  <c r="U75" i="8" s="1"/>
  <c r="V75" i="8"/>
  <c r="Y75" i="8"/>
  <c r="AB75" i="8"/>
  <c r="AC75" i="8" s="1"/>
  <c r="AD75" i="8" s="1"/>
  <c r="AG75" i="8"/>
  <c r="AH75" i="8"/>
  <c r="AI75" i="8"/>
  <c r="AQ75" i="8"/>
  <c r="A76" i="8"/>
  <c r="C76" i="8"/>
  <c r="G76" i="8"/>
  <c r="H76" i="8" s="1"/>
  <c r="L76" i="8" s="1"/>
  <c r="J76" i="8"/>
  <c r="K76" i="8" s="1"/>
  <c r="M76" i="8"/>
  <c r="P76" i="8"/>
  <c r="Q76" i="8"/>
  <c r="R76" i="8"/>
  <c r="S76" i="8"/>
  <c r="T76" i="8" s="1"/>
  <c r="U76" i="8" s="1"/>
  <c r="V76" i="8"/>
  <c r="Y76" i="8"/>
  <c r="AB76" i="8"/>
  <c r="AC76" i="8"/>
  <c r="AD76" i="8"/>
  <c r="AG76" i="8"/>
  <c r="AH76" i="8"/>
  <c r="AI76" i="8"/>
  <c r="AQ76" i="8"/>
  <c r="A77" i="8"/>
  <c r="C77" i="8"/>
  <c r="G77" i="8"/>
  <c r="H77" i="8"/>
  <c r="J77" i="8"/>
  <c r="K77" i="8"/>
  <c r="L77" i="8" s="1"/>
  <c r="E77" i="8" s="1"/>
  <c r="M77" i="8"/>
  <c r="P77" i="8"/>
  <c r="S77" i="8"/>
  <c r="T77" i="8"/>
  <c r="U77" i="8"/>
  <c r="V77" i="8"/>
  <c r="Y77" i="8"/>
  <c r="AB77" i="8"/>
  <c r="AC77" i="8" s="1"/>
  <c r="AD77" i="8"/>
  <c r="AG77" i="8"/>
  <c r="AH77" i="8"/>
  <c r="AI77" i="8"/>
  <c r="AQ77" i="8"/>
  <c r="A78" i="8"/>
  <c r="C78" i="8" s="1"/>
  <c r="H78" i="8" s="1"/>
  <c r="L78" i="8" s="1"/>
  <c r="G78" i="8"/>
  <c r="J78" i="8"/>
  <c r="K78" i="8" s="1"/>
  <c r="M78" i="8"/>
  <c r="P78" i="8"/>
  <c r="Q78" i="8" s="1"/>
  <c r="R78" i="8" s="1"/>
  <c r="S78" i="8"/>
  <c r="T78" i="8"/>
  <c r="U78" i="8" s="1"/>
  <c r="V78" i="8"/>
  <c r="Y78" i="8"/>
  <c r="AB78" i="8"/>
  <c r="AC78" i="8" s="1"/>
  <c r="AD78" i="8" s="1"/>
  <c r="AG78" i="8"/>
  <c r="AH78" i="8"/>
  <c r="AI78" i="8"/>
  <c r="AQ78" i="8"/>
  <c r="A79" i="8"/>
  <c r="C79" i="8"/>
  <c r="G79" i="8"/>
  <c r="H79" i="8" s="1"/>
  <c r="J79" i="8"/>
  <c r="K79" i="8"/>
  <c r="M79" i="8"/>
  <c r="P79" i="8"/>
  <c r="S79" i="8"/>
  <c r="T79" i="8" s="1"/>
  <c r="U79" i="8" s="1"/>
  <c r="V79" i="8"/>
  <c r="Y79" i="8"/>
  <c r="AB79" i="8"/>
  <c r="AC79" i="8"/>
  <c r="AD79" i="8" s="1"/>
  <c r="AG79" i="8"/>
  <c r="AH79" i="8"/>
  <c r="AI79" i="8"/>
  <c r="AQ79" i="8"/>
  <c r="A80" i="8"/>
  <c r="C80" i="8" s="1"/>
  <c r="G80" i="8"/>
  <c r="H80" i="8" s="1"/>
  <c r="J80" i="8"/>
  <c r="K80" i="8" s="1"/>
  <c r="L80" i="8"/>
  <c r="M80" i="8"/>
  <c r="P80" i="8"/>
  <c r="Q80" i="8" s="1"/>
  <c r="R80" i="8" s="1"/>
  <c r="S80" i="8"/>
  <c r="T80" i="8" s="1"/>
  <c r="U80" i="8" s="1"/>
  <c r="V80" i="8"/>
  <c r="Y80" i="8"/>
  <c r="AB80" i="8"/>
  <c r="AC80" i="8"/>
  <c r="AD80" i="8"/>
  <c r="AG80" i="8"/>
  <c r="AH80" i="8"/>
  <c r="AI80" i="8"/>
  <c r="AQ80" i="8"/>
  <c r="A81" i="8"/>
  <c r="C81" i="8" s="1"/>
  <c r="G81" i="8"/>
  <c r="H81" i="8"/>
  <c r="L81" i="8" s="1"/>
  <c r="J81" i="8"/>
  <c r="K81" i="8"/>
  <c r="M81" i="8"/>
  <c r="P81" i="8"/>
  <c r="S81" i="8"/>
  <c r="T81" i="8" s="1"/>
  <c r="U81" i="8" s="1"/>
  <c r="V81" i="8"/>
  <c r="Y81" i="8"/>
  <c r="AB81" i="8"/>
  <c r="AC81" i="8"/>
  <c r="AD81" i="8"/>
  <c r="AG81" i="8"/>
  <c r="AH81" i="8"/>
  <c r="AI81" i="8"/>
  <c r="AQ81" i="8"/>
  <c r="A82" i="8"/>
  <c r="C82" i="8"/>
  <c r="G82" i="8"/>
  <c r="H82" i="8"/>
  <c r="J82" i="8"/>
  <c r="K82" i="8"/>
  <c r="Q82" i="8" s="1"/>
  <c r="M82" i="8"/>
  <c r="P82" i="8"/>
  <c r="R82" i="8"/>
  <c r="S82" i="8"/>
  <c r="T82" i="8" s="1"/>
  <c r="U82" i="8" s="1"/>
  <c r="V82" i="8"/>
  <c r="Y82" i="8"/>
  <c r="AB82" i="8"/>
  <c r="AC82" i="8"/>
  <c r="AD82" i="8"/>
  <c r="AG82" i="8"/>
  <c r="AH82" i="8"/>
  <c r="AI82" i="8"/>
  <c r="AQ82" i="8"/>
  <c r="A83" i="8"/>
  <c r="C83" i="8" s="1"/>
  <c r="G83" i="8"/>
  <c r="H83" i="8" s="1"/>
  <c r="J83" i="8"/>
  <c r="K83" i="8" s="1"/>
  <c r="L83" i="8" s="1"/>
  <c r="M83" i="8"/>
  <c r="P83" i="8"/>
  <c r="S83" i="8"/>
  <c r="T83" i="8" s="1"/>
  <c r="U83" i="8" s="1"/>
  <c r="V83" i="8"/>
  <c r="Y83" i="8"/>
  <c r="AB83" i="8"/>
  <c r="AC83" i="8"/>
  <c r="AD83" i="8" s="1"/>
  <c r="AG83" i="8"/>
  <c r="AH83" i="8"/>
  <c r="AI83" i="8"/>
  <c r="AQ83" i="8"/>
  <c r="A84" i="8"/>
  <c r="C84" i="8"/>
  <c r="G84" i="8"/>
  <c r="H84" i="8" s="1"/>
  <c r="L84" i="8" s="1"/>
  <c r="J84" i="8"/>
  <c r="K84" i="8" s="1"/>
  <c r="Q84" i="8" s="1"/>
  <c r="R84" i="8" s="1"/>
  <c r="M84" i="8"/>
  <c r="P84" i="8"/>
  <c r="S84" i="8"/>
  <c r="T84" i="8"/>
  <c r="U84" i="8" s="1"/>
  <c r="V84" i="8"/>
  <c r="Y84" i="8"/>
  <c r="AB84" i="8"/>
  <c r="AC84" i="8"/>
  <c r="AD84" i="8"/>
  <c r="AG84" i="8"/>
  <c r="AH84" i="8"/>
  <c r="AI84" i="8"/>
  <c r="AQ84" i="8"/>
  <c r="A85" i="8"/>
  <c r="C85" i="8" s="1"/>
  <c r="G85" i="8"/>
  <c r="H85" i="8" s="1"/>
  <c r="J85" i="8"/>
  <c r="K85" i="8"/>
  <c r="M85" i="8"/>
  <c r="P85" i="8"/>
  <c r="Q85" i="8" s="1"/>
  <c r="R85" i="8" s="1"/>
  <c r="S85" i="8"/>
  <c r="T85" i="8" s="1"/>
  <c r="U85" i="8" s="1"/>
  <c r="V85" i="8"/>
  <c r="Y85" i="8"/>
  <c r="AB85" i="8"/>
  <c r="AC85" i="8"/>
  <c r="AD85" i="8" s="1"/>
  <c r="AG85" i="8"/>
  <c r="AH85" i="8"/>
  <c r="AI85" i="8"/>
  <c r="AQ85" i="8"/>
  <c r="A86" i="8"/>
  <c r="C86" i="8" s="1"/>
  <c r="G86" i="8"/>
  <c r="J86" i="8"/>
  <c r="K86" i="8"/>
  <c r="M86" i="8"/>
  <c r="P86" i="8"/>
  <c r="Q86" i="8" s="1"/>
  <c r="R86" i="8" s="1"/>
  <c r="S86" i="8"/>
  <c r="T86" i="8" s="1"/>
  <c r="U86" i="8" s="1"/>
  <c r="V86" i="8"/>
  <c r="Y86" i="8"/>
  <c r="AB86" i="8"/>
  <c r="AC86" i="8" s="1"/>
  <c r="AD86" i="8" s="1"/>
  <c r="AG86" i="8"/>
  <c r="AH86" i="8"/>
  <c r="AI86" i="8"/>
  <c r="AQ86" i="8"/>
  <c r="A87" i="8"/>
  <c r="C87" i="8" s="1"/>
  <c r="G87" i="8"/>
  <c r="J87" i="8"/>
  <c r="K87" i="8" s="1"/>
  <c r="M87" i="8"/>
  <c r="P87" i="8"/>
  <c r="Q87" i="8"/>
  <c r="R87" i="8"/>
  <c r="S87" i="8"/>
  <c r="T87" i="8" s="1"/>
  <c r="U87" i="8" s="1"/>
  <c r="V87" i="8"/>
  <c r="Y87" i="8"/>
  <c r="AB87" i="8"/>
  <c r="AC87" i="8"/>
  <c r="AD87" i="8"/>
  <c r="AG87" i="8"/>
  <c r="AH87" i="8"/>
  <c r="AI87" i="8"/>
  <c r="AQ87" i="8"/>
  <c r="A95" i="8"/>
  <c r="C95" i="8" s="1"/>
  <c r="G95" i="8"/>
  <c r="H95" i="8" s="1"/>
  <c r="J95" i="8"/>
  <c r="K95" i="8" s="1"/>
  <c r="M95" i="8"/>
  <c r="P95" i="8"/>
  <c r="S95" i="8"/>
  <c r="T95" i="8"/>
  <c r="U95" i="8"/>
  <c r="V95" i="8"/>
  <c r="Y95" i="8"/>
  <c r="AB95" i="8"/>
  <c r="AC95" i="8"/>
  <c r="AI95" i="8"/>
  <c r="AQ95" i="8"/>
  <c r="A96" i="8"/>
  <c r="C96" i="8"/>
  <c r="G96" i="8"/>
  <c r="H96" i="8"/>
  <c r="J96" i="8"/>
  <c r="K96" i="8"/>
  <c r="Q96" i="8" s="1"/>
  <c r="R96" i="8" s="1"/>
  <c r="M96" i="8"/>
  <c r="P96" i="8"/>
  <c r="S96" i="8"/>
  <c r="T96" i="8" s="1"/>
  <c r="U96" i="8" s="1"/>
  <c r="V96" i="8"/>
  <c r="Y96" i="8"/>
  <c r="AB96" i="8"/>
  <c r="AC96" i="8"/>
  <c r="AI96" i="8"/>
  <c r="AQ96" i="8"/>
  <c r="A97" i="8"/>
  <c r="C97" i="8"/>
  <c r="H97" i="8" s="1"/>
  <c r="L97" i="8" s="1"/>
  <c r="G97" i="8"/>
  <c r="J97" i="8"/>
  <c r="K97" i="8"/>
  <c r="M97" i="8"/>
  <c r="P97" i="8"/>
  <c r="Q97" i="8"/>
  <c r="R97" i="8" s="1"/>
  <c r="S97" i="8"/>
  <c r="T97" i="8" s="1"/>
  <c r="U97" i="8" s="1"/>
  <c r="V97" i="8"/>
  <c r="Y97" i="8"/>
  <c r="AB97" i="8"/>
  <c r="AC97" i="8" s="1"/>
  <c r="AI97" i="8"/>
  <c r="AQ97" i="8"/>
  <c r="A98" i="8"/>
  <c r="C98" i="8"/>
  <c r="G98" i="8"/>
  <c r="H98" i="8" s="1"/>
  <c r="J98" i="8"/>
  <c r="K98" i="8" s="1"/>
  <c r="M98" i="8"/>
  <c r="P98" i="8"/>
  <c r="Q98" i="8" s="1"/>
  <c r="R98" i="8" s="1"/>
  <c r="S98" i="8"/>
  <c r="T98" i="8" s="1"/>
  <c r="U98" i="8" s="1"/>
  <c r="V98" i="8"/>
  <c r="Y98" i="8"/>
  <c r="AB98" i="8"/>
  <c r="AC98" i="8" s="1"/>
  <c r="AI98" i="8"/>
  <c r="AQ98" i="8"/>
  <c r="A99" i="8"/>
  <c r="C99" i="8" s="1"/>
  <c r="G99" i="8"/>
  <c r="J99" i="8"/>
  <c r="K99" i="8" s="1"/>
  <c r="M99" i="8"/>
  <c r="P99" i="8"/>
  <c r="S99" i="8"/>
  <c r="T99" i="8" s="1"/>
  <c r="U99" i="8"/>
  <c r="V99" i="8"/>
  <c r="Y99" i="8"/>
  <c r="AB99" i="8"/>
  <c r="AC99" i="8" s="1"/>
  <c r="AI99" i="8"/>
  <c r="AQ99" i="8"/>
  <c r="A100" i="8"/>
  <c r="C100" i="8"/>
  <c r="G100" i="8"/>
  <c r="H100" i="8" s="1"/>
  <c r="J100" i="8"/>
  <c r="K100" i="8"/>
  <c r="Z100" i="8" s="1"/>
  <c r="AA100" i="8" s="1"/>
  <c r="M100" i="8"/>
  <c r="P100" i="8"/>
  <c r="S100" i="8"/>
  <c r="T100" i="8" s="1"/>
  <c r="U100" i="8" s="1"/>
  <c r="V100" i="8"/>
  <c r="Y100" i="8"/>
  <c r="AB100" i="8"/>
  <c r="AC100" i="8"/>
  <c r="AI100" i="8"/>
  <c r="AQ100" i="8"/>
  <c r="A101" i="8"/>
  <c r="C101" i="8"/>
  <c r="G101" i="8"/>
  <c r="H101" i="8" s="1"/>
  <c r="L101" i="8" s="1"/>
  <c r="J101" i="8"/>
  <c r="K101" i="8" s="1"/>
  <c r="Q101" i="8" s="1"/>
  <c r="R101" i="8" s="1"/>
  <c r="M101" i="8"/>
  <c r="P101" i="8"/>
  <c r="S101" i="8"/>
  <c r="T101" i="8"/>
  <c r="U101" i="8" s="1"/>
  <c r="V101" i="8"/>
  <c r="Y101" i="8"/>
  <c r="AB101" i="8"/>
  <c r="AC101" i="8"/>
  <c r="AI101" i="8"/>
  <c r="AQ101" i="8"/>
  <c r="A102" i="8"/>
  <c r="C102" i="8"/>
  <c r="G102" i="8"/>
  <c r="J102" i="8"/>
  <c r="K102" i="8"/>
  <c r="M102" i="8"/>
  <c r="P102" i="8"/>
  <c r="Q102" i="8"/>
  <c r="R102" i="8" s="1"/>
  <c r="S102" i="8"/>
  <c r="T102" i="8" s="1"/>
  <c r="U102" i="8" s="1"/>
  <c r="V102" i="8"/>
  <c r="Y102" i="8"/>
  <c r="AB102" i="8"/>
  <c r="AC102" i="8" s="1"/>
  <c r="AI102" i="8"/>
  <c r="AQ102" i="8"/>
  <c r="A103" i="8"/>
  <c r="C103" i="8" s="1"/>
  <c r="G103" i="8"/>
  <c r="J103" i="8"/>
  <c r="K103" i="8" s="1"/>
  <c r="M103" i="8"/>
  <c r="P103" i="8"/>
  <c r="S103" i="8"/>
  <c r="T103" i="8" s="1"/>
  <c r="U103" i="8" s="1"/>
  <c r="V103" i="8"/>
  <c r="Y103" i="8"/>
  <c r="AB103" i="8"/>
  <c r="AC103" i="8" s="1"/>
  <c r="AI103" i="8"/>
  <c r="AQ103" i="8"/>
  <c r="A104" i="8"/>
  <c r="C104" i="8" s="1"/>
  <c r="H104" i="8" s="1"/>
  <c r="G104" i="8"/>
  <c r="J104" i="8"/>
  <c r="K104" i="8" s="1"/>
  <c r="M104" i="8"/>
  <c r="P104" i="8"/>
  <c r="S104" i="8"/>
  <c r="T104" i="8" s="1"/>
  <c r="U104" i="8" s="1"/>
  <c r="V104" i="8"/>
  <c r="Y104" i="8"/>
  <c r="AB104" i="8"/>
  <c r="AC104" i="8"/>
  <c r="AI104" i="8"/>
  <c r="AQ104" i="8"/>
  <c r="A105" i="8"/>
  <c r="C105" i="8" s="1"/>
  <c r="G105" i="8"/>
  <c r="J105" i="8"/>
  <c r="K105" i="8" s="1"/>
  <c r="M105" i="8"/>
  <c r="P105" i="8"/>
  <c r="Q105" i="8" s="1"/>
  <c r="R105" i="8" s="1"/>
  <c r="S105" i="8"/>
  <c r="T105" i="8"/>
  <c r="U105" i="8" s="1"/>
  <c r="V105" i="8"/>
  <c r="Y105" i="8"/>
  <c r="Z105" i="8"/>
  <c r="AB105" i="8"/>
  <c r="AC105" i="8" s="1"/>
  <c r="AI105" i="8"/>
  <c r="AQ105" i="8"/>
  <c r="A106" i="8"/>
  <c r="C106" i="8"/>
  <c r="G106" i="8"/>
  <c r="H106" i="8"/>
  <c r="J106" i="8"/>
  <c r="K106" i="8" s="1"/>
  <c r="Z106" i="8" s="1"/>
  <c r="M106" i="8"/>
  <c r="P106" i="8"/>
  <c r="S106" i="8"/>
  <c r="T106" i="8" s="1"/>
  <c r="U106" i="8" s="1"/>
  <c r="V106" i="8"/>
  <c r="Y106" i="8"/>
  <c r="AB106" i="8"/>
  <c r="AC106" i="8"/>
  <c r="AI106" i="8"/>
  <c r="AQ106" i="8"/>
  <c r="A107" i="8"/>
  <c r="C107" i="8" s="1"/>
  <c r="G107" i="8"/>
  <c r="J107" i="8"/>
  <c r="K107" i="8"/>
  <c r="Z107" i="8" s="1"/>
  <c r="AA107" i="8" s="1"/>
  <c r="M107" i="8"/>
  <c r="P107" i="8"/>
  <c r="S107" i="8"/>
  <c r="T107" i="8" s="1"/>
  <c r="U107" i="8" s="1"/>
  <c r="V107" i="8"/>
  <c r="Y107" i="8"/>
  <c r="AB107" i="8"/>
  <c r="AC107" i="8"/>
  <c r="AI107" i="8"/>
  <c r="AQ107" i="8"/>
  <c r="A108" i="8"/>
  <c r="C108" i="8" s="1"/>
  <c r="G108" i="8"/>
  <c r="H108" i="8" s="1"/>
  <c r="L108" i="8"/>
  <c r="J108" i="8"/>
  <c r="K108" i="8" s="1"/>
  <c r="AA108" i="8"/>
  <c r="M108" i="8"/>
  <c r="P108" i="8"/>
  <c r="Q108" i="8"/>
  <c r="R108" i="8" s="1"/>
  <c r="S108" i="8"/>
  <c r="T108" i="8" s="1"/>
  <c r="U108" i="8" s="1"/>
  <c r="V108" i="8"/>
  <c r="Y108" i="8"/>
  <c r="Z108" i="8" s="1"/>
  <c r="AB108" i="8"/>
  <c r="AC108" i="8"/>
  <c r="AI108" i="8"/>
  <c r="AQ108" i="8"/>
  <c r="A109" i="8"/>
  <c r="C109" i="8" s="1"/>
  <c r="G109" i="8"/>
  <c r="H109" i="8"/>
  <c r="L109" i="8"/>
  <c r="J109" i="8"/>
  <c r="K109" i="8" s="1"/>
  <c r="Z109" i="8" s="1"/>
  <c r="AA109" i="8" s="1"/>
  <c r="M109" i="8"/>
  <c r="P109" i="8"/>
  <c r="S109" i="8"/>
  <c r="T109" i="8"/>
  <c r="U109" i="8" s="1"/>
  <c r="V109" i="8"/>
  <c r="Y109" i="8"/>
  <c r="AB109" i="8"/>
  <c r="AC109" i="8" s="1"/>
  <c r="AI109" i="8"/>
  <c r="AQ109" i="8"/>
  <c r="A110" i="8"/>
  <c r="C110" i="8"/>
  <c r="G110" i="8"/>
  <c r="H110" i="8"/>
  <c r="J110" i="8"/>
  <c r="K110" i="8" s="1"/>
  <c r="M110" i="8"/>
  <c r="P110" i="8"/>
  <c r="Q110" i="8" s="1"/>
  <c r="R110" i="8" s="1"/>
  <c r="S110" i="8"/>
  <c r="T110" i="8" s="1"/>
  <c r="U110" i="8" s="1"/>
  <c r="V110" i="8"/>
  <c r="Y110" i="8"/>
  <c r="AB110" i="8"/>
  <c r="AC110" i="8" s="1"/>
  <c r="AD110" i="8"/>
  <c r="AI110" i="8"/>
  <c r="AQ110" i="8"/>
  <c r="A111" i="8"/>
  <c r="C111" i="8" s="1"/>
  <c r="G111" i="8"/>
  <c r="H111" i="8"/>
  <c r="J111" i="8"/>
  <c r="K111" i="8"/>
  <c r="M111" i="8"/>
  <c r="P111" i="8"/>
  <c r="S111" i="8"/>
  <c r="T111" i="8"/>
  <c r="U111" i="8" s="1"/>
  <c r="V111" i="8"/>
  <c r="Y111" i="8"/>
  <c r="Z111" i="8"/>
  <c r="AA111" i="8" s="1"/>
  <c r="AB111" i="8"/>
  <c r="AC111" i="8" s="1"/>
  <c r="AD111" i="8" s="1"/>
  <c r="AI111" i="8"/>
  <c r="AQ111" i="8"/>
  <c r="A112" i="8"/>
  <c r="C112" i="8"/>
  <c r="G112" i="8"/>
  <c r="H112" i="8"/>
  <c r="J112" i="8"/>
  <c r="K112" i="8"/>
  <c r="M112" i="8"/>
  <c r="P112" i="8"/>
  <c r="S112" i="8"/>
  <c r="T112" i="8"/>
  <c r="U112" i="8" s="1"/>
  <c r="V112" i="8"/>
  <c r="Y112" i="8"/>
  <c r="AB112" i="8"/>
  <c r="AC112" i="8"/>
  <c r="AD112" i="8"/>
  <c r="AI112" i="8"/>
  <c r="AQ112" i="8"/>
  <c r="A113" i="8"/>
  <c r="C113" i="8" s="1"/>
  <c r="G113" i="8"/>
  <c r="H113" i="8" s="1"/>
  <c r="L113" i="8"/>
  <c r="J113" i="8"/>
  <c r="K113" i="8" s="1"/>
  <c r="Z113" i="8" s="1"/>
  <c r="AA113" i="8" s="1"/>
  <c r="M113" i="8"/>
  <c r="P113" i="8"/>
  <c r="S113" i="8"/>
  <c r="T113" i="8"/>
  <c r="U113" i="8" s="1"/>
  <c r="V113" i="8"/>
  <c r="Y113" i="8"/>
  <c r="AB113" i="8"/>
  <c r="AC113" i="8"/>
  <c r="AD113" i="8"/>
  <c r="AI113" i="8"/>
  <c r="AQ113" i="8"/>
  <c r="AR113" i="8" s="1"/>
  <c r="A114" i="8"/>
  <c r="C114" i="8"/>
  <c r="G114" i="8"/>
  <c r="J114" i="8"/>
  <c r="K114" i="8"/>
  <c r="Z114" i="8" s="1"/>
  <c r="AA114" i="8" s="1"/>
  <c r="M114" i="8"/>
  <c r="P114" i="8"/>
  <c r="Q114" i="8" s="1"/>
  <c r="R114" i="8" s="1"/>
  <c r="S114" i="8"/>
  <c r="T114" i="8"/>
  <c r="U114" i="8" s="1"/>
  <c r="V114" i="8"/>
  <c r="Y114" i="8"/>
  <c r="AB114" i="8"/>
  <c r="AC114" i="8" s="1"/>
  <c r="AD114" i="8" s="1"/>
  <c r="AI114" i="8"/>
  <c r="AQ114" i="8"/>
  <c r="A115" i="8"/>
  <c r="C115" i="8" s="1"/>
  <c r="G115" i="8"/>
  <c r="J115" i="8"/>
  <c r="K115" i="8" s="1"/>
  <c r="Z115" i="8" s="1"/>
  <c r="AA115" i="8" s="1"/>
  <c r="M115" i="8"/>
  <c r="P115" i="8"/>
  <c r="S115" i="8"/>
  <c r="T115" i="8" s="1"/>
  <c r="U115" i="8"/>
  <c r="V115" i="8"/>
  <c r="Y115" i="8"/>
  <c r="AB115" i="8"/>
  <c r="AC115" i="8" s="1"/>
  <c r="AD115" i="8" s="1"/>
  <c r="AI115" i="8"/>
  <c r="AQ115" i="8"/>
  <c r="A116" i="8"/>
  <c r="C116" i="8"/>
  <c r="G116" i="8"/>
  <c r="H116" i="8"/>
  <c r="L116" i="8" s="1"/>
  <c r="J116" i="8"/>
  <c r="K116" i="8"/>
  <c r="Q116" i="8" s="1"/>
  <c r="R116" i="8" s="1"/>
  <c r="Z116" i="8"/>
  <c r="AA116" i="8" s="1"/>
  <c r="M116" i="8"/>
  <c r="P116" i="8"/>
  <c r="S116" i="8"/>
  <c r="T116" i="8"/>
  <c r="U116" i="8"/>
  <c r="V116" i="8"/>
  <c r="Y116" i="8"/>
  <c r="AB116" i="8"/>
  <c r="AC116" i="8"/>
  <c r="AD116" i="8" s="1"/>
  <c r="AI116" i="8"/>
  <c r="AQ116" i="8"/>
  <c r="A117" i="8"/>
  <c r="C117" i="8"/>
  <c r="G117" i="8"/>
  <c r="H117" i="8" s="1"/>
  <c r="L117" i="8" s="1"/>
  <c r="J117" i="8"/>
  <c r="K117" i="8" s="1"/>
  <c r="M117" i="8"/>
  <c r="P117" i="8"/>
  <c r="Q117" i="8"/>
  <c r="R117" i="8" s="1"/>
  <c r="S117" i="8"/>
  <c r="T117" i="8"/>
  <c r="U117" i="8" s="1"/>
  <c r="V117" i="8"/>
  <c r="Y117" i="8"/>
  <c r="Z117" i="8"/>
  <c r="AA117" i="8" s="1"/>
  <c r="AB117" i="8"/>
  <c r="AC117" i="8" s="1"/>
  <c r="AD117" i="8"/>
  <c r="AI117" i="8"/>
  <c r="AQ117" i="8"/>
  <c r="A118" i="8"/>
  <c r="C118" i="8" s="1"/>
  <c r="G118" i="8"/>
  <c r="H118" i="8" s="1"/>
  <c r="L118" i="8" s="1"/>
  <c r="J118" i="8"/>
  <c r="K118" i="8" s="1"/>
  <c r="M118" i="8"/>
  <c r="P118" i="8"/>
  <c r="Q118" i="8" s="1"/>
  <c r="R118" i="8" s="1"/>
  <c r="S118" i="8"/>
  <c r="T118" i="8" s="1"/>
  <c r="U118" i="8" s="1"/>
  <c r="V118" i="8"/>
  <c r="Y118" i="8"/>
  <c r="AB118" i="8"/>
  <c r="AC118" i="8" s="1"/>
  <c r="AD118" i="8" s="1"/>
  <c r="AI118" i="8"/>
  <c r="AQ118" i="8"/>
  <c r="A119" i="8"/>
  <c r="C119" i="8"/>
  <c r="G119" i="8"/>
  <c r="H119" i="8" s="1"/>
  <c r="L119" i="8"/>
  <c r="J119" i="8"/>
  <c r="K119" i="8"/>
  <c r="Q119" i="8" s="1"/>
  <c r="R119" i="8" s="1"/>
  <c r="M119" i="8"/>
  <c r="P119" i="8"/>
  <c r="S119" i="8"/>
  <c r="T119" i="8"/>
  <c r="U119" i="8" s="1"/>
  <c r="V119" i="8"/>
  <c r="Y119" i="8"/>
  <c r="Z119" i="8" s="1"/>
  <c r="AA119" i="8"/>
  <c r="AB119" i="8"/>
  <c r="AC119" i="8" s="1"/>
  <c r="AD119" i="8" s="1"/>
  <c r="AI119" i="8"/>
  <c r="AQ119" i="8"/>
  <c r="AR119" i="8" s="1"/>
  <c r="A120" i="8"/>
  <c r="C120" i="8" s="1"/>
  <c r="G120" i="8"/>
  <c r="H120" i="8" s="1"/>
  <c r="L120" i="8" s="1"/>
  <c r="J120" i="8"/>
  <c r="K120" i="8" s="1"/>
  <c r="Z120" i="8"/>
  <c r="AA120" i="8" s="1"/>
  <c r="M120" i="8"/>
  <c r="P120" i="8"/>
  <c r="Q120" i="8"/>
  <c r="R120" i="8"/>
  <c r="S120" i="8"/>
  <c r="T120" i="8" s="1"/>
  <c r="U120" i="8" s="1"/>
  <c r="V120" i="8"/>
  <c r="Y120" i="8"/>
  <c r="AB120" i="8"/>
  <c r="AC120" i="8"/>
  <c r="AD120" i="8"/>
  <c r="AI120" i="8"/>
  <c r="AQ120" i="8"/>
  <c r="A121" i="8"/>
  <c r="C121" i="8" s="1"/>
  <c r="G121" i="8"/>
  <c r="H121" i="8"/>
  <c r="J121" i="8"/>
  <c r="K121" i="8" s="1"/>
  <c r="Z121" i="8" s="1"/>
  <c r="AA121" i="8" s="1"/>
  <c r="M121" i="8"/>
  <c r="P121" i="8"/>
  <c r="Q121" i="8" s="1"/>
  <c r="R121" i="8" s="1"/>
  <c r="S121" i="8"/>
  <c r="T121" i="8" s="1"/>
  <c r="U121" i="8" s="1"/>
  <c r="V121" i="8"/>
  <c r="Y121" i="8"/>
  <c r="AB121" i="8"/>
  <c r="AC121" i="8"/>
  <c r="AD121" i="8" s="1"/>
  <c r="AI121" i="8"/>
  <c r="AQ121" i="8"/>
  <c r="A122" i="8"/>
  <c r="C122" i="8"/>
  <c r="G122" i="8"/>
  <c r="J122" i="8"/>
  <c r="K122" i="8" s="1"/>
  <c r="M122" i="8"/>
  <c r="P122" i="8"/>
  <c r="S122" i="8"/>
  <c r="T122" i="8"/>
  <c r="U122" i="8" s="1"/>
  <c r="V122" i="8"/>
  <c r="Y122" i="8"/>
  <c r="Z122" i="8" s="1"/>
  <c r="AA122" i="8" s="1"/>
  <c r="AB122" i="8"/>
  <c r="AC122" i="8" s="1"/>
  <c r="AD122" i="8" s="1"/>
  <c r="AI122" i="8"/>
  <c r="AQ122" i="8"/>
  <c r="A123" i="8"/>
  <c r="C123" i="8" s="1"/>
  <c r="G123" i="8"/>
  <c r="H123" i="8" s="1"/>
  <c r="L123" i="8" s="1"/>
  <c r="J123" i="8"/>
  <c r="K123" i="8" s="1"/>
  <c r="M123" i="8"/>
  <c r="P123" i="8"/>
  <c r="S123" i="8"/>
  <c r="T123" i="8" s="1"/>
  <c r="U123" i="8"/>
  <c r="V123" i="8"/>
  <c r="Y123" i="8"/>
  <c r="Z123" i="8" s="1"/>
  <c r="AA123" i="8" s="1"/>
  <c r="AB123" i="8"/>
  <c r="AC123" i="8" s="1"/>
  <c r="AD123" i="8" s="1"/>
  <c r="AI123" i="8"/>
  <c r="AQ123" i="8"/>
  <c r="A131" i="8"/>
  <c r="C131" i="8"/>
  <c r="H131" i="8" s="1"/>
  <c r="L131" i="8" s="1"/>
  <c r="E131" i="8" s="1"/>
  <c r="G131" i="8"/>
  <c r="J131" i="8"/>
  <c r="K131" i="8"/>
  <c r="Q131" i="8" s="1"/>
  <c r="R131" i="8" s="1"/>
  <c r="M131" i="8"/>
  <c r="P131" i="8"/>
  <c r="S131" i="8"/>
  <c r="T131" i="8" s="1"/>
  <c r="U131" i="8" s="1"/>
  <c r="V131" i="8"/>
  <c r="Y131" i="8"/>
  <c r="AB131" i="8"/>
  <c r="AC131" i="8" s="1"/>
  <c r="AI131" i="8"/>
  <c r="AQ131" i="8"/>
  <c r="A132" i="8"/>
  <c r="C132" i="8"/>
  <c r="G132" i="8"/>
  <c r="J132" i="8"/>
  <c r="K132" i="8" s="1"/>
  <c r="Q132" i="8" s="1"/>
  <c r="R132" i="8" s="1"/>
  <c r="M132" i="8"/>
  <c r="P132" i="8"/>
  <c r="S132" i="8"/>
  <c r="T132" i="8"/>
  <c r="U132" i="8" s="1"/>
  <c r="V132" i="8"/>
  <c r="Y132" i="8"/>
  <c r="AB132" i="8"/>
  <c r="AC132" i="8" s="1"/>
  <c r="AI132" i="8"/>
  <c r="AQ132" i="8"/>
  <c r="A133" i="8"/>
  <c r="C133" i="8" s="1"/>
  <c r="G133" i="8"/>
  <c r="J133" i="8"/>
  <c r="K133" i="8"/>
  <c r="Z133" i="8" s="1"/>
  <c r="M133" i="8"/>
  <c r="P133" i="8"/>
  <c r="S133" i="8"/>
  <c r="T133" i="8" s="1"/>
  <c r="U133" i="8" s="1"/>
  <c r="V133" i="8"/>
  <c r="Y133" i="8"/>
  <c r="AB133" i="8"/>
  <c r="AC133" i="8" s="1"/>
  <c r="AI133" i="8"/>
  <c r="AQ133" i="8"/>
  <c r="A134" i="8"/>
  <c r="C134" i="8" s="1"/>
  <c r="G134" i="8"/>
  <c r="H134" i="8"/>
  <c r="J134" i="8"/>
  <c r="K134" i="8"/>
  <c r="M134" i="8"/>
  <c r="P134" i="8"/>
  <c r="Q134" i="8"/>
  <c r="R134" i="8" s="1"/>
  <c r="S134" i="8"/>
  <c r="T134" i="8" s="1"/>
  <c r="U134" i="8" s="1"/>
  <c r="V134" i="8"/>
  <c r="Y134" i="8"/>
  <c r="AB134" i="8"/>
  <c r="AC134" i="8"/>
  <c r="AI134" i="8"/>
  <c r="AQ134" i="8"/>
  <c r="A135" i="8"/>
  <c r="C135" i="8"/>
  <c r="G135" i="8"/>
  <c r="J135" i="8"/>
  <c r="K135" i="8" s="1"/>
  <c r="M135" i="8"/>
  <c r="P135" i="8"/>
  <c r="S135" i="8"/>
  <c r="T135" i="8" s="1"/>
  <c r="U135" i="8"/>
  <c r="V135" i="8"/>
  <c r="Y135" i="8"/>
  <c r="Z135" i="8" s="1"/>
  <c r="AA135" i="8" s="1"/>
  <c r="AB135" i="8"/>
  <c r="AC135" i="8" s="1"/>
  <c r="AI135" i="8"/>
  <c r="AQ135" i="8"/>
  <c r="A136" i="8"/>
  <c r="C136" i="8"/>
  <c r="G136" i="8"/>
  <c r="H136" i="8"/>
  <c r="L136" i="8" s="1"/>
  <c r="J136" i="8"/>
  <c r="K136" i="8" s="1"/>
  <c r="M136" i="8"/>
  <c r="P136" i="8"/>
  <c r="S136" i="8"/>
  <c r="T136" i="8" s="1"/>
  <c r="U136" i="8"/>
  <c r="V136" i="8"/>
  <c r="Y136" i="8"/>
  <c r="AB136" i="8"/>
  <c r="AC136" i="8" s="1"/>
  <c r="AI136" i="8"/>
  <c r="AQ136" i="8"/>
  <c r="A137" i="8"/>
  <c r="C137" i="8"/>
  <c r="G137" i="8"/>
  <c r="H137" i="8" s="1"/>
  <c r="L137" i="8" s="1"/>
  <c r="J137" i="8"/>
  <c r="K137" i="8"/>
  <c r="M137" i="8"/>
  <c r="P137" i="8"/>
  <c r="Q137" i="8" s="1"/>
  <c r="R137" i="8" s="1"/>
  <c r="S137" i="8"/>
  <c r="T137" i="8"/>
  <c r="U137" i="8" s="1"/>
  <c r="V137" i="8"/>
  <c r="Y137" i="8"/>
  <c r="Z137" i="8" s="1"/>
  <c r="AB137" i="8"/>
  <c r="AC137" i="8" s="1"/>
  <c r="AI137" i="8"/>
  <c r="AQ137" i="8"/>
  <c r="A138" i="8"/>
  <c r="C138" i="8" s="1"/>
  <c r="G138" i="8"/>
  <c r="H138" i="8" s="1"/>
  <c r="L138" i="8" s="1"/>
  <c r="J138" i="8"/>
  <c r="K138" i="8" s="1"/>
  <c r="M138" i="8"/>
  <c r="P138" i="8"/>
  <c r="S138" i="8"/>
  <c r="T138" i="8"/>
  <c r="U138" i="8"/>
  <c r="V138" i="8"/>
  <c r="Y138" i="8"/>
  <c r="Z138" i="8" s="1"/>
  <c r="AB138" i="8"/>
  <c r="AC138" i="8" s="1"/>
  <c r="AD138" i="8"/>
  <c r="AI138" i="8"/>
  <c r="AQ138" i="8"/>
  <c r="A139" i="8"/>
  <c r="C139" i="8" s="1"/>
  <c r="H139" i="8" s="1"/>
  <c r="G139" i="8"/>
  <c r="J139" i="8"/>
  <c r="K139" i="8" s="1"/>
  <c r="M139" i="8"/>
  <c r="P139" i="8"/>
  <c r="S139" i="8"/>
  <c r="T139" i="8"/>
  <c r="U139" i="8"/>
  <c r="V139" i="8"/>
  <c r="Y139" i="8"/>
  <c r="AB139" i="8"/>
  <c r="AC139" i="8"/>
  <c r="AI139" i="8"/>
  <c r="AQ139" i="8"/>
  <c r="A140" i="8"/>
  <c r="C140" i="8"/>
  <c r="G140" i="8"/>
  <c r="J140" i="8"/>
  <c r="K140" i="8" s="1"/>
  <c r="M140" i="8"/>
  <c r="P140" i="8"/>
  <c r="S140" i="8"/>
  <c r="T140" i="8"/>
  <c r="U140" i="8"/>
  <c r="V140" i="8"/>
  <c r="Y140" i="8"/>
  <c r="AB140" i="8"/>
  <c r="AC140" i="8" s="1"/>
  <c r="AI140" i="8"/>
  <c r="AQ140" i="8"/>
  <c r="A141" i="8"/>
  <c r="C141" i="8"/>
  <c r="H141" i="8" s="1"/>
  <c r="L141" i="8" s="1"/>
  <c r="G141" i="8"/>
  <c r="J141" i="8"/>
  <c r="K141" i="8" s="1"/>
  <c r="M141" i="8"/>
  <c r="P141" i="8"/>
  <c r="Q141" i="8"/>
  <c r="R141" i="8" s="1"/>
  <c r="S141" i="8"/>
  <c r="T141" i="8" s="1"/>
  <c r="U141" i="8" s="1"/>
  <c r="V141" i="8"/>
  <c r="Y141" i="8"/>
  <c r="Z141" i="8" s="1"/>
  <c r="AB141" i="8"/>
  <c r="AC141" i="8"/>
  <c r="AI141" i="8"/>
  <c r="AQ141" i="8"/>
  <c r="A142" i="8"/>
  <c r="C142" i="8" s="1"/>
  <c r="H142" i="8" s="1"/>
  <c r="L142" i="8" s="1"/>
  <c r="G142" i="8"/>
  <c r="J142" i="8"/>
  <c r="K142" i="8"/>
  <c r="M142" i="8"/>
  <c r="P142" i="8"/>
  <c r="Q142" i="8" s="1"/>
  <c r="R142" i="8" s="1"/>
  <c r="S142" i="8"/>
  <c r="T142" i="8" s="1"/>
  <c r="U142" i="8" s="1"/>
  <c r="V142" i="8"/>
  <c r="Y142" i="8"/>
  <c r="Z142" i="8"/>
  <c r="AB142" i="8"/>
  <c r="AC142" i="8" s="1"/>
  <c r="AI142" i="8"/>
  <c r="AQ142" i="8"/>
  <c r="A143" i="8"/>
  <c r="C143" i="8" s="1"/>
  <c r="G143" i="8"/>
  <c r="J143" i="8"/>
  <c r="K143" i="8" s="1"/>
  <c r="M143" i="8"/>
  <c r="P143" i="8"/>
  <c r="Q143" i="8" s="1"/>
  <c r="R143" i="8" s="1"/>
  <c r="S143" i="8"/>
  <c r="T143" i="8" s="1"/>
  <c r="U143" i="8"/>
  <c r="V143" i="8"/>
  <c r="Y143" i="8"/>
  <c r="Z143" i="8" s="1"/>
  <c r="AA143" i="8" s="1"/>
  <c r="AB143" i="8"/>
  <c r="AC143" i="8"/>
  <c r="AI143" i="8"/>
  <c r="AQ143" i="8"/>
  <c r="A144" i="8"/>
  <c r="C144" i="8" s="1"/>
  <c r="G144" i="8"/>
  <c r="H144" i="8"/>
  <c r="L144" i="8" s="1"/>
  <c r="J144" i="8"/>
  <c r="K144" i="8" s="1"/>
  <c r="Z144" i="8" s="1"/>
  <c r="AA144" i="8" s="1"/>
  <c r="M144" i="8"/>
  <c r="P144" i="8"/>
  <c r="S144" i="8"/>
  <c r="T144" i="8"/>
  <c r="U144" i="8"/>
  <c r="V144" i="8"/>
  <c r="Y144" i="8"/>
  <c r="AB144" i="8"/>
  <c r="AC144" i="8" s="1"/>
  <c r="AI144" i="8"/>
  <c r="AQ144" i="8"/>
  <c r="A145" i="8"/>
  <c r="C145" i="8"/>
  <c r="H145" i="8" s="1"/>
  <c r="L145" i="8" s="1"/>
  <c r="G145" i="8"/>
  <c r="J145" i="8"/>
  <c r="K145" i="8"/>
  <c r="Z145" i="8" s="1"/>
  <c r="AA145" i="8" s="1"/>
  <c r="M145" i="8"/>
  <c r="P145" i="8"/>
  <c r="S145" i="8"/>
  <c r="T145" i="8" s="1"/>
  <c r="U145" i="8" s="1"/>
  <c r="V145" i="8"/>
  <c r="Y145" i="8"/>
  <c r="AB145" i="8"/>
  <c r="AC145" i="8" s="1"/>
  <c r="AD145" i="8" s="1"/>
  <c r="AI145" i="8"/>
  <c r="AQ145" i="8"/>
  <c r="A146" i="8"/>
  <c r="C146" i="8" s="1"/>
  <c r="G146" i="8"/>
  <c r="J146" i="8"/>
  <c r="K146" i="8"/>
  <c r="M146" i="8"/>
  <c r="P146" i="8"/>
  <c r="Q146" i="8" s="1"/>
  <c r="R146" i="8" s="1"/>
  <c r="S146" i="8"/>
  <c r="T146" i="8" s="1"/>
  <c r="U146" i="8" s="1"/>
  <c r="V146" i="8"/>
  <c r="Y146" i="8"/>
  <c r="Z146" i="8"/>
  <c r="AA146" i="8" s="1"/>
  <c r="AB146" i="8"/>
  <c r="AC146" i="8"/>
  <c r="AD146" i="8" s="1"/>
  <c r="AI146" i="8"/>
  <c r="AQ146" i="8"/>
  <c r="A147" i="8"/>
  <c r="C147" i="8"/>
  <c r="G147" i="8"/>
  <c r="H147" i="8"/>
  <c r="L147" i="8" s="1"/>
  <c r="E147" i="8" s="1"/>
  <c r="J147" i="8"/>
  <c r="K147" i="8" s="1"/>
  <c r="Q147" i="8" s="1"/>
  <c r="R147" i="8" s="1"/>
  <c r="Z147" i="8"/>
  <c r="AA147" i="8" s="1"/>
  <c r="M147" i="8"/>
  <c r="P147" i="8"/>
  <c r="S147" i="8"/>
  <c r="T147" i="8" s="1"/>
  <c r="U147" i="8" s="1"/>
  <c r="V147" i="8"/>
  <c r="Y147" i="8"/>
  <c r="AB147" i="8"/>
  <c r="AC147" i="8"/>
  <c r="AD147" i="8" s="1"/>
  <c r="AI147" i="8"/>
  <c r="AQ147" i="8"/>
  <c r="A148" i="8"/>
  <c r="C148" i="8" s="1"/>
  <c r="G148" i="8"/>
  <c r="H148" i="8" s="1"/>
  <c r="L148" i="8" s="1"/>
  <c r="J148" i="8"/>
  <c r="K148" i="8" s="1"/>
  <c r="Q148" i="8" s="1"/>
  <c r="R148" i="8" s="1"/>
  <c r="M148" i="8"/>
  <c r="P148" i="8"/>
  <c r="S148" i="8"/>
  <c r="T148" i="8"/>
  <c r="U148" i="8"/>
  <c r="V148" i="8"/>
  <c r="Y148" i="8"/>
  <c r="AB148" i="8"/>
  <c r="AC148" i="8" s="1"/>
  <c r="AD148" i="8"/>
  <c r="AI148" i="8"/>
  <c r="AQ148" i="8"/>
  <c r="A149" i="8"/>
  <c r="C149" i="8" s="1"/>
  <c r="H149" i="8" s="1"/>
  <c r="L149" i="8" s="1"/>
  <c r="G149" i="8"/>
  <c r="J149" i="8"/>
  <c r="K149" i="8"/>
  <c r="Z149" i="8"/>
  <c r="AA149" i="8" s="1"/>
  <c r="M149" i="8"/>
  <c r="P149" i="8"/>
  <c r="Q149" i="8" s="1"/>
  <c r="R149" i="8" s="1"/>
  <c r="S149" i="8"/>
  <c r="T149" i="8" s="1"/>
  <c r="U149" i="8" s="1"/>
  <c r="V149" i="8"/>
  <c r="Y149" i="8"/>
  <c r="AB149" i="8"/>
  <c r="AC149" i="8" s="1"/>
  <c r="AD149" i="8" s="1"/>
  <c r="AI149" i="8"/>
  <c r="AQ149" i="8"/>
  <c r="A150" i="8"/>
  <c r="C150" i="8"/>
  <c r="G150" i="8"/>
  <c r="J150" i="8"/>
  <c r="K150" i="8"/>
  <c r="M150" i="8"/>
  <c r="P150" i="8"/>
  <c r="Q150" i="8"/>
  <c r="R150" i="8" s="1"/>
  <c r="S150" i="8"/>
  <c r="T150" i="8"/>
  <c r="U150" i="8" s="1"/>
  <c r="V150" i="8"/>
  <c r="Y150" i="8"/>
  <c r="Z150" i="8"/>
  <c r="AA150" i="8" s="1"/>
  <c r="AB150" i="8"/>
  <c r="AC150" i="8"/>
  <c r="AD150" i="8" s="1"/>
  <c r="AI150" i="8"/>
  <c r="AQ150" i="8"/>
  <c r="A151" i="8"/>
  <c r="C151" i="8"/>
  <c r="G151" i="8"/>
  <c r="H151" i="8"/>
  <c r="L151" i="8"/>
  <c r="J151" i="8"/>
  <c r="K151" i="8" s="1"/>
  <c r="Z151" i="8" s="1"/>
  <c r="AA151" i="8" s="1"/>
  <c r="M151" i="8"/>
  <c r="P151" i="8"/>
  <c r="S151" i="8"/>
  <c r="T151" i="8" s="1"/>
  <c r="U151" i="8"/>
  <c r="V151" i="8"/>
  <c r="Y151" i="8"/>
  <c r="AB151" i="8"/>
  <c r="AC151" i="8"/>
  <c r="AD151" i="8" s="1"/>
  <c r="AI151" i="8"/>
  <c r="AQ151" i="8"/>
  <c r="A152" i="8"/>
  <c r="C152" i="8"/>
  <c r="G152" i="8"/>
  <c r="J152" i="8"/>
  <c r="K152" i="8"/>
  <c r="M152" i="8"/>
  <c r="P152" i="8"/>
  <c r="Q152" i="8"/>
  <c r="R152" i="8" s="1"/>
  <c r="S152" i="8"/>
  <c r="T152" i="8"/>
  <c r="U152" i="8" s="1"/>
  <c r="V152" i="8"/>
  <c r="Y152" i="8"/>
  <c r="Z152" i="8"/>
  <c r="AA152" i="8"/>
  <c r="AB152" i="8"/>
  <c r="AC152" i="8" s="1"/>
  <c r="AD152" i="8"/>
  <c r="AI152" i="8"/>
  <c r="AQ152" i="8"/>
  <c r="A153" i="8"/>
  <c r="C153" i="8"/>
  <c r="G153" i="8"/>
  <c r="H153" i="8" s="1"/>
  <c r="J153" i="8"/>
  <c r="K153" i="8" s="1"/>
  <c r="M153" i="8"/>
  <c r="P153" i="8"/>
  <c r="Q153" i="8"/>
  <c r="R153" i="8" s="1"/>
  <c r="S153" i="8"/>
  <c r="T153" i="8"/>
  <c r="U153" i="8" s="1"/>
  <c r="V153" i="8"/>
  <c r="Y153" i="8"/>
  <c r="Z153" i="8" s="1"/>
  <c r="AA153" i="8" s="1"/>
  <c r="AB153" i="8"/>
  <c r="AC153" i="8"/>
  <c r="AD153" i="8" s="1"/>
  <c r="AI153" i="8"/>
  <c r="AQ153" i="8"/>
  <c r="A154" i="8"/>
  <c r="C154" i="8" s="1"/>
  <c r="G154" i="8"/>
  <c r="H154" i="8"/>
  <c r="L154" i="8"/>
  <c r="J154" i="8"/>
  <c r="K154" i="8" s="1"/>
  <c r="M154" i="8"/>
  <c r="P154" i="8"/>
  <c r="Q154" i="8" s="1"/>
  <c r="R154" i="8" s="1"/>
  <c r="S154" i="8"/>
  <c r="T154" i="8" s="1"/>
  <c r="U154" i="8" s="1"/>
  <c r="V154" i="8"/>
  <c r="Y154" i="8"/>
  <c r="Z154" i="8" s="1"/>
  <c r="AA154" i="8" s="1"/>
  <c r="AB154" i="8"/>
  <c r="AC154" i="8" s="1"/>
  <c r="AD154" i="8"/>
  <c r="AI154" i="8"/>
  <c r="AQ154" i="8"/>
  <c r="A155" i="8"/>
  <c r="C155" i="8" s="1"/>
  <c r="H155" i="8" s="1"/>
  <c r="L155" i="8" s="1"/>
  <c r="E155" i="8" s="1"/>
  <c r="G155" i="8"/>
  <c r="J155" i="8"/>
  <c r="K155" i="8" s="1"/>
  <c r="Q155" i="8" s="1"/>
  <c r="R155" i="8" s="1"/>
  <c r="Z155" i="8"/>
  <c r="AA155" i="8" s="1"/>
  <c r="M155" i="8"/>
  <c r="P155" i="8"/>
  <c r="S155" i="8"/>
  <c r="T155" i="8"/>
  <c r="U155" i="8" s="1"/>
  <c r="V155" i="8"/>
  <c r="Y155" i="8"/>
  <c r="AB155" i="8"/>
  <c r="AC155" i="8"/>
  <c r="AD155" i="8" s="1"/>
  <c r="AI155" i="8"/>
  <c r="AQ155" i="8"/>
  <c r="A156" i="8"/>
  <c r="C156" i="8" s="1"/>
  <c r="G156" i="8"/>
  <c r="J156" i="8"/>
  <c r="K156" i="8" s="1"/>
  <c r="M156" i="8"/>
  <c r="P156" i="8"/>
  <c r="Q156" i="8" s="1"/>
  <c r="R156" i="8" s="1"/>
  <c r="S156" i="8"/>
  <c r="T156" i="8"/>
  <c r="U156" i="8"/>
  <c r="V156" i="8"/>
  <c r="Y156" i="8"/>
  <c r="Z156" i="8" s="1"/>
  <c r="AA156" i="8" s="1"/>
  <c r="AB156" i="8"/>
  <c r="AC156" i="8" s="1"/>
  <c r="AD156" i="8" s="1"/>
  <c r="AI156" i="8"/>
  <c r="AQ156" i="8"/>
  <c r="A157" i="8"/>
  <c r="C157" i="8"/>
  <c r="H157" i="8" s="1"/>
  <c r="L157" i="8" s="1"/>
  <c r="G157" i="8"/>
  <c r="J157" i="8"/>
  <c r="K157" i="8" s="1"/>
  <c r="AA157" i="8"/>
  <c r="M157" i="8"/>
  <c r="P157" i="8"/>
  <c r="Q157" i="8"/>
  <c r="R157" i="8" s="1"/>
  <c r="S157" i="8"/>
  <c r="T157" i="8" s="1"/>
  <c r="U157" i="8" s="1"/>
  <c r="V157" i="8"/>
  <c r="Y157" i="8"/>
  <c r="Z157" i="8" s="1"/>
  <c r="AB157" i="8"/>
  <c r="AC157" i="8"/>
  <c r="AD157" i="8" s="1"/>
  <c r="AI157" i="8"/>
  <c r="AQ157" i="8"/>
  <c r="A158" i="8"/>
  <c r="C158" i="8" s="1"/>
  <c r="H158" i="8" s="1"/>
  <c r="L158" i="8" s="1"/>
  <c r="G158" i="8"/>
  <c r="J158" i="8"/>
  <c r="K158" i="8"/>
  <c r="M158" i="8"/>
  <c r="P158" i="8"/>
  <c r="S158" i="8"/>
  <c r="T158" i="8" s="1"/>
  <c r="U158" i="8" s="1"/>
  <c r="V158" i="8"/>
  <c r="Y158" i="8"/>
  <c r="Z158" i="8"/>
  <c r="AA158" i="8" s="1"/>
  <c r="AB158" i="8"/>
  <c r="AC158" i="8" s="1"/>
  <c r="AD158" i="8"/>
  <c r="AI158" i="8"/>
  <c r="AQ158" i="8"/>
  <c r="A159" i="8"/>
  <c r="C159" i="8"/>
  <c r="G159" i="8"/>
  <c r="J159" i="8"/>
  <c r="K159" i="8" s="1"/>
  <c r="AA159" i="8"/>
  <c r="M159" i="8"/>
  <c r="P159" i="8"/>
  <c r="Q159" i="8"/>
  <c r="R159" i="8" s="1"/>
  <c r="S159" i="8"/>
  <c r="T159" i="8" s="1"/>
  <c r="U159" i="8"/>
  <c r="V159" i="8"/>
  <c r="Y159" i="8"/>
  <c r="Z159" i="8" s="1"/>
  <c r="AB159" i="8"/>
  <c r="AC159" i="8"/>
  <c r="AD159" i="8" s="1"/>
  <c r="AI159" i="8"/>
  <c r="AQ159" i="8"/>
  <c r="A167" i="8"/>
  <c r="C167" i="8" s="1"/>
  <c r="G167" i="8"/>
  <c r="H167" i="8" s="1"/>
  <c r="L167" i="8" s="1"/>
  <c r="J167" i="8"/>
  <c r="K167" i="8" s="1"/>
  <c r="M167" i="8"/>
  <c r="P167" i="8"/>
  <c r="Q167" i="8" s="1"/>
  <c r="R167" i="8" s="1"/>
  <c r="S167" i="8"/>
  <c r="T167" i="8"/>
  <c r="U167" i="8" s="1"/>
  <c r="V167" i="8"/>
  <c r="Y167" i="8"/>
  <c r="AB167" i="8"/>
  <c r="AC167" i="8"/>
  <c r="AI167" i="8"/>
  <c r="AQ167" i="8"/>
  <c r="A168" i="8"/>
  <c r="C168" i="8" s="1"/>
  <c r="G168" i="8"/>
  <c r="J168" i="8"/>
  <c r="K168" i="8" s="1"/>
  <c r="Z168" i="8"/>
  <c r="M168" i="8"/>
  <c r="P168" i="8"/>
  <c r="Q168" i="8" s="1"/>
  <c r="R168" i="8" s="1"/>
  <c r="S168" i="8"/>
  <c r="T168" i="8"/>
  <c r="U168" i="8" s="1"/>
  <c r="V168" i="8"/>
  <c r="Y168" i="8"/>
  <c r="AB168" i="8"/>
  <c r="AC168" i="8" s="1"/>
  <c r="AI168" i="8"/>
  <c r="AQ168" i="8"/>
  <c r="A169" i="8"/>
  <c r="C169" i="8" s="1"/>
  <c r="G169" i="8"/>
  <c r="J169" i="8"/>
  <c r="K169" i="8"/>
  <c r="M169" i="8"/>
  <c r="P169" i="8"/>
  <c r="Q169" i="8"/>
  <c r="R169" i="8" s="1"/>
  <c r="S169" i="8"/>
  <c r="T169" i="8" s="1"/>
  <c r="U169" i="8" s="1"/>
  <c r="V169" i="8"/>
  <c r="Y169" i="8"/>
  <c r="AB169" i="8"/>
  <c r="AC169" i="8" s="1"/>
  <c r="AI169" i="8"/>
  <c r="AQ169" i="8"/>
  <c r="A170" i="8"/>
  <c r="C170" i="8"/>
  <c r="G170" i="8"/>
  <c r="J170" i="8"/>
  <c r="K170" i="8"/>
  <c r="M170" i="8"/>
  <c r="P170" i="8"/>
  <c r="Q170" i="8" s="1"/>
  <c r="R170" i="8" s="1"/>
  <c r="S170" i="8"/>
  <c r="T170" i="8"/>
  <c r="U170" i="8"/>
  <c r="V170" i="8"/>
  <c r="Y170" i="8"/>
  <c r="Z170" i="8" s="1"/>
  <c r="AB170" i="8"/>
  <c r="AC170" i="8" s="1"/>
  <c r="AD170" i="8" s="1"/>
  <c r="AI170" i="8"/>
  <c r="AQ170" i="8"/>
  <c r="A171" i="8"/>
  <c r="C171" i="8"/>
  <c r="G171" i="8"/>
  <c r="J171" i="8"/>
  <c r="K171" i="8" s="1"/>
  <c r="M171" i="8"/>
  <c r="P171" i="8"/>
  <c r="Q171" i="8" s="1"/>
  <c r="R171" i="8" s="1"/>
  <c r="S171" i="8"/>
  <c r="T171" i="8" s="1"/>
  <c r="U171" i="8" s="1"/>
  <c r="V171" i="8"/>
  <c r="Y171" i="8"/>
  <c r="Z171" i="8"/>
  <c r="AB171" i="8"/>
  <c r="AC171" i="8"/>
  <c r="AI171" i="8"/>
  <c r="AQ171" i="8"/>
  <c r="A172" i="8"/>
  <c r="C172" i="8"/>
  <c r="G172" i="8"/>
  <c r="H172" i="8"/>
  <c r="J172" i="8"/>
  <c r="K172" i="8" s="1"/>
  <c r="M172" i="8"/>
  <c r="P172" i="8"/>
  <c r="S172" i="8"/>
  <c r="T172" i="8" s="1"/>
  <c r="U172" i="8" s="1"/>
  <c r="V172" i="8"/>
  <c r="Y172" i="8"/>
  <c r="AB172" i="8"/>
  <c r="AC172" i="8"/>
  <c r="AI172" i="8"/>
  <c r="AQ172" i="8"/>
  <c r="A173" i="8"/>
  <c r="C173" i="8"/>
  <c r="G173" i="8"/>
  <c r="H173" i="8" s="1"/>
  <c r="L173" i="8" s="1"/>
  <c r="J173" i="8"/>
  <c r="K173" i="8"/>
  <c r="Q173" i="8" s="1"/>
  <c r="M173" i="8"/>
  <c r="P173" i="8"/>
  <c r="R173" i="8"/>
  <c r="S173" i="8"/>
  <c r="T173" i="8"/>
  <c r="U173" i="8" s="1"/>
  <c r="V173" i="8"/>
  <c r="Y173" i="8"/>
  <c r="Z173" i="8" s="1"/>
  <c r="AB173" i="8"/>
  <c r="AC173" i="8"/>
  <c r="AI173" i="8"/>
  <c r="AQ173" i="8"/>
  <c r="A174" i="8"/>
  <c r="C174" i="8" s="1"/>
  <c r="G174" i="8"/>
  <c r="J174" i="8"/>
  <c r="K174" i="8" s="1"/>
  <c r="Z174" i="8"/>
  <c r="M174" i="8"/>
  <c r="P174" i="8"/>
  <c r="Q174" i="8" s="1"/>
  <c r="R174" i="8" s="1"/>
  <c r="S174" i="8"/>
  <c r="T174" i="8" s="1"/>
  <c r="U174" i="8"/>
  <c r="V174" i="8"/>
  <c r="Y174" i="8"/>
  <c r="AB174" i="8"/>
  <c r="AC174" i="8" s="1"/>
  <c r="AI174" i="8"/>
  <c r="AQ174" i="8"/>
  <c r="A175" i="8"/>
  <c r="C175" i="8" s="1"/>
  <c r="H175" i="8" s="1"/>
  <c r="L175" i="8" s="1"/>
  <c r="G175" i="8"/>
  <c r="J175" i="8"/>
  <c r="K175" i="8"/>
  <c r="M175" i="8"/>
  <c r="P175" i="8"/>
  <c r="Q175" i="8" s="1"/>
  <c r="R175" i="8" s="1"/>
  <c r="S175" i="8"/>
  <c r="T175" i="8" s="1"/>
  <c r="U175" i="8" s="1"/>
  <c r="V175" i="8"/>
  <c r="Y175" i="8"/>
  <c r="AB175" i="8"/>
  <c r="AC175" i="8"/>
  <c r="AD175" i="8" s="1"/>
  <c r="AI175" i="8"/>
  <c r="AQ175" i="8"/>
  <c r="A176" i="8"/>
  <c r="C176" i="8" s="1"/>
  <c r="G176" i="8"/>
  <c r="H176" i="8" s="1"/>
  <c r="J176" i="8"/>
  <c r="K176" i="8"/>
  <c r="L176" i="8" s="1"/>
  <c r="M176" i="8"/>
  <c r="P176" i="8"/>
  <c r="S176" i="8"/>
  <c r="T176" i="8"/>
  <c r="U176" i="8"/>
  <c r="V176" i="8"/>
  <c r="Y176" i="8"/>
  <c r="Z176" i="8" s="1"/>
  <c r="AB176" i="8"/>
  <c r="AC176" i="8" s="1"/>
  <c r="AI176" i="8"/>
  <c r="AQ176" i="8"/>
  <c r="A177" i="8"/>
  <c r="C177" i="8"/>
  <c r="H177" i="8" s="1"/>
  <c r="L177" i="8" s="1"/>
  <c r="G177" i="8"/>
  <c r="J177" i="8"/>
  <c r="K177" i="8" s="1"/>
  <c r="M177" i="8"/>
  <c r="P177" i="8"/>
  <c r="Q177" i="8" s="1"/>
  <c r="R177" i="8" s="1"/>
  <c r="S177" i="8"/>
  <c r="T177" i="8" s="1"/>
  <c r="U177" i="8"/>
  <c r="V177" i="8"/>
  <c r="Y177" i="8"/>
  <c r="Z177" i="8"/>
  <c r="AB177" i="8"/>
  <c r="AC177" i="8" s="1"/>
  <c r="AI177" i="8"/>
  <c r="AQ177" i="8"/>
  <c r="A178" i="8"/>
  <c r="C178" i="8" s="1"/>
  <c r="G178" i="8"/>
  <c r="H178" i="8"/>
  <c r="L178" i="8"/>
  <c r="J178" i="8"/>
  <c r="K178" i="8"/>
  <c r="Z178" i="8"/>
  <c r="M178" i="8"/>
  <c r="P178" i="8"/>
  <c r="Q178" i="8"/>
  <c r="R178" i="8" s="1"/>
  <c r="S178" i="8"/>
  <c r="T178" i="8"/>
  <c r="U178" i="8"/>
  <c r="V178" i="8"/>
  <c r="Y178" i="8"/>
  <c r="AB178" i="8"/>
  <c r="AC178" i="8"/>
  <c r="AI178" i="8"/>
  <c r="AQ178" i="8"/>
  <c r="A179" i="8"/>
  <c r="C179" i="8"/>
  <c r="H179" i="8" s="1"/>
  <c r="L179" i="8" s="1"/>
  <c r="G179" i="8"/>
  <c r="J179" i="8"/>
  <c r="K179" i="8" s="1"/>
  <c r="Q179" i="8" s="1"/>
  <c r="R179" i="8" s="1"/>
  <c r="M179" i="8"/>
  <c r="P179" i="8"/>
  <c r="S179" i="8"/>
  <c r="T179" i="8"/>
  <c r="U179" i="8" s="1"/>
  <c r="V179" i="8"/>
  <c r="Y179" i="8"/>
  <c r="AB179" i="8"/>
  <c r="AC179" i="8" s="1"/>
  <c r="AI179" i="8"/>
  <c r="AQ179" i="8"/>
  <c r="A180" i="8"/>
  <c r="C180" i="8" s="1"/>
  <c r="G180" i="8"/>
  <c r="H180" i="8"/>
  <c r="L180" i="8" s="1"/>
  <c r="J180" i="8"/>
  <c r="K180" i="8"/>
  <c r="Q180" i="8" s="1"/>
  <c r="R180" i="8" s="1"/>
  <c r="M180" i="8"/>
  <c r="P180" i="8"/>
  <c r="S180" i="8"/>
  <c r="T180" i="8"/>
  <c r="U180" i="8" s="1"/>
  <c r="V180" i="8"/>
  <c r="Y180" i="8"/>
  <c r="AB180" i="8"/>
  <c r="AC180" i="8" s="1"/>
  <c r="AI180" i="8"/>
  <c r="AQ180" i="8"/>
  <c r="A181" i="8"/>
  <c r="C181" i="8"/>
  <c r="G181" i="8"/>
  <c r="H181" i="8"/>
  <c r="L181" i="8" s="1"/>
  <c r="J181" i="8"/>
  <c r="K181" i="8"/>
  <c r="Q181" i="8" s="1"/>
  <c r="R181" i="8" s="1"/>
  <c r="M181" i="8"/>
  <c r="P181" i="8"/>
  <c r="S181" i="8"/>
  <c r="T181" i="8" s="1"/>
  <c r="U181" i="8" s="1"/>
  <c r="V181" i="8"/>
  <c r="Y181" i="8"/>
  <c r="AB181" i="8"/>
  <c r="AC181" i="8"/>
  <c r="AI181" i="8"/>
  <c r="AQ181" i="8"/>
  <c r="A182" i="8"/>
  <c r="C182" i="8" s="1"/>
  <c r="H182" i="8" s="1"/>
  <c r="L182" i="8" s="1"/>
  <c r="G182" i="8"/>
  <c r="J182" i="8"/>
  <c r="K182" i="8"/>
  <c r="Z182" i="8" s="1"/>
  <c r="AA182" i="8" s="1"/>
  <c r="M182" i="8"/>
  <c r="P182" i="8"/>
  <c r="Q182" i="8"/>
  <c r="R182" i="8"/>
  <c r="S182" i="8"/>
  <c r="T182" i="8" s="1"/>
  <c r="U182" i="8" s="1"/>
  <c r="V182" i="8"/>
  <c r="Y182" i="8"/>
  <c r="AB182" i="8"/>
  <c r="AC182" i="8"/>
  <c r="AD182" i="8" s="1"/>
  <c r="AI182" i="8"/>
  <c r="AQ182" i="8"/>
  <c r="A183" i="8"/>
  <c r="C183" i="8"/>
  <c r="H183" i="8" s="1"/>
  <c r="L183" i="8" s="1"/>
  <c r="G183" i="8"/>
  <c r="J183" i="8"/>
  <c r="K183" i="8"/>
  <c r="Q183" i="8" s="1"/>
  <c r="R183" i="8" s="1"/>
  <c r="M183" i="8"/>
  <c r="P183" i="8"/>
  <c r="S183" i="8"/>
  <c r="T183" i="8" s="1"/>
  <c r="U183" i="8"/>
  <c r="V183" i="8"/>
  <c r="Y183" i="8"/>
  <c r="AB183" i="8"/>
  <c r="AC183" i="8"/>
  <c r="AD183" i="8" s="1"/>
  <c r="AI183" i="8"/>
  <c r="AQ183" i="8"/>
  <c r="A184" i="8"/>
  <c r="C184" i="8"/>
  <c r="G184" i="8"/>
  <c r="J184" i="8"/>
  <c r="K184" i="8" s="1"/>
  <c r="Z184" i="8"/>
  <c r="AA184" i="8" s="1"/>
  <c r="M184" i="8"/>
  <c r="P184" i="8"/>
  <c r="S184" i="8"/>
  <c r="T184" i="8"/>
  <c r="U184" i="8" s="1"/>
  <c r="V184" i="8"/>
  <c r="Y184" i="8"/>
  <c r="AB184" i="8"/>
  <c r="AC184" i="8" s="1"/>
  <c r="AD184" i="8" s="1"/>
  <c r="AI184" i="8"/>
  <c r="AQ184" i="8"/>
  <c r="A185" i="8"/>
  <c r="C185" i="8" s="1"/>
  <c r="G185" i="8"/>
  <c r="H185" i="8" s="1"/>
  <c r="L185" i="8" s="1"/>
  <c r="J185" i="8"/>
  <c r="K185" i="8" s="1"/>
  <c r="Q185" i="8" s="1"/>
  <c r="R185" i="8" s="1"/>
  <c r="M185" i="8"/>
  <c r="P185" i="8"/>
  <c r="S185" i="8"/>
  <c r="T185" i="8" s="1"/>
  <c r="U185" i="8"/>
  <c r="V185" i="8"/>
  <c r="Y185" i="8"/>
  <c r="Z185" i="8" s="1"/>
  <c r="AA185" i="8" s="1"/>
  <c r="AB185" i="8"/>
  <c r="AC185" i="8" s="1"/>
  <c r="AD185" i="8" s="1"/>
  <c r="AI185" i="8"/>
  <c r="AQ185" i="8"/>
  <c r="A186" i="8"/>
  <c r="C186" i="8"/>
  <c r="H186" i="8" s="1"/>
  <c r="G186" i="8"/>
  <c r="J186" i="8"/>
  <c r="K186" i="8"/>
  <c r="Q186" i="8" s="1"/>
  <c r="R186" i="8" s="1"/>
  <c r="Z186" i="8"/>
  <c r="AA186" i="8" s="1"/>
  <c r="M186" i="8"/>
  <c r="P186" i="8"/>
  <c r="S186" i="8"/>
  <c r="T186" i="8"/>
  <c r="U186" i="8"/>
  <c r="V186" i="8"/>
  <c r="Y186" i="8"/>
  <c r="AB186" i="8"/>
  <c r="AC186" i="8"/>
  <c r="AD186" i="8"/>
  <c r="AI186" i="8"/>
  <c r="AQ186" i="8"/>
  <c r="A187" i="8"/>
  <c r="C187" i="8"/>
  <c r="G187" i="8"/>
  <c r="J187" i="8"/>
  <c r="K187" i="8" s="1"/>
  <c r="M187" i="8"/>
  <c r="P187" i="8"/>
  <c r="Q187" i="8" s="1"/>
  <c r="R187" i="8" s="1"/>
  <c r="S187" i="8"/>
  <c r="T187" i="8" s="1"/>
  <c r="U187" i="8" s="1"/>
  <c r="V187" i="8"/>
  <c r="Y187" i="8"/>
  <c r="Z187" i="8"/>
  <c r="AA187" i="8"/>
  <c r="AB187" i="8"/>
  <c r="AC187" i="8" s="1"/>
  <c r="AD187" i="8" s="1"/>
  <c r="AI187" i="8"/>
  <c r="AQ187" i="8"/>
  <c r="A188" i="8"/>
  <c r="C188" i="8"/>
  <c r="H188" i="8" s="1"/>
  <c r="L188" i="8" s="1"/>
  <c r="G188" i="8"/>
  <c r="J188" i="8"/>
  <c r="K188" i="8"/>
  <c r="M188" i="8"/>
  <c r="P188" i="8"/>
  <c r="Q188" i="8" s="1"/>
  <c r="R188" i="8" s="1"/>
  <c r="S188" i="8"/>
  <c r="T188" i="8" s="1"/>
  <c r="U188" i="8" s="1"/>
  <c r="V188" i="8"/>
  <c r="Y188" i="8"/>
  <c r="Z188" i="8" s="1"/>
  <c r="AA188" i="8" s="1"/>
  <c r="AB188" i="8"/>
  <c r="AC188" i="8"/>
  <c r="AD188" i="8"/>
  <c r="AI188" i="8"/>
  <c r="AQ188" i="8"/>
  <c r="A189" i="8"/>
  <c r="C189" i="8"/>
  <c r="G189" i="8"/>
  <c r="H189" i="8" s="1"/>
  <c r="L189" i="8"/>
  <c r="J189" i="8"/>
  <c r="K189" i="8"/>
  <c r="Q189" i="8" s="1"/>
  <c r="R189" i="8" s="1"/>
  <c r="M189" i="8"/>
  <c r="P189" i="8"/>
  <c r="S189" i="8"/>
  <c r="T189" i="8"/>
  <c r="U189" i="8" s="1"/>
  <c r="V189" i="8"/>
  <c r="Y189" i="8"/>
  <c r="AB189" i="8"/>
  <c r="AC189" i="8"/>
  <c r="AD189" i="8" s="1"/>
  <c r="AI189" i="8"/>
  <c r="AQ189" i="8"/>
  <c r="A190" i="8"/>
  <c r="C190" i="8" s="1"/>
  <c r="G190" i="8"/>
  <c r="J190" i="8"/>
  <c r="K190" i="8" s="1"/>
  <c r="Z190" i="8" s="1"/>
  <c r="AA190" i="8" s="1"/>
  <c r="M190" i="8"/>
  <c r="P190" i="8"/>
  <c r="S190" i="8"/>
  <c r="T190" i="8" s="1"/>
  <c r="U190" i="8"/>
  <c r="V190" i="8"/>
  <c r="Y190" i="8"/>
  <c r="AB190" i="8"/>
  <c r="AC190" i="8" s="1"/>
  <c r="AD190" i="8" s="1"/>
  <c r="AI190" i="8"/>
  <c r="AQ190" i="8"/>
  <c r="A191" i="8"/>
  <c r="C191" i="8" s="1"/>
  <c r="G191" i="8"/>
  <c r="H191" i="8"/>
  <c r="J191" i="8"/>
  <c r="K191" i="8"/>
  <c r="Q191" i="8" s="1"/>
  <c r="R191" i="8" s="1"/>
  <c r="M191" i="8"/>
  <c r="P191" i="8"/>
  <c r="S191" i="8"/>
  <c r="T191" i="8"/>
  <c r="U191" i="8" s="1"/>
  <c r="V191" i="8"/>
  <c r="Y191" i="8"/>
  <c r="AB191" i="8"/>
  <c r="AC191" i="8"/>
  <c r="AD191" i="8"/>
  <c r="AI191" i="8"/>
  <c r="AQ191" i="8"/>
  <c r="A192" i="8"/>
  <c r="C192" i="8" s="1"/>
  <c r="G192" i="8"/>
  <c r="H192" i="8" s="1"/>
  <c r="L192" i="8" s="1"/>
  <c r="J192" i="8"/>
  <c r="K192" i="8"/>
  <c r="M192" i="8"/>
  <c r="P192" i="8"/>
  <c r="S192" i="8"/>
  <c r="T192" i="8"/>
  <c r="U192" i="8" s="1"/>
  <c r="V192" i="8"/>
  <c r="Y192" i="8"/>
  <c r="Z192" i="8" s="1"/>
  <c r="AA192" i="8" s="1"/>
  <c r="AB192" i="8"/>
  <c r="AC192" i="8" s="1"/>
  <c r="AD192" i="8" s="1"/>
  <c r="AI192" i="8"/>
  <c r="AQ192" i="8"/>
  <c r="A193" i="8"/>
  <c r="C193" i="8"/>
  <c r="H193" i="8" s="1"/>
  <c r="L193" i="8" s="1"/>
  <c r="G193" i="8"/>
  <c r="J193" i="8"/>
  <c r="K193" i="8" s="1"/>
  <c r="M193" i="8"/>
  <c r="P193" i="8"/>
  <c r="Q193" i="8" s="1"/>
  <c r="R193" i="8"/>
  <c r="S193" i="8"/>
  <c r="T193" i="8" s="1"/>
  <c r="U193" i="8"/>
  <c r="V193" i="8"/>
  <c r="Y193" i="8"/>
  <c r="Z193" i="8"/>
  <c r="AA193" i="8"/>
  <c r="AB193" i="8"/>
  <c r="AC193" i="8"/>
  <c r="AD193" i="8" s="1"/>
  <c r="AI193" i="8"/>
  <c r="AQ193" i="8"/>
  <c r="A194" i="8"/>
  <c r="C194" i="8" s="1"/>
  <c r="H194" i="8" s="1"/>
  <c r="L194" i="8" s="1"/>
  <c r="G194" i="8"/>
  <c r="J194" i="8"/>
  <c r="K194" i="8"/>
  <c r="Z194" i="8"/>
  <c r="AA194" i="8"/>
  <c r="M194" i="8"/>
  <c r="P194" i="8"/>
  <c r="Q194" i="8"/>
  <c r="R194" i="8"/>
  <c r="S194" i="8"/>
  <c r="T194" i="8"/>
  <c r="U194" i="8"/>
  <c r="V194" i="8"/>
  <c r="Y194" i="8"/>
  <c r="AB194" i="8"/>
  <c r="AC194" i="8"/>
  <c r="AD194" i="8"/>
  <c r="AI194" i="8"/>
  <c r="AQ194" i="8"/>
  <c r="A195" i="8"/>
  <c r="C195" i="8"/>
  <c r="H195" i="8" s="1"/>
  <c r="L195" i="8" s="1"/>
  <c r="G195" i="8"/>
  <c r="J195" i="8"/>
  <c r="K195" i="8" s="1"/>
  <c r="Q195" i="8" s="1"/>
  <c r="M195" i="8"/>
  <c r="P195" i="8"/>
  <c r="R195" i="8"/>
  <c r="S195" i="8"/>
  <c r="T195" i="8"/>
  <c r="U195" i="8" s="1"/>
  <c r="V195" i="8"/>
  <c r="Y195" i="8"/>
  <c r="Z195" i="8" s="1"/>
  <c r="AA195" i="8" s="1"/>
  <c r="AB195" i="8"/>
  <c r="AC195" i="8" s="1"/>
  <c r="AD195" i="8"/>
  <c r="AI195" i="8"/>
  <c r="AQ195" i="8"/>
  <c r="A203" i="8"/>
  <c r="C203" i="8" s="1"/>
  <c r="H203" i="8" s="1"/>
  <c r="L203" i="8" s="1"/>
  <c r="G203" i="8"/>
  <c r="J203" i="8"/>
  <c r="K203" i="8" s="1"/>
  <c r="Z203" i="8" s="1"/>
  <c r="M203" i="8"/>
  <c r="P203" i="8"/>
  <c r="S203" i="8"/>
  <c r="T203" i="8"/>
  <c r="U203" i="8" s="1"/>
  <c r="V203" i="8"/>
  <c r="Y203" i="8"/>
  <c r="AB203" i="8"/>
  <c r="AC203" i="8" s="1"/>
  <c r="AI203" i="8"/>
  <c r="AQ203" i="8"/>
  <c r="A204" i="8"/>
  <c r="C204" i="8"/>
  <c r="H204" i="8" s="1"/>
  <c r="L204" i="8" s="1"/>
  <c r="G204" i="8"/>
  <c r="J204" i="8"/>
  <c r="K204" i="8"/>
  <c r="Z204" i="8"/>
  <c r="M204" i="8"/>
  <c r="P204" i="8"/>
  <c r="Q204" i="8" s="1"/>
  <c r="R204" i="8" s="1"/>
  <c r="S204" i="8"/>
  <c r="T204" i="8"/>
  <c r="U204" i="8"/>
  <c r="V204" i="8"/>
  <c r="Y204" i="8"/>
  <c r="AB204" i="8"/>
  <c r="AC204" i="8" s="1"/>
  <c r="AI204" i="8"/>
  <c r="AQ204" i="8"/>
  <c r="A205" i="8"/>
  <c r="C205" i="8" s="1"/>
  <c r="H205" i="8" s="1"/>
  <c r="L205" i="8" s="1"/>
  <c r="G205" i="8"/>
  <c r="J205" i="8"/>
  <c r="K205" i="8" s="1"/>
  <c r="M205" i="8"/>
  <c r="P205" i="8"/>
  <c r="Q205" i="8" s="1"/>
  <c r="R205" i="8" s="1"/>
  <c r="S205" i="8"/>
  <c r="T205" i="8"/>
  <c r="U205" i="8" s="1"/>
  <c r="V205" i="8"/>
  <c r="Y205" i="8"/>
  <c r="Z205" i="8"/>
  <c r="AB205" i="8"/>
  <c r="AC205" i="8"/>
  <c r="AI205" i="8"/>
  <c r="AQ205" i="8"/>
  <c r="A206" i="8"/>
  <c r="C206" i="8"/>
  <c r="H206" i="8" s="1"/>
  <c r="L206" i="8" s="1"/>
  <c r="E206" i="8" s="1"/>
  <c r="G206" i="8"/>
  <c r="J206" i="8"/>
  <c r="K206" i="8"/>
  <c r="Z206" i="8"/>
  <c r="M206" i="8"/>
  <c r="P206" i="8"/>
  <c r="Q206" i="8" s="1"/>
  <c r="R206" i="8"/>
  <c r="S206" i="8"/>
  <c r="T206" i="8"/>
  <c r="U206" i="8"/>
  <c r="V206" i="8"/>
  <c r="Y206" i="8"/>
  <c r="AB206" i="8"/>
  <c r="AC206" i="8" s="1"/>
  <c r="AI206" i="8"/>
  <c r="AQ206" i="8"/>
  <c r="A207" i="8"/>
  <c r="C207" i="8" s="1"/>
  <c r="H207" i="8" s="1"/>
  <c r="L207" i="8" s="1"/>
  <c r="G207" i="8"/>
  <c r="J207" i="8"/>
  <c r="K207" i="8" s="1"/>
  <c r="Z207" i="8" s="1"/>
  <c r="M207" i="8"/>
  <c r="P207" i="8"/>
  <c r="Q207" i="8" s="1"/>
  <c r="R207" i="8" s="1"/>
  <c r="S207" i="8"/>
  <c r="T207" i="8"/>
  <c r="U207" i="8" s="1"/>
  <c r="V207" i="8"/>
  <c r="Y207" i="8"/>
  <c r="AB207" i="8"/>
  <c r="AC207" i="8"/>
  <c r="AI207" i="8"/>
  <c r="AQ207" i="8"/>
  <c r="A208" i="8"/>
  <c r="C208" i="8"/>
  <c r="H208" i="8"/>
  <c r="G208" i="8"/>
  <c r="J208" i="8"/>
  <c r="K208" i="8" s="1"/>
  <c r="M208" i="8"/>
  <c r="P208" i="8"/>
  <c r="S208" i="8"/>
  <c r="T208" i="8"/>
  <c r="U208" i="8"/>
  <c r="V208" i="8"/>
  <c r="Y208" i="8"/>
  <c r="Z208" i="8" s="1"/>
  <c r="AB208" i="8"/>
  <c r="AC208" i="8" s="1"/>
  <c r="AI208" i="8"/>
  <c r="AQ208" i="8"/>
  <c r="A209" i="8"/>
  <c r="C209" i="8"/>
  <c r="G209" i="8"/>
  <c r="J209" i="8"/>
  <c r="K209" i="8" s="1"/>
  <c r="Z209" i="8"/>
  <c r="M209" i="8"/>
  <c r="P209" i="8"/>
  <c r="Q209" i="8" s="1"/>
  <c r="R209" i="8" s="1"/>
  <c r="S209" i="8"/>
  <c r="T209" i="8" s="1"/>
  <c r="U209" i="8" s="1"/>
  <c r="V209" i="8"/>
  <c r="Y209" i="8"/>
  <c r="AB209" i="8"/>
  <c r="AC209" i="8"/>
  <c r="AI209" i="8"/>
  <c r="AQ209" i="8"/>
  <c r="A210" i="8"/>
  <c r="C210" i="8"/>
  <c r="G210" i="8"/>
  <c r="J210" i="8"/>
  <c r="K210" i="8"/>
  <c r="Z210" i="8" s="1"/>
  <c r="M210" i="8"/>
  <c r="P210" i="8"/>
  <c r="Q210" i="8"/>
  <c r="R210" i="8" s="1"/>
  <c r="S210" i="8"/>
  <c r="T210" i="8"/>
  <c r="U210" i="8"/>
  <c r="V210" i="8"/>
  <c r="Y210" i="8"/>
  <c r="AB210" i="8"/>
  <c r="AC210" i="8" s="1"/>
  <c r="AI210" i="8"/>
  <c r="AQ210" i="8"/>
  <c r="A211" i="8"/>
  <c r="C211" i="8"/>
  <c r="G211" i="8"/>
  <c r="J211" i="8"/>
  <c r="K211" i="8" s="1"/>
  <c r="Q211" i="8" s="1"/>
  <c r="R211" i="8" s="1"/>
  <c r="Z211" i="8"/>
  <c r="M211" i="8"/>
  <c r="P211" i="8"/>
  <c r="S211" i="8"/>
  <c r="T211" i="8" s="1"/>
  <c r="U211" i="8" s="1"/>
  <c r="V211" i="8"/>
  <c r="Y211" i="8"/>
  <c r="AB211" i="8"/>
  <c r="AC211" i="8"/>
  <c r="AI211" i="8"/>
  <c r="AQ211" i="8"/>
  <c r="A212" i="8"/>
  <c r="C212" i="8"/>
  <c r="G212" i="8"/>
  <c r="H212" i="8" s="1"/>
  <c r="L212" i="8" s="1"/>
  <c r="J212" i="8"/>
  <c r="K212" i="8"/>
  <c r="Q212" i="8" s="1"/>
  <c r="R212" i="8" s="1"/>
  <c r="M212" i="8"/>
  <c r="P212" i="8"/>
  <c r="S212" i="8"/>
  <c r="T212" i="8"/>
  <c r="U212" i="8" s="1"/>
  <c r="V212" i="8"/>
  <c r="Y212" i="8"/>
  <c r="Z212" i="8" s="1"/>
  <c r="AB212" i="8"/>
  <c r="AC212" i="8" s="1"/>
  <c r="AD212" i="8" s="1"/>
  <c r="AI212" i="8"/>
  <c r="AQ212" i="8"/>
  <c r="A213" i="8"/>
  <c r="C213" i="8" s="1"/>
  <c r="H213" i="8" s="1"/>
  <c r="L213" i="8" s="1"/>
  <c r="G213" i="8"/>
  <c r="J213" i="8"/>
  <c r="K213" i="8" s="1"/>
  <c r="Z213" i="8"/>
  <c r="M213" i="8"/>
  <c r="P213" i="8"/>
  <c r="Q213" i="8"/>
  <c r="R213" i="8" s="1"/>
  <c r="S213" i="8"/>
  <c r="T213" i="8" s="1"/>
  <c r="U213" i="8"/>
  <c r="V213" i="8"/>
  <c r="Y213" i="8"/>
  <c r="AB213" i="8"/>
  <c r="AC213" i="8" s="1"/>
  <c r="AI213" i="8"/>
  <c r="AQ213" i="8"/>
  <c r="A214" i="8"/>
  <c r="C214" i="8"/>
  <c r="G214" i="8"/>
  <c r="H214" i="8" s="1"/>
  <c r="J214" i="8"/>
  <c r="K214" i="8"/>
  <c r="Z214" i="8" s="1"/>
  <c r="M214" i="8"/>
  <c r="P214" i="8"/>
  <c r="Q214" i="8" s="1"/>
  <c r="R214" i="8" s="1"/>
  <c r="S214" i="8"/>
  <c r="T214" i="8" s="1"/>
  <c r="U214" i="8" s="1"/>
  <c r="V214" i="8"/>
  <c r="Y214" i="8"/>
  <c r="AB214" i="8"/>
  <c r="AC214" i="8"/>
  <c r="AI214" i="8"/>
  <c r="AQ214" i="8"/>
  <c r="A215" i="8"/>
  <c r="C215" i="8"/>
  <c r="G215" i="8"/>
  <c r="J215" i="8"/>
  <c r="K215" i="8" s="1"/>
  <c r="M215" i="8"/>
  <c r="P215" i="8"/>
  <c r="Q215" i="8"/>
  <c r="R215" i="8" s="1"/>
  <c r="S215" i="8"/>
  <c r="T215" i="8"/>
  <c r="U215" i="8" s="1"/>
  <c r="V215" i="8"/>
  <c r="Y215" i="8"/>
  <c r="AB215" i="8"/>
  <c r="AC215" i="8"/>
  <c r="AI215" i="8"/>
  <c r="AQ215" i="8"/>
  <c r="A216" i="8"/>
  <c r="C216" i="8"/>
  <c r="G216" i="8"/>
  <c r="H216" i="8" s="1"/>
  <c r="J216" i="8"/>
  <c r="K216" i="8" s="1"/>
  <c r="M216" i="8"/>
  <c r="P216" i="8"/>
  <c r="Q216" i="8" s="1"/>
  <c r="R216" i="8" s="1"/>
  <c r="S216" i="8"/>
  <c r="T216" i="8"/>
  <c r="U216" i="8"/>
  <c r="V216" i="8"/>
  <c r="Y216" i="8"/>
  <c r="Z216" i="8"/>
  <c r="AA216" i="8" s="1"/>
  <c r="AB216" i="8"/>
  <c r="AC216" i="8" s="1"/>
  <c r="AD216" i="8" s="1"/>
  <c r="AI216" i="8"/>
  <c r="AQ216" i="8"/>
  <c r="A217" i="8"/>
  <c r="C217" i="8"/>
  <c r="G217" i="8"/>
  <c r="J217" i="8"/>
  <c r="K217" i="8" s="1"/>
  <c r="M217" i="8"/>
  <c r="P217" i="8"/>
  <c r="Q217" i="8"/>
  <c r="R217" i="8"/>
  <c r="S217" i="8"/>
  <c r="T217" i="8" s="1"/>
  <c r="U217" i="8" s="1"/>
  <c r="V217" i="8"/>
  <c r="Y217" i="8"/>
  <c r="Z217" i="8" s="1"/>
  <c r="AA217" i="8" s="1"/>
  <c r="AB217" i="8"/>
  <c r="AC217" i="8"/>
  <c r="AI217" i="8"/>
  <c r="AQ217" i="8"/>
  <c r="A218" i="8"/>
  <c r="C218" i="8"/>
  <c r="G218" i="8"/>
  <c r="H218" i="8" s="1"/>
  <c r="L218" i="8" s="1"/>
  <c r="J218" i="8"/>
  <c r="K218" i="8" s="1"/>
  <c r="M218" i="8"/>
  <c r="P218" i="8"/>
  <c r="S218" i="8"/>
  <c r="T218" i="8"/>
  <c r="U218" i="8" s="1"/>
  <c r="V218" i="8"/>
  <c r="Y218" i="8"/>
  <c r="AB218" i="8"/>
  <c r="AC218" i="8" s="1"/>
  <c r="AD218" i="8"/>
  <c r="AI218" i="8"/>
  <c r="AQ218" i="8"/>
  <c r="A219" i="8"/>
  <c r="C219" i="8"/>
  <c r="G219" i="8"/>
  <c r="J219" i="8"/>
  <c r="K219" i="8" s="1"/>
  <c r="Q219" i="8" s="1"/>
  <c r="M219" i="8"/>
  <c r="P219" i="8"/>
  <c r="R219" i="8"/>
  <c r="S219" i="8"/>
  <c r="T219" i="8" s="1"/>
  <c r="U219" i="8"/>
  <c r="V219" i="8"/>
  <c r="Y219" i="8"/>
  <c r="Z219" i="8" s="1"/>
  <c r="AA219" i="8" s="1"/>
  <c r="AB219" i="8"/>
  <c r="AC219" i="8"/>
  <c r="AD219" i="8"/>
  <c r="AI219" i="8"/>
  <c r="AQ219" i="8"/>
  <c r="A220" i="8"/>
  <c r="C220" i="8"/>
  <c r="G220" i="8"/>
  <c r="J220" i="8"/>
  <c r="K220" i="8"/>
  <c r="Q220" i="8" s="1"/>
  <c r="R220" i="8" s="1"/>
  <c r="M220" i="8"/>
  <c r="P220" i="8"/>
  <c r="S220" i="8"/>
  <c r="T220" i="8"/>
  <c r="U220" i="8" s="1"/>
  <c r="V220" i="8"/>
  <c r="Y220" i="8"/>
  <c r="Z220" i="8" s="1"/>
  <c r="AA220" i="8" s="1"/>
  <c r="AB220" i="8"/>
  <c r="AC220" i="8" s="1"/>
  <c r="AD220" i="8"/>
  <c r="AI220" i="8"/>
  <c r="AQ220" i="8"/>
  <c r="A221" i="8"/>
  <c r="C221" i="8"/>
  <c r="H221" i="8" s="1"/>
  <c r="L221" i="8" s="1"/>
  <c r="G221" i="8"/>
  <c r="J221" i="8"/>
  <c r="K221" i="8" s="1"/>
  <c r="M221" i="8"/>
  <c r="P221" i="8"/>
  <c r="Q221" i="8"/>
  <c r="R221" i="8" s="1"/>
  <c r="S221" i="8"/>
  <c r="T221" i="8" s="1"/>
  <c r="U221" i="8"/>
  <c r="V221" i="8"/>
  <c r="Y221" i="8"/>
  <c r="Z221" i="8" s="1"/>
  <c r="AA221" i="8" s="1"/>
  <c r="AB221" i="8"/>
  <c r="AC221" i="8" s="1"/>
  <c r="AD221" i="8" s="1"/>
  <c r="AI221" i="8"/>
  <c r="AQ221" i="8"/>
  <c r="A222" i="8"/>
  <c r="C222" i="8" s="1"/>
  <c r="H222" i="8" s="1"/>
  <c r="G222" i="8"/>
  <c r="J222" i="8"/>
  <c r="K222" i="8" s="1"/>
  <c r="Z222" i="8" s="1"/>
  <c r="AA222" i="8" s="1"/>
  <c r="M222" i="8"/>
  <c r="P222" i="8"/>
  <c r="S222" i="8"/>
  <c r="T222" i="8" s="1"/>
  <c r="U222" i="8"/>
  <c r="V222" i="8"/>
  <c r="Y222" i="8"/>
  <c r="AB222" i="8"/>
  <c r="AC222" i="8"/>
  <c r="AD222" i="8" s="1"/>
  <c r="AI222" i="8"/>
  <c r="AQ222" i="8"/>
  <c r="A223" i="8"/>
  <c r="C223" i="8"/>
  <c r="H223" i="8" s="1"/>
  <c r="L223" i="8" s="1"/>
  <c r="E223" i="8" s="1"/>
  <c r="G223" i="8"/>
  <c r="J223" i="8"/>
  <c r="K223" i="8"/>
  <c r="M223" i="8"/>
  <c r="P223" i="8"/>
  <c r="Q223" i="8"/>
  <c r="R223" i="8" s="1"/>
  <c r="S223" i="8"/>
  <c r="T223" i="8"/>
  <c r="U223" i="8" s="1"/>
  <c r="V223" i="8"/>
  <c r="Y223" i="8"/>
  <c r="Z223" i="8" s="1"/>
  <c r="AA223" i="8" s="1"/>
  <c r="AB223" i="8"/>
  <c r="AC223" i="8"/>
  <c r="AD223" i="8" s="1"/>
  <c r="AI223" i="8"/>
  <c r="AQ223" i="8"/>
  <c r="A224" i="8"/>
  <c r="C224" i="8"/>
  <c r="G224" i="8"/>
  <c r="J224" i="8"/>
  <c r="K224" i="8" s="1"/>
  <c r="M224" i="8"/>
  <c r="P224" i="8"/>
  <c r="S224" i="8"/>
  <c r="T224" i="8"/>
  <c r="U224" i="8"/>
  <c r="V224" i="8"/>
  <c r="Y224" i="8"/>
  <c r="AB224" i="8"/>
  <c r="AC224" i="8" s="1"/>
  <c r="AD224" i="8"/>
  <c r="AI224" i="8"/>
  <c r="AQ224" i="8"/>
  <c r="A225" i="8"/>
  <c r="C225" i="8" s="1"/>
  <c r="H225" i="8" s="1"/>
  <c r="L225" i="8" s="1"/>
  <c r="G225" i="8"/>
  <c r="J225" i="8"/>
  <c r="K225" i="8" s="1"/>
  <c r="M225" i="8"/>
  <c r="P225" i="8"/>
  <c r="Q225" i="8"/>
  <c r="R225" i="8" s="1"/>
  <c r="S225" i="8"/>
  <c r="T225" i="8" s="1"/>
  <c r="U225" i="8"/>
  <c r="V225" i="8"/>
  <c r="Y225" i="8"/>
  <c r="Z225" i="8" s="1"/>
  <c r="AA225" i="8" s="1"/>
  <c r="AB225" i="8"/>
  <c r="AC225" i="8"/>
  <c r="AD225" i="8" s="1"/>
  <c r="AI225" i="8"/>
  <c r="AQ225" i="8"/>
  <c r="A226" i="8"/>
  <c r="C226" i="8" s="1"/>
  <c r="G226" i="8"/>
  <c r="H226" i="8" s="1"/>
  <c r="J226" i="8"/>
  <c r="K226" i="8" s="1"/>
  <c r="M226" i="8"/>
  <c r="P226" i="8"/>
  <c r="S226" i="8"/>
  <c r="T226" i="8"/>
  <c r="U226" i="8" s="1"/>
  <c r="V226" i="8"/>
  <c r="Y226" i="8"/>
  <c r="AB226" i="8"/>
  <c r="AC226" i="8" s="1"/>
  <c r="AD226" i="8"/>
  <c r="AI226" i="8"/>
  <c r="AQ226" i="8"/>
  <c r="A227" i="8"/>
  <c r="C227" i="8"/>
  <c r="G227" i="8"/>
  <c r="J227" i="8"/>
  <c r="K227" i="8" s="1"/>
  <c r="M227" i="8"/>
  <c r="P227" i="8"/>
  <c r="Q227" i="8"/>
  <c r="R227" i="8" s="1"/>
  <c r="S227" i="8"/>
  <c r="T227" i="8" s="1"/>
  <c r="U227" i="8"/>
  <c r="V227" i="8"/>
  <c r="Y227" i="8"/>
  <c r="Z227" i="8" s="1"/>
  <c r="AA227" i="8" s="1"/>
  <c r="AB227" i="8"/>
  <c r="AC227" i="8"/>
  <c r="AD227" i="8"/>
  <c r="AI227" i="8"/>
  <c r="AQ227" i="8"/>
  <c r="A228" i="8"/>
  <c r="C228" i="8" s="1"/>
  <c r="G228" i="8"/>
  <c r="J228" i="8"/>
  <c r="K228" i="8" s="1"/>
  <c r="Q228" i="8" s="1"/>
  <c r="R228" i="8" s="1"/>
  <c r="M228" i="8"/>
  <c r="P228" i="8"/>
  <c r="S228" i="8"/>
  <c r="T228" i="8"/>
  <c r="U228" i="8" s="1"/>
  <c r="V228" i="8"/>
  <c r="Y228" i="8"/>
  <c r="AB228" i="8"/>
  <c r="AC228" i="8" s="1"/>
  <c r="AD228" i="8" s="1"/>
  <c r="AI228" i="8"/>
  <c r="AQ228" i="8"/>
  <c r="A229" i="8"/>
  <c r="C229" i="8" s="1"/>
  <c r="H229" i="8" s="1"/>
  <c r="L229" i="8" s="1"/>
  <c r="G229" i="8"/>
  <c r="J229" i="8"/>
  <c r="K229" i="8" s="1"/>
  <c r="Z229" i="8"/>
  <c r="AA229" i="8" s="1"/>
  <c r="M229" i="8"/>
  <c r="P229" i="8"/>
  <c r="Q229" i="8" s="1"/>
  <c r="R229" i="8" s="1"/>
  <c r="S229" i="8"/>
  <c r="T229" i="8" s="1"/>
  <c r="U229" i="8"/>
  <c r="V229" i="8"/>
  <c r="Y229" i="8"/>
  <c r="AB229" i="8"/>
  <c r="AC229" i="8"/>
  <c r="AD229" i="8"/>
  <c r="AI229" i="8"/>
  <c r="AQ229" i="8"/>
  <c r="A230" i="8"/>
  <c r="C230" i="8"/>
  <c r="G230" i="8"/>
  <c r="H230" i="8"/>
  <c r="J230" i="8"/>
  <c r="K230" i="8" s="1"/>
  <c r="M230" i="8"/>
  <c r="P230" i="8"/>
  <c r="S230" i="8"/>
  <c r="T230" i="8" s="1"/>
  <c r="U230" i="8" s="1"/>
  <c r="V230" i="8"/>
  <c r="Y230" i="8"/>
  <c r="AB230" i="8"/>
  <c r="AC230" i="8"/>
  <c r="AD230" i="8" s="1"/>
  <c r="AI230" i="8"/>
  <c r="AQ230" i="8"/>
  <c r="A231" i="8"/>
  <c r="C231" i="8"/>
  <c r="G231" i="8"/>
  <c r="J231" i="8"/>
  <c r="K231" i="8"/>
  <c r="Q231" i="8" s="1"/>
  <c r="R231" i="8" s="1"/>
  <c r="M231" i="8"/>
  <c r="P231" i="8"/>
  <c r="S231" i="8"/>
  <c r="T231" i="8"/>
  <c r="U231" i="8"/>
  <c r="V231" i="8"/>
  <c r="Y231" i="8"/>
  <c r="Z231" i="8" s="1"/>
  <c r="AA231" i="8" s="1"/>
  <c r="AB231" i="8"/>
  <c r="AC231" i="8"/>
  <c r="AD231" i="8"/>
  <c r="AI231" i="8"/>
  <c r="AQ231" i="8"/>
  <c r="A239" i="8"/>
  <c r="C239" i="8"/>
  <c r="G239" i="8"/>
  <c r="H239" i="8" s="1"/>
  <c r="L239" i="8" s="1"/>
  <c r="J239" i="8"/>
  <c r="K239" i="8"/>
  <c r="M239" i="8"/>
  <c r="P239" i="8"/>
  <c r="Q239" i="8"/>
  <c r="R239" i="8"/>
  <c r="S239" i="8"/>
  <c r="T239" i="8"/>
  <c r="U239" i="8" s="1"/>
  <c r="V239" i="8"/>
  <c r="Y239" i="8"/>
  <c r="Z239" i="8"/>
  <c r="AB239" i="8"/>
  <c r="AC239" i="8" s="1"/>
  <c r="AD239" i="8" s="1"/>
  <c r="AG239" i="8"/>
  <c r="AI239" i="8"/>
  <c r="AQ239" i="8"/>
  <c r="A240" i="8"/>
  <c r="C240" i="8"/>
  <c r="G240" i="8"/>
  <c r="H240" i="8"/>
  <c r="L240" i="8" s="1"/>
  <c r="E240" i="8" s="1"/>
  <c r="J240" i="8"/>
  <c r="K240" i="8" s="1"/>
  <c r="Q240" i="8" s="1"/>
  <c r="R240" i="8" s="1"/>
  <c r="M240" i="8"/>
  <c r="P240" i="8"/>
  <c r="S240" i="8"/>
  <c r="T240" i="8" s="1"/>
  <c r="U240" i="8" s="1"/>
  <c r="V240" i="8"/>
  <c r="Y240" i="8"/>
  <c r="AB240" i="8"/>
  <c r="AC240" i="8"/>
  <c r="AG240" i="8"/>
  <c r="AI240" i="8"/>
  <c r="AQ240" i="8"/>
  <c r="A241" i="8"/>
  <c r="C241" i="8"/>
  <c r="H241" i="8" s="1"/>
  <c r="L241" i="8" s="1"/>
  <c r="G241" i="8"/>
  <c r="J241" i="8"/>
  <c r="K241" i="8" s="1"/>
  <c r="M241" i="8"/>
  <c r="P241" i="8"/>
  <c r="Q241" i="8" s="1"/>
  <c r="R241" i="8" s="1"/>
  <c r="S241" i="8"/>
  <c r="T241" i="8" s="1"/>
  <c r="U241" i="8" s="1"/>
  <c r="V241" i="8"/>
  <c r="Y241" i="8"/>
  <c r="Z241" i="8"/>
  <c r="AB241" i="8"/>
  <c r="AC241" i="8" s="1"/>
  <c r="AD241" i="8"/>
  <c r="AG241" i="8"/>
  <c r="AI241" i="8"/>
  <c r="AQ241" i="8"/>
  <c r="A242" i="8"/>
  <c r="C242" i="8" s="1"/>
  <c r="G242" i="8"/>
  <c r="H242" i="8"/>
  <c r="J242" i="8"/>
  <c r="K242" i="8" s="1"/>
  <c r="Q242" i="8" s="1"/>
  <c r="R242" i="8" s="1"/>
  <c r="M242" i="8"/>
  <c r="P242" i="8"/>
  <c r="S242" i="8"/>
  <c r="T242" i="8"/>
  <c r="U242" i="8"/>
  <c r="V242" i="8"/>
  <c r="Y242" i="8"/>
  <c r="AB242" i="8"/>
  <c r="AC242" i="8"/>
  <c r="AG242" i="8"/>
  <c r="AI242" i="8"/>
  <c r="AQ242" i="8"/>
  <c r="A243" i="8"/>
  <c r="C243" i="8"/>
  <c r="H243" i="8" s="1"/>
  <c r="G243" i="8"/>
  <c r="L243" i="8"/>
  <c r="J243" i="8"/>
  <c r="K243" i="8" s="1"/>
  <c r="M243" i="8"/>
  <c r="P243" i="8"/>
  <c r="S243" i="8"/>
  <c r="T243" i="8"/>
  <c r="U243" i="8"/>
  <c r="V243" i="8"/>
  <c r="Y243" i="8"/>
  <c r="Z243" i="8" s="1"/>
  <c r="AB243" i="8"/>
  <c r="AC243" i="8" s="1"/>
  <c r="AG243" i="8"/>
  <c r="AI243" i="8"/>
  <c r="AQ243" i="8"/>
  <c r="A244" i="8"/>
  <c r="C244" i="8"/>
  <c r="G244" i="8"/>
  <c r="J244" i="8"/>
  <c r="K244" i="8" s="1"/>
  <c r="M244" i="8"/>
  <c r="P244" i="8"/>
  <c r="Q244" i="8"/>
  <c r="R244" i="8" s="1"/>
  <c r="S244" i="8"/>
  <c r="T244" i="8" s="1"/>
  <c r="U244" i="8" s="1"/>
  <c r="V244" i="8"/>
  <c r="Y244" i="8"/>
  <c r="Z244" i="8" s="1"/>
  <c r="AB244" i="8"/>
  <c r="AC244" i="8" s="1"/>
  <c r="AG244" i="8"/>
  <c r="AI244" i="8"/>
  <c r="AQ244" i="8"/>
  <c r="A245" i="8"/>
  <c r="C245" i="8" s="1"/>
  <c r="G245" i="8"/>
  <c r="J245" i="8"/>
  <c r="K245" i="8" s="1"/>
  <c r="Q245" i="8" s="1"/>
  <c r="R245" i="8" s="1"/>
  <c r="M245" i="8"/>
  <c r="P245" i="8"/>
  <c r="S245" i="8"/>
  <c r="T245" i="8"/>
  <c r="U245" i="8" s="1"/>
  <c r="V245" i="8"/>
  <c r="Y245" i="8"/>
  <c r="Z245" i="8" s="1"/>
  <c r="AB245" i="8"/>
  <c r="AC245" i="8"/>
  <c r="AG245" i="8"/>
  <c r="AI245" i="8"/>
  <c r="AQ245" i="8"/>
  <c r="A246" i="8"/>
  <c r="C246" i="8" s="1"/>
  <c r="H246" i="8" s="1"/>
  <c r="L246" i="8" s="1"/>
  <c r="G246" i="8"/>
  <c r="J246" i="8"/>
  <c r="K246" i="8" s="1"/>
  <c r="M246" i="8"/>
  <c r="P246" i="8"/>
  <c r="Q246" i="8"/>
  <c r="R246" i="8" s="1"/>
  <c r="S246" i="8"/>
  <c r="T246" i="8"/>
  <c r="U246" i="8" s="1"/>
  <c r="V246" i="8"/>
  <c r="Y246" i="8"/>
  <c r="Z246" i="8" s="1"/>
  <c r="AA246" i="8" s="1"/>
  <c r="AB246" i="8"/>
  <c r="AC246" i="8"/>
  <c r="AG246" i="8"/>
  <c r="AI246" i="8"/>
  <c r="AQ246" i="8"/>
  <c r="A247" i="8"/>
  <c r="C247" i="8" s="1"/>
  <c r="H247" i="8" s="1"/>
  <c r="L247" i="8" s="1"/>
  <c r="G247" i="8"/>
  <c r="J247" i="8"/>
  <c r="K247" i="8" s="1"/>
  <c r="M247" i="8"/>
  <c r="P247" i="8"/>
  <c r="Q247" i="8"/>
  <c r="R247" i="8" s="1"/>
  <c r="S247" i="8"/>
  <c r="T247" i="8"/>
  <c r="U247" i="8"/>
  <c r="V247" i="8"/>
  <c r="Y247" i="8"/>
  <c r="Z247" i="8"/>
  <c r="AB247" i="8"/>
  <c r="AC247" i="8" s="1"/>
  <c r="AG247" i="8"/>
  <c r="AI247" i="8"/>
  <c r="AQ247" i="8"/>
  <c r="A248" i="8"/>
  <c r="C248" i="8"/>
  <c r="G248" i="8"/>
  <c r="J248" i="8"/>
  <c r="K248" i="8" s="1"/>
  <c r="M248" i="8"/>
  <c r="P248" i="8"/>
  <c r="Q248" i="8"/>
  <c r="R248" i="8" s="1"/>
  <c r="S248" i="8"/>
  <c r="T248" i="8" s="1"/>
  <c r="U248" i="8" s="1"/>
  <c r="V248" i="8"/>
  <c r="Y248" i="8"/>
  <c r="AB248" i="8"/>
  <c r="AC248" i="8" s="1"/>
  <c r="AG248" i="8"/>
  <c r="AI248" i="8"/>
  <c r="AQ248" i="8"/>
  <c r="A249" i="8"/>
  <c r="C249" i="8"/>
  <c r="G249" i="8"/>
  <c r="H249" i="8"/>
  <c r="L249" i="8" s="1"/>
  <c r="J249" i="8"/>
  <c r="K249" i="8" s="1"/>
  <c r="M249" i="8"/>
  <c r="P249" i="8"/>
  <c r="Q249" i="8" s="1"/>
  <c r="R249" i="8" s="1"/>
  <c r="S249" i="8"/>
  <c r="T249" i="8" s="1"/>
  <c r="U249" i="8" s="1"/>
  <c r="V249" i="8"/>
  <c r="Y249" i="8"/>
  <c r="Z249" i="8"/>
  <c r="AB249" i="8"/>
  <c r="AC249" i="8" s="1"/>
  <c r="AG249" i="8"/>
  <c r="AI249" i="8"/>
  <c r="AQ249" i="8"/>
  <c r="A250" i="8"/>
  <c r="C250" i="8" s="1"/>
  <c r="G250" i="8"/>
  <c r="H250" i="8"/>
  <c r="L250" i="8" s="1"/>
  <c r="E250" i="8" s="1"/>
  <c r="J250" i="8"/>
  <c r="K250" i="8" s="1"/>
  <c r="M250" i="8"/>
  <c r="P250" i="8"/>
  <c r="Q250" i="8" s="1"/>
  <c r="R250" i="8" s="1"/>
  <c r="S250" i="8"/>
  <c r="T250" i="8"/>
  <c r="U250" i="8"/>
  <c r="V250" i="8"/>
  <c r="Y250" i="8"/>
  <c r="Z250" i="8"/>
  <c r="AA250" i="8"/>
  <c r="AB250" i="8"/>
  <c r="AC250" i="8"/>
  <c r="AG250" i="8"/>
  <c r="AI250" i="8"/>
  <c r="AQ250" i="8"/>
  <c r="A251" i="8"/>
  <c r="C251" i="8"/>
  <c r="H251" i="8" s="1"/>
  <c r="L251" i="8" s="1"/>
  <c r="E251" i="8" s="1"/>
  <c r="G251" i="8"/>
  <c r="J251" i="8"/>
  <c r="K251" i="8" s="1"/>
  <c r="M251" i="8"/>
  <c r="P251" i="8"/>
  <c r="Q251" i="8" s="1"/>
  <c r="R251" i="8" s="1"/>
  <c r="S251" i="8"/>
  <c r="T251" i="8"/>
  <c r="U251" i="8"/>
  <c r="V251" i="8"/>
  <c r="Y251" i="8"/>
  <c r="Z251" i="8"/>
  <c r="AA251" i="8" s="1"/>
  <c r="AB251" i="8"/>
  <c r="AC251" i="8" s="1"/>
  <c r="AG251" i="8"/>
  <c r="AI251" i="8"/>
  <c r="AQ251" i="8"/>
  <c r="A252" i="8"/>
  <c r="C252" i="8"/>
  <c r="G252" i="8"/>
  <c r="J252" i="8"/>
  <c r="K252" i="8" s="1"/>
  <c r="Q252" i="8" s="1"/>
  <c r="R252" i="8" s="1"/>
  <c r="M252" i="8"/>
  <c r="P252" i="8"/>
  <c r="S252" i="8"/>
  <c r="T252" i="8" s="1"/>
  <c r="U252" i="8" s="1"/>
  <c r="V252" i="8"/>
  <c r="Y252" i="8"/>
  <c r="Z252" i="8" s="1"/>
  <c r="AA252" i="8" s="1"/>
  <c r="AB252" i="8"/>
  <c r="AC252" i="8" s="1"/>
  <c r="AG252" i="8"/>
  <c r="AI252" i="8"/>
  <c r="AQ252" i="8"/>
  <c r="A253" i="8"/>
  <c r="C253" i="8" s="1"/>
  <c r="H253" i="8" s="1"/>
  <c r="L253" i="8" s="1"/>
  <c r="G253" i="8"/>
  <c r="J253" i="8"/>
  <c r="K253" i="8" s="1"/>
  <c r="M253" i="8"/>
  <c r="P253" i="8"/>
  <c r="Q253" i="8" s="1"/>
  <c r="R253" i="8"/>
  <c r="S253" i="8"/>
  <c r="T253" i="8"/>
  <c r="U253" i="8" s="1"/>
  <c r="V253" i="8"/>
  <c r="Y253" i="8"/>
  <c r="Z253" i="8"/>
  <c r="AA253" i="8" s="1"/>
  <c r="AB253" i="8"/>
  <c r="AC253" i="8"/>
  <c r="AG253" i="8"/>
  <c r="AI253" i="8"/>
  <c r="AQ253" i="8"/>
  <c r="A254" i="8"/>
  <c r="C254" i="8" s="1"/>
  <c r="G254" i="8"/>
  <c r="J254" i="8"/>
  <c r="K254" i="8" s="1"/>
  <c r="M254" i="8"/>
  <c r="P254" i="8"/>
  <c r="Q254" i="8"/>
  <c r="R254" i="8" s="1"/>
  <c r="S254" i="8"/>
  <c r="T254" i="8" s="1"/>
  <c r="U254" i="8" s="1"/>
  <c r="V254" i="8"/>
  <c r="Y254" i="8"/>
  <c r="Z254" i="8" s="1"/>
  <c r="AA254" i="8"/>
  <c r="AB254" i="8"/>
  <c r="AC254" i="8" s="1"/>
  <c r="AD254" i="8" s="1"/>
  <c r="AG254" i="8"/>
  <c r="AI254" i="8"/>
  <c r="AQ254" i="8"/>
  <c r="A255" i="8"/>
  <c r="C255" i="8"/>
  <c r="G255" i="8"/>
  <c r="J255" i="8"/>
  <c r="K255" i="8" s="1"/>
  <c r="M255" i="8"/>
  <c r="P255" i="8"/>
  <c r="Q255" i="8" s="1"/>
  <c r="R255" i="8"/>
  <c r="S255" i="8"/>
  <c r="T255" i="8" s="1"/>
  <c r="U255" i="8" s="1"/>
  <c r="V255" i="8"/>
  <c r="Y255" i="8"/>
  <c r="Z255" i="8"/>
  <c r="AA255" i="8" s="1"/>
  <c r="AB255" i="8"/>
  <c r="AC255" i="8"/>
  <c r="AD255" i="8"/>
  <c r="AG255" i="8"/>
  <c r="AI255" i="8"/>
  <c r="AQ255" i="8"/>
  <c r="A256" i="8"/>
  <c r="C256" i="8" s="1"/>
  <c r="G256" i="8"/>
  <c r="H256" i="8" s="1"/>
  <c r="L256" i="8"/>
  <c r="J256" i="8"/>
  <c r="K256" i="8" s="1"/>
  <c r="Q256" i="8" s="1"/>
  <c r="R256" i="8" s="1"/>
  <c r="M256" i="8"/>
  <c r="P256" i="8"/>
  <c r="S256" i="8"/>
  <c r="T256" i="8" s="1"/>
  <c r="U256" i="8" s="1"/>
  <c r="V256" i="8"/>
  <c r="Y256" i="8"/>
  <c r="AB256" i="8"/>
  <c r="AC256" i="8" s="1"/>
  <c r="AD256" i="8"/>
  <c r="AG256" i="8"/>
  <c r="AI256" i="8"/>
  <c r="AQ256" i="8"/>
  <c r="A257" i="8"/>
  <c r="C257" i="8"/>
  <c r="G257" i="8"/>
  <c r="H257" i="8" s="1"/>
  <c r="J257" i="8"/>
  <c r="K257" i="8" s="1"/>
  <c r="M257" i="8"/>
  <c r="P257" i="8"/>
  <c r="Q257" i="8" s="1"/>
  <c r="R257" i="8" s="1"/>
  <c r="S257" i="8"/>
  <c r="T257" i="8"/>
  <c r="U257" i="8" s="1"/>
  <c r="V257" i="8"/>
  <c r="Y257" i="8"/>
  <c r="AB257" i="8"/>
  <c r="AC257" i="8" s="1"/>
  <c r="AD257" i="8" s="1"/>
  <c r="AG257" i="8"/>
  <c r="AI257" i="8"/>
  <c r="AQ257" i="8"/>
  <c r="A258" i="8"/>
  <c r="C258" i="8" s="1"/>
  <c r="G258" i="8"/>
  <c r="H258" i="8"/>
  <c r="L258" i="8" s="1"/>
  <c r="J258" i="8"/>
  <c r="K258" i="8" s="1"/>
  <c r="M258" i="8"/>
  <c r="P258" i="8"/>
  <c r="Q258" i="8"/>
  <c r="R258" i="8" s="1"/>
  <c r="S258" i="8"/>
  <c r="T258" i="8" s="1"/>
  <c r="U258" i="8" s="1"/>
  <c r="V258" i="8"/>
  <c r="Y258" i="8"/>
  <c r="Z258" i="8"/>
  <c r="AA258" i="8" s="1"/>
  <c r="AB258" i="8"/>
  <c r="AC258" i="8"/>
  <c r="AD258" i="8" s="1"/>
  <c r="AG258" i="8"/>
  <c r="AI258" i="8"/>
  <c r="AQ258" i="8"/>
  <c r="A259" i="8"/>
  <c r="C259" i="8" s="1"/>
  <c r="H259" i="8" s="1"/>
  <c r="L259" i="8" s="1"/>
  <c r="G259" i="8"/>
  <c r="J259" i="8"/>
  <c r="K259" i="8" s="1"/>
  <c r="M259" i="8"/>
  <c r="P259" i="8"/>
  <c r="S259" i="8"/>
  <c r="T259" i="8"/>
  <c r="U259" i="8"/>
  <c r="V259" i="8"/>
  <c r="Y259" i="8"/>
  <c r="AB259" i="8"/>
  <c r="AC259" i="8" s="1"/>
  <c r="AD259" i="8"/>
  <c r="AG259" i="8"/>
  <c r="AI259" i="8"/>
  <c r="AQ259" i="8"/>
  <c r="A260" i="8"/>
  <c r="C260" i="8"/>
  <c r="G260" i="8"/>
  <c r="H260" i="8" s="1"/>
  <c r="L260" i="8" s="1"/>
  <c r="J260" i="8"/>
  <c r="K260" i="8" s="1"/>
  <c r="M260" i="8"/>
  <c r="P260" i="8"/>
  <c r="Q260" i="8"/>
  <c r="R260" i="8" s="1"/>
  <c r="S260" i="8"/>
  <c r="T260" i="8" s="1"/>
  <c r="U260" i="8"/>
  <c r="V260" i="8"/>
  <c r="Y260" i="8"/>
  <c r="Z260" i="8" s="1"/>
  <c r="AA260" i="8" s="1"/>
  <c r="AB260" i="8"/>
  <c r="AC260" i="8" s="1"/>
  <c r="AD260" i="8" s="1"/>
  <c r="AG260" i="8"/>
  <c r="AI260" i="8"/>
  <c r="AQ260" i="8"/>
  <c r="A261" i="8"/>
  <c r="C261" i="8"/>
  <c r="G261" i="8"/>
  <c r="J261" i="8"/>
  <c r="K261" i="8" s="1"/>
  <c r="M261" i="8"/>
  <c r="P261" i="8"/>
  <c r="Q261" i="8" s="1"/>
  <c r="R261" i="8"/>
  <c r="S261" i="8"/>
  <c r="T261" i="8" s="1"/>
  <c r="U261" i="8" s="1"/>
  <c r="V261" i="8"/>
  <c r="Y261" i="8"/>
  <c r="Z261" i="8"/>
  <c r="AA261" i="8"/>
  <c r="AB261" i="8"/>
  <c r="AC261" i="8"/>
  <c r="AD261" i="8" s="1"/>
  <c r="AG261" i="8"/>
  <c r="AI261" i="8"/>
  <c r="AQ261" i="8"/>
  <c r="A262" i="8"/>
  <c r="C262" i="8"/>
  <c r="G262" i="8"/>
  <c r="H262" i="8"/>
  <c r="L262" i="8" s="1"/>
  <c r="J262" i="8"/>
  <c r="K262" i="8" s="1"/>
  <c r="M262" i="8"/>
  <c r="P262" i="8"/>
  <c r="Q262" i="8"/>
  <c r="R262" i="8"/>
  <c r="S262" i="8"/>
  <c r="T262" i="8"/>
  <c r="U262" i="8" s="1"/>
  <c r="V262" i="8"/>
  <c r="Y262" i="8"/>
  <c r="Z262" i="8" s="1"/>
  <c r="AA262" i="8" s="1"/>
  <c r="AB262" i="8"/>
  <c r="AC262" i="8" s="1"/>
  <c r="AD262" i="8" s="1"/>
  <c r="AG262" i="8"/>
  <c r="AI262" i="8"/>
  <c r="AQ262" i="8"/>
  <c r="A263" i="8"/>
  <c r="C263" i="8"/>
  <c r="G263" i="8"/>
  <c r="H263" i="8" s="1"/>
  <c r="L263" i="8" s="1"/>
  <c r="J263" i="8"/>
  <c r="K263" i="8" s="1"/>
  <c r="M263" i="8"/>
  <c r="P263" i="8"/>
  <c r="Q263" i="8" s="1"/>
  <c r="R263" i="8" s="1"/>
  <c r="S263" i="8"/>
  <c r="T263" i="8" s="1"/>
  <c r="U263" i="8" s="1"/>
  <c r="V263" i="8"/>
  <c r="Y263" i="8"/>
  <c r="Z263" i="8"/>
  <c r="AA263" i="8" s="1"/>
  <c r="AB263" i="8"/>
  <c r="AC263" i="8"/>
  <c r="AD263" i="8" s="1"/>
  <c r="AG263" i="8"/>
  <c r="AI263" i="8"/>
  <c r="AQ263" i="8"/>
  <c r="A264" i="8"/>
  <c r="C264" i="8" s="1"/>
  <c r="H264" i="8" s="1"/>
  <c r="L264" i="8" s="1"/>
  <c r="G264" i="8"/>
  <c r="J264" i="8"/>
  <c r="K264" i="8" s="1"/>
  <c r="M264" i="8"/>
  <c r="P264" i="8"/>
  <c r="Q264" i="8"/>
  <c r="R264" i="8" s="1"/>
  <c r="S264" i="8"/>
  <c r="T264" i="8"/>
  <c r="U264" i="8" s="1"/>
  <c r="V264" i="8"/>
  <c r="Y264" i="8"/>
  <c r="Z264" i="8" s="1"/>
  <c r="AA264" i="8" s="1"/>
  <c r="AB264" i="8"/>
  <c r="AC264" i="8" s="1"/>
  <c r="AD264" i="8" s="1"/>
  <c r="AG264" i="8"/>
  <c r="AI264" i="8"/>
  <c r="AQ264" i="8"/>
  <c r="A265" i="8"/>
  <c r="C265" i="8"/>
  <c r="G265" i="8"/>
  <c r="J265" i="8"/>
  <c r="K265" i="8" s="1"/>
  <c r="M265" i="8"/>
  <c r="P265" i="8"/>
  <c r="Q265" i="8" s="1"/>
  <c r="R265" i="8" s="1"/>
  <c r="S265" i="8"/>
  <c r="T265" i="8"/>
  <c r="U265" i="8" s="1"/>
  <c r="V265" i="8"/>
  <c r="Y265" i="8"/>
  <c r="Z265" i="8" s="1"/>
  <c r="AA265" i="8" s="1"/>
  <c r="AB265" i="8"/>
  <c r="AC265" i="8" s="1"/>
  <c r="AD265" i="8"/>
  <c r="AG265" i="8"/>
  <c r="AI265" i="8"/>
  <c r="AQ265" i="8"/>
  <c r="A266" i="8"/>
  <c r="C266" i="8" s="1"/>
  <c r="G266" i="8"/>
  <c r="H266" i="8"/>
  <c r="L266" i="8" s="1"/>
  <c r="E266" i="8" s="1"/>
  <c r="J266" i="8"/>
  <c r="K266" i="8" s="1"/>
  <c r="Q266" i="8" s="1"/>
  <c r="R266" i="8" s="1"/>
  <c r="M266" i="8"/>
  <c r="P266" i="8"/>
  <c r="S266" i="8"/>
  <c r="T266" i="8" s="1"/>
  <c r="U266" i="8" s="1"/>
  <c r="V266" i="8"/>
  <c r="Y266" i="8"/>
  <c r="AB266" i="8"/>
  <c r="AC266" i="8"/>
  <c r="AD266" i="8" s="1"/>
  <c r="AG266" i="8"/>
  <c r="AI266" i="8"/>
  <c r="AQ266" i="8"/>
  <c r="A267" i="8"/>
  <c r="C267" i="8" s="1"/>
  <c r="H267" i="8" s="1"/>
  <c r="L267" i="8" s="1"/>
  <c r="E267" i="8" s="1"/>
  <c r="G267" i="8"/>
  <c r="J267" i="8"/>
  <c r="K267" i="8" s="1"/>
  <c r="M267" i="8"/>
  <c r="N267" i="8" s="1"/>
  <c r="O267" i="8" s="1"/>
  <c r="P267" i="8"/>
  <c r="Q267" i="8" s="1"/>
  <c r="R267" i="8" s="1"/>
  <c r="S267" i="8"/>
  <c r="T267" i="8"/>
  <c r="U267" i="8" s="1"/>
  <c r="V267" i="8"/>
  <c r="Y267" i="8"/>
  <c r="Z267" i="8" s="1"/>
  <c r="AA267" i="8" s="1"/>
  <c r="AB267" i="8"/>
  <c r="AC267" i="8" s="1"/>
  <c r="AD267" i="8"/>
  <c r="AG267" i="8"/>
  <c r="AI267" i="8"/>
  <c r="AQ267" i="8"/>
  <c r="F13" i="5"/>
  <c r="G13" i="5" s="1"/>
  <c r="H13" i="5"/>
  <c r="I13" i="5"/>
  <c r="J13" i="5"/>
  <c r="L13" i="5"/>
  <c r="O13" i="5"/>
  <c r="R13" i="5"/>
  <c r="S13" i="5" s="1"/>
  <c r="T13" i="5" s="1"/>
  <c r="U13" i="5"/>
  <c r="X13" i="5"/>
  <c r="Y13" i="5" s="1"/>
  <c r="Z13" i="5"/>
  <c r="AA13" i="5"/>
  <c r="AB13" i="5"/>
  <c r="AC13" i="5" s="1"/>
  <c r="AF13" i="5"/>
  <c r="AG13" i="5"/>
  <c r="AH13" i="5"/>
  <c r="AK13" i="5"/>
  <c r="AT13" i="5"/>
  <c r="F14" i="5"/>
  <c r="G14" i="5" s="1"/>
  <c r="H14" i="5" s="1"/>
  <c r="K14" i="5" s="1"/>
  <c r="I14" i="5"/>
  <c r="J14" i="5"/>
  <c r="L14" i="5"/>
  <c r="O14" i="5"/>
  <c r="P14" i="5" s="1"/>
  <c r="Q14" i="5" s="1"/>
  <c r="R14" i="5"/>
  <c r="S14" i="5"/>
  <c r="T14" i="5"/>
  <c r="U14" i="5"/>
  <c r="X14" i="5"/>
  <c r="Y14" i="5"/>
  <c r="AA14" i="5"/>
  <c r="AB14" i="5" s="1"/>
  <c r="AF14" i="5"/>
  <c r="AG14" i="5"/>
  <c r="AH14" i="5"/>
  <c r="AK14" i="5"/>
  <c r="AT14" i="5"/>
  <c r="A23" i="5"/>
  <c r="F23" i="5"/>
  <c r="H23" i="5"/>
  <c r="K23" i="5" s="1"/>
  <c r="I23" i="5"/>
  <c r="J23" i="5"/>
  <c r="P23" i="5" s="1"/>
  <c r="L23" i="5"/>
  <c r="O23" i="5"/>
  <c r="Q23" i="5"/>
  <c r="R23" i="5"/>
  <c r="S23" i="5"/>
  <c r="T23" i="5" s="1"/>
  <c r="U23" i="5"/>
  <c r="X23" i="5"/>
  <c r="Y23" i="5" s="1"/>
  <c r="AA23" i="5"/>
  <c r="AB23" i="5" s="1"/>
  <c r="AF23" i="5"/>
  <c r="AG23" i="5"/>
  <c r="AH23" i="5"/>
  <c r="AK23" i="5"/>
  <c r="AM23" i="5"/>
  <c r="AO23" i="5"/>
  <c r="AT23" i="5"/>
  <c r="A24" i="5"/>
  <c r="F24" i="5"/>
  <c r="H24" i="5"/>
  <c r="I24" i="5"/>
  <c r="J24" i="5" s="1"/>
  <c r="P24" i="5" s="1"/>
  <c r="Q24" i="5" s="1"/>
  <c r="L24" i="5"/>
  <c r="O24" i="5"/>
  <c r="R24" i="5"/>
  <c r="S24" i="5" s="1"/>
  <c r="T24" i="5" s="1"/>
  <c r="U24" i="5"/>
  <c r="X24" i="5"/>
  <c r="Y24" i="5" s="1"/>
  <c r="AA24" i="5"/>
  <c r="AB24" i="5"/>
  <c r="AF24" i="5"/>
  <c r="AG24" i="5"/>
  <c r="AH24" i="5"/>
  <c r="AK24" i="5"/>
  <c r="AO24" i="5" s="1"/>
  <c r="AM24" i="5"/>
  <c r="AT24" i="5"/>
  <c r="A25" i="5"/>
  <c r="F25" i="5"/>
  <c r="H25" i="5"/>
  <c r="I25" i="5"/>
  <c r="J25" i="5" s="1"/>
  <c r="P25" i="5" s="1"/>
  <c r="Q25" i="5" s="1"/>
  <c r="L25" i="5"/>
  <c r="O25" i="5"/>
  <c r="R25" i="5"/>
  <c r="S25" i="5" s="1"/>
  <c r="T25" i="5"/>
  <c r="U25" i="5"/>
  <c r="X25" i="5"/>
  <c r="Y25" i="5" s="1"/>
  <c r="Z25" i="5" s="1"/>
  <c r="AA25" i="5"/>
  <c r="AB25" i="5"/>
  <c r="AF25" i="5"/>
  <c r="AG25" i="5"/>
  <c r="AH25" i="5"/>
  <c r="AK25" i="5"/>
  <c r="AN25" i="5" s="1"/>
  <c r="AT25" i="5"/>
  <c r="A26" i="5"/>
  <c r="F26" i="5"/>
  <c r="H26" i="5"/>
  <c r="I26" i="5"/>
  <c r="J26" i="5" s="1"/>
  <c r="L26" i="5"/>
  <c r="O26" i="5"/>
  <c r="R26" i="5"/>
  <c r="S26" i="5" s="1"/>
  <c r="T26" i="5" s="1"/>
  <c r="U26" i="5"/>
  <c r="X26" i="5"/>
  <c r="AA26" i="5"/>
  <c r="AB26" i="5" s="1"/>
  <c r="AF26" i="5"/>
  <c r="AG26" i="5"/>
  <c r="AH26" i="5"/>
  <c r="AK26" i="5"/>
  <c r="AL26" i="5" s="1"/>
  <c r="AT26" i="5"/>
  <c r="A27" i="5"/>
  <c r="F27" i="5"/>
  <c r="H27" i="5"/>
  <c r="I27" i="5"/>
  <c r="J27" i="5"/>
  <c r="K27" i="5" s="1"/>
  <c r="L27" i="5"/>
  <c r="O27" i="5"/>
  <c r="R27" i="5"/>
  <c r="S27" i="5"/>
  <c r="T27" i="5"/>
  <c r="U27" i="5"/>
  <c r="X27" i="5"/>
  <c r="Y27" i="5" s="1"/>
  <c r="AA27" i="5"/>
  <c r="AB27" i="5"/>
  <c r="AF27" i="5"/>
  <c r="AG27" i="5"/>
  <c r="AH27" i="5"/>
  <c r="AK27" i="5"/>
  <c r="AT27" i="5"/>
  <c r="A28" i="5"/>
  <c r="F28" i="5"/>
  <c r="H28" i="5"/>
  <c r="I28" i="5"/>
  <c r="J28" i="5"/>
  <c r="P28" i="5" s="1"/>
  <c r="Q28" i="5" s="1"/>
  <c r="L28" i="5"/>
  <c r="O28" i="5"/>
  <c r="R28" i="5"/>
  <c r="S28" i="5"/>
  <c r="T28" i="5" s="1"/>
  <c r="U28" i="5"/>
  <c r="X28" i="5"/>
  <c r="AA28" i="5"/>
  <c r="AB28" i="5"/>
  <c r="AC28" i="5" s="1"/>
  <c r="AF28" i="5"/>
  <c r="AG28" i="5"/>
  <c r="AH28" i="5"/>
  <c r="AK28" i="5"/>
  <c r="AT28" i="5"/>
  <c r="A29" i="5"/>
  <c r="F29" i="5"/>
  <c r="H29" i="5"/>
  <c r="I29" i="5"/>
  <c r="J29" i="5" s="1"/>
  <c r="K29" i="5" s="1"/>
  <c r="E29" i="5" s="1"/>
  <c r="L29" i="5"/>
  <c r="O29" i="5"/>
  <c r="R29" i="5"/>
  <c r="S29" i="5" s="1"/>
  <c r="T29" i="5" s="1"/>
  <c r="U29" i="5"/>
  <c r="V29" i="5" s="1"/>
  <c r="X29" i="5"/>
  <c r="Y29" i="5"/>
  <c r="Z29" i="5" s="1"/>
  <c r="AA29" i="5"/>
  <c r="AB29" i="5" s="1"/>
  <c r="AF29" i="5"/>
  <c r="AG29" i="5"/>
  <c r="AH29" i="5"/>
  <c r="AK29" i="5"/>
  <c r="AL29" i="5" s="1"/>
  <c r="AN29" i="5"/>
  <c r="AT29" i="5"/>
  <c r="A30" i="5"/>
  <c r="F30" i="5"/>
  <c r="H30" i="5"/>
  <c r="I30" i="5"/>
  <c r="J30" i="5"/>
  <c r="L30" i="5"/>
  <c r="O30" i="5"/>
  <c r="P30" i="5" s="1"/>
  <c r="Q30" i="5" s="1"/>
  <c r="R30" i="5"/>
  <c r="S30" i="5" s="1"/>
  <c r="T30" i="5" s="1"/>
  <c r="U30" i="5"/>
  <c r="X30" i="5"/>
  <c r="AA30" i="5"/>
  <c r="AB30" i="5"/>
  <c r="AF30" i="5"/>
  <c r="AG30" i="5"/>
  <c r="AH30" i="5"/>
  <c r="AK30" i="5"/>
  <c r="AL30" i="5" s="1"/>
  <c r="AT30" i="5"/>
  <c r="A31" i="5"/>
  <c r="F31" i="5"/>
  <c r="H31" i="5"/>
  <c r="K31" i="5" s="1"/>
  <c r="AD31" i="5" s="1"/>
  <c r="AE31" i="5" s="1"/>
  <c r="I31" i="5"/>
  <c r="J31" i="5"/>
  <c r="Y31" i="5" s="1"/>
  <c r="L31" i="5"/>
  <c r="O31" i="5"/>
  <c r="P31" i="5"/>
  <c r="Q31" i="5"/>
  <c r="R31" i="5"/>
  <c r="S31" i="5" s="1"/>
  <c r="T31" i="5" s="1"/>
  <c r="U31" i="5"/>
  <c r="X31" i="5"/>
  <c r="AA31" i="5"/>
  <c r="AB31" i="5"/>
  <c r="AC31" i="5" s="1"/>
  <c r="AF31" i="5"/>
  <c r="AG31" i="5"/>
  <c r="AH31" i="5"/>
  <c r="AK31" i="5"/>
  <c r="AL31" i="5"/>
  <c r="AN31" i="5"/>
  <c r="AT31" i="5"/>
  <c r="A32" i="5"/>
  <c r="F32" i="5"/>
  <c r="H32" i="5"/>
  <c r="K32" i="5" s="1"/>
  <c r="I32" i="5"/>
  <c r="J32" i="5"/>
  <c r="L32" i="5"/>
  <c r="O32" i="5"/>
  <c r="P32" i="5"/>
  <c r="Q32" i="5" s="1"/>
  <c r="R32" i="5"/>
  <c r="S32" i="5"/>
  <c r="T32" i="5" s="1"/>
  <c r="U32" i="5"/>
  <c r="X32" i="5"/>
  <c r="AA32" i="5"/>
  <c r="AB32" i="5" s="1"/>
  <c r="AF32" i="5"/>
  <c r="AG32" i="5"/>
  <c r="AH32" i="5"/>
  <c r="AK32" i="5"/>
  <c r="AL32" i="5" s="1"/>
  <c r="AT32" i="5"/>
  <c r="A33" i="5"/>
  <c r="F33" i="5"/>
  <c r="H33" i="5"/>
  <c r="K33" i="5" s="1"/>
  <c r="E33" i="5" s="1"/>
  <c r="V33" i="5" s="1"/>
  <c r="W33" i="5" s="1"/>
  <c r="I33" i="5"/>
  <c r="J33" i="5"/>
  <c r="L33" i="5"/>
  <c r="O33" i="5"/>
  <c r="P33" i="5" s="1"/>
  <c r="Q33" i="5" s="1"/>
  <c r="R33" i="5"/>
  <c r="S33" i="5" s="1"/>
  <c r="T33" i="5" s="1"/>
  <c r="U33" i="5"/>
  <c r="X33" i="5"/>
  <c r="Y33" i="5" s="1"/>
  <c r="Z33" i="5" s="1"/>
  <c r="AA33" i="5"/>
  <c r="AB33" i="5" s="1"/>
  <c r="AF33" i="5"/>
  <c r="AG33" i="5"/>
  <c r="AH33" i="5"/>
  <c r="AK33" i="5"/>
  <c r="AL33" i="5"/>
  <c r="AN33" i="5"/>
  <c r="AT33" i="5"/>
  <c r="A34" i="5"/>
  <c r="F34" i="5"/>
  <c r="H34" i="5"/>
  <c r="I34" i="5"/>
  <c r="J34" i="5" s="1"/>
  <c r="L34" i="5"/>
  <c r="O34" i="5"/>
  <c r="R34" i="5"/>
  <c r="S34" i="5"/>
  <c r="T34" i="5"/>
  <c r="U34" i="5"/>
  <c r="X34" i="5"/>
  <c r="AA34" i="5"/>
  <c r="AB34" i="5" s="1"/>
  <c r="AC34" i="5" s="1"/>
  <c r="AF34" i="5"/>
  <c r="AG34" i="5"/>
  <c r="AH34" i="5"/>
  <c r="AK34" i="5"/>
  <c r="AL34" i="5"/>
  <c r="AT34" i="5"/>
  <c r="A35" i="5"/>
  <c r="F35" i="5"/>
  <c r="H35" i="5"/>
  <c r="I35" i="5"/>
  <c r="J35" i="5" s="1"/>
  <c r="K35" i="5" s="1"/>
  <c r="L35" i="5"/>
  <c r="O35" i="5"/>
  <c r="P35" i="5"/>
  <c r="Q35" i="5" s="1"/>
  <c r="R35" i="5"/>
  <c r="S35" i="5"/>
  <c r="T35" i="5"/>
  <c r="U35" i="5"/>
  <c r="X35" i="5"/>
  <c r="Y35" i="5" s="1"/>
  <c r="AA35" i="5"/>
  <c r="AB35" i="5" s="1"/>
  <c r="AC35" i="5" s="1"/>
  <c r="AF35" i="5"/>
  <c r="AG35" i="5"/>
  <c r="AH35" i="5"/>
  <c r="AK35" i="5"/>
  <c r="AN35" i="5" s="1"/>
  <c r="AL35" i="5"/>
  <c r="AT35" i="5"/>
  <c r="A36" i="5"/>
  <c r="F36" i="5"/>
  <c r="H36" i="5"/>
  <c r="I36" i="5"/>
  <c r="J36" i="5"/>
  <c r="L36" i="5"/>
  <c r="O36" i="5"/>
  <c r="R36" i="5"/>
  <c r="S36" i="5"/>
  <c r="T36" i="5"/>
  <c r="U36" i="5"/>
  <c r="X36" i="5"/>
  <c r="Y36" i="5" s="1"/>
  <c r="AA36" i="5"/>
  <c r="AB36" i="5" s="1"/>
  <c r="AC36" i="5" s="1"/>
  <c r="AF36" i="5"/>
  <c r="AG36" i="5"/>
  <c r="AH36" i="5"/>
  <c r="AK36" i="5"/>
  <c r="AL36" i="5" s="1"/>
  <c r="AT36" i="5"/>
  <c r="A37" i="5"/>
  <c r="F37" i="5"/>
  <c r="H37" i="5"/>
  <c r="K37" i="5" s="1"/>
  <c r="AD37" i="5" s="1"/>
  <c r="I37" i="5"/>
  <c r="J37" i="5"/>
  <c r="L37" i="5"/>
  <c r="O37" i="5"/>
  <c r="P37" i="5" s="1"/>
  <c r="Q37" i="5" s="1"/>
  <c r="R37" i="5"/>
  <c r="S37" i="5" s="1"/>
  <c r="T37" i="5" s="1"/>
  <c r="U37" i="5"/>
  <c r="X37" i="5"/>
  <c r="Y37" i="5" s="1"/>
  <c r="Z37" i="5" s="1"/>
  <c r="AA37" i="5"/>
  <c r="AB37" i="5" s="1"/>
  <c r="AC37" i="5" s="1"/>
  <c r="AF37" i="5"/>
  <c r="AG37" i="5"/>
  <c r="AH37" i="5"/>
  <c r="AK37" i="5"/>
  <c r="AL37" i="5" s="1"/>
  <c r="AT37" i="5"/>
  <c r="F38" i="5"/>
  <c r="H38" i="5"/>
  <c r="K38" i="5" s="1"/>
  <c r="I38" i="5"/>
  <c r="J38" i="5"/>
  <c r="Y38" i="5" s="1"/>
  <c r="L38" i="5"/>
  <c r="O38" i="5"/>
  <c r="P38" i="5"/>
  <c r="Q38" i="5" s="1"/>
  <c r="R38" i="5"/>
  <c r="S38" i="5" s="1"/>
  <c r="T38" i="5" s="1"/>
  <c r="U38" i="5"/>
  <c r="X38" i="5"/>
  <c r="Z38" i="5"/>
  <c r="AA38" i="5"/>
  <c r="AB38" i="5"/>
  <c r="AC38" i="5" s="1"/>
  <c r="AF38" i="5"/>
  <c r="AG38" i="5"/>
  <c r="AH38" i="5"/>
  <c r="AK38" i="5"/>
  <c r="AL38" i="5"/>
  <c r="AN38" i="5"/>
  <c r="AT38" i="5"/>
  <c r="A47" i="5"/>
  <c r="F47" i="5"/>
  <c r="G47" i="5"/>
  <c r="H47" i="5" s="1"/>
  <c r="I47" i="5"/>
  <c r="J47" i="5"/>
  <c r="L47" i="5"/>
  <c r="O47" i="5"/>
  <c r="P47" i="5" s="1"/>
  <c r="Q47" i="5" s="1"/>
  <c r="R47" i="5"/>
  <c r="S47" i="5"/>
  <c r="T47" i="5" s="1"/>
  <c r="U47" i="5"/>
  <c r="X47" i="5"/>
  <c r="AA47" i="5"/>
  <c r="AB47" i="5" s="1"/>
  <c r="AF47" i="5"/>
  <c r="AG47" i="5"/>
  <c r="AH47" i="5"/>
  <c r="AK47" i="5"/>
  <c r="AM47" i="5" s="1"/>
  <c r="AO47" i="5"/>
  <c r="AT47" i="5"/>
  <c r="A48" i="5"/>
  <c r="F48" i="5"/>
  <c r="G48" i="5"/>
  <c r="H48" i="5" s="1"/>
  <c r="K48" i="5" s="1"/>
  <c r="I48" i="5"/>
  <c r="J48" i="5" s="1"/>
  <c r="P48" i="5" s="1"/>
  <c r="Q48" i="5" s="1"/>
  <c r="L48" i="5"/>
  <c r="O48" i="5"/>
  <c r="R48" i="5"/>
  <c r="S48" i="5"/>
  <c r="T48" i="5"/>
  <c r="U48" i="5"/>
  <c r="X48" i="5"/>
  <c r="AA48" i="5"/>
  <c r="AB48" i="5"/>
  <c r="AF48" i="5"/>
  <c r="AG48" i="5"/>
  <c r="AH48" i="5"/>
  <c r="AK48" i="5"/>
  <c r="AM48" i="5"/>
  <c r="AO48" i="5"/>
  <c r="AT48" i="5"/>
  <c r="A49" i="5"/>
  <c r="F49" i="5"/>
  <c r="G49" i="5" s="1"/>
  <c r="H49" i="5" s="1"/>
  <c r="I49" i="5"/>
  <c r="J49" i="5" s="1"/>
  <c r="Y49" i="5" s="1"/>
  <c r="Z49" i="5" s="1"/>
  <c r="L49" i="5"/>
  <c r="O49" i="5"/>
  <c r="R49" i="5"/>
  <c r="S49" i="5" s="1"/>
  <c r="T49" i="5" s="1"/>
  <c r="U49" i="5"/>
  <c r="X49" i="5"/>
  <c r="AA49" i="5"/>
  <c r="AB49" i="5"/>
  <c r="AF49" i="5"/>
  <c r="AG49" i="5"/>
  <c r="AH49" i="5"/>
  <c r="AK49" i="5"/>
  <c r="AL49" i="5"/>
  <c r="AN49" i="5"/>
  <c r="AT49" i="5"/>
  <c r="A50" i="5"/>
  <c r="F50" i="5"/>
  <c r="G50" i="5"/>
  <c r="H50" i="5" s="1"/>
  <c r="K50" i="5" s="1"/>
  <c r="I50" i="5"/>
  <c r="J50" i="5"/>
  <c r="P50" i="5" s="1"/>
  <c r="Q50" i="5" s="1"/>
  <c r="L50" i="5"/>
  <c r="O50" i="5"/>
  <c r="R50" i="5"/>
  <c r="S50" i="5" s="1"/>
  <c r="T50" i="5" s="1"/>
  <c r="U50" i="5"/>
  <c r="X50" i="5"/>
  <c r="AA50" i="5"/>
  <c r="AB50" i="5" s="1"/>
  <c r="AC50" i="5" s="1"/>
  <c r="AF50" i="5"/>
  <c r="AG50" i="5"/>
  <c r="AH50" i="5"/>
  <c r="AK50" i="5"/>
  <c r="AL50" i="5"/>
  <c r="AN50" i="5"/>
  <c r="AT50" i="5"/>
  <c r="A51" i="5"/>
  <c r="F51" i="5"/>
  <c r="G51" i="5"/>
  <c r="H51" i="5"/>
  <c r="K51" i="5" s="1"/>
  <c r="I51" i="5"/>
  <c r="J51" i="5"/>
  <c r="L51" i="5"/>
  <c r="O51" i="5"/>
  <c r="R51" i="5"/>
  <c r="S51" i="5" s="1"/>
  <c r="T51" i="5"/>
  <c r="U51" i="5"/>
  <c r="X51" i="5"/>
  <c r="Y51" i="5" s="1"/>
  <c r="Z51" i="5" s="1"/>
  <c r="AA51" i="5"/>
  <c r="AB51" i="5" s="1"/>
  <c r="AF51" i="5"/>
  <c r="AG51" i="5"/>
  <c r="AH51" i="5"/>
  <c r="AK51" i="5"/>
  <c r="AT51" i="5"/>
  <c r="A52" i="5"/>
  <c r="F52" i="5"/>
  <c r="G52" i="5"/>
  <c r="H52" i="5" s="1"/>
  <c r="I52" i="5"/>
  <c r="J52" i="5"/>
  <c r="L52" i="5"/>
  <c r="O52" i="5"/>
  <c r="R52" i="5"/>
  <c r="S52" i="5"/>
  <c r="T52" i="5"/>
  <c r="U52" i="5"/>
  <c r="X52" i="5"/>
  <c r="AA52" i="5"/>
  <c r="AB52" i="5"/>
  <c r="AC52" i="5" s="1"/>
  <c r="AF52" i="5"/>
  <c r="AG52" i="5"/>
  <c r="AH52" i="5"/>
  <c r="AK52" i="5"/>
  <c r="AL52" i="5"/>
  <c r="AN52" i="5"/>
  <c r="AT52" i="5"/>
  <c r="A53" i="5"/>
  <c r="F53" i="5"/>
  <c r="G53" i="5" s="1"/>
  <c r="H53" i="5" s="1"/>
  <c r="K53" i="5" s="1"/>
  <c r="I53" i="5"/>
  <c r="J53" i="5" s="1"/>
  <c r="Y53" i="5" s="1"/>
  <c r="L53" i="5"/>
  <c r="O53" i="5"/>
  <c r="P53" i="5" s="1"/>
  <c r="Q53" i="5" s="1"/>
  <c r="R53" i="5"/>
  <c r="S53" i="5" s="1"/>
  <c r="T53" i="5" s="1"/>
  <c r="U53" i="5"/>
  <c r="X53" i="5"/>
  <c r="Z53" i="5"/>
  <c r="AA53" i="5"/>
  <c r="AB53" i="5"/>
  <c r="AF53" i="5"/>
  <c r="AG53" i="5"/>
  <c r="AH53" i="5"/>
  <c r="AK53" i="5"/>
  <c r="AL53" i="5"/>
  <c r="AN53" i="5"/>
  <c r="AT53" i="5"/>
  <c r="A54" i="5"/>
  <c r="F54" i="5"/>
  <c r="G54" i="5" s="1"/>
  <c r="H54" i="5" s="1"/>
  <c r="K54" i="5" s="1"/>
  <c r="I54" i="5"/>
  <c r="J54" i="5"/>
  <c r="L54" i="5"/>
  <c r="O54" i="5"/>
  <c r="P54" i="5"/>
  <c r="Q54" i="5" s="1"/>
  <c r="R54" i="5"/>
  <c r="S54" i="5" s="1"/>
  <c r="T54" i="5" s="1"/>
  <c r="U54" i="5"/>
  <c r="X54" i="5"/>
  <c r="AA54" i="5"/>
  <c r="AB54" i="5" s="1"/>
  <c r="AC54" i="5" s="1"/>
  <c r="AF54" i="5"/>
  <c r="AG54" i="5"/>
  <c r="AH54" i="5"/>
  <c r="AK54" i="5"/>
  <c r="AL54" i="5"/>
  <c r="AN54" i="5"/>
  <c r="AT54" i="5"/>
  <c r="A55" i="5"/>
  <c r="F55" i="5"/>
  <c r="G55" i="5"/>
  <c r="H55" i="5"/>
  <c r="K55" i="5" s="1"/>
  <c r="AD55" i="5" s="1"/>
  <c r="I55" i="5"/>
  <c r="J55" i="5"/>
  <c r="L55" i="5"/>
  <c r="O55" i="5"/>
  <c r="P55" i="5" s="1"/>
  <c r="Q55" i="5" s="1"/>
  <c r="R55" i="5"/>
  <c r="S55" i="5" s="1"/>
  <c r="T55" i="5"/>
  <c r="U55" i="5"/>
  <c r="X55" i="5"/>
  <c r="Y55" i="5" s="1"/>
  <c r="Z55" i="5"/>
  <c r="AA55" i="5"/>
  <c r="AB55" i="5" s="1"/>
  <c r="AF55" i="5"/>
  <c r="AG55" i="5"/>
  <c r="AI55" i="5" s="1"/>
  <c r="AH55" i="5"/>
  <c r="AK55" i="5"/>
  <c r="AL55" i="5" s="1"/>
  <c r="AT55" i="5"/>
  <c r="AU55" i="5" s="1"/>
  <c r="A56" i="5"/>
  <c r="F56" i="5"/>
  <c r="G56" i="5"/>
  <c r="H56" i="5" s="1"/>
  <c r="K56" i="5"/>
  <c r="AD56" i="5" s="1"/>
  <c r="I56" i="5"/>
  <c r="J56" i="5" s="1"/>
  <c r="P56" i="5" s="1"/>
  <c r="L56" i="5"/>
  <c r="O56" i="5"/>
  <c r="Q56" i="5"/>
  <c r="R56" i="5"/>
  <c r="S56" i="5"/>
  <c r="T56" i="5" s="1"/>
  <c r="U56" i="5"/>
  <c r="X56" i="5"/>
  <c r="AA56" i="5"/>
  <c r="AB56" i="5"/>
  <c r="AF56" i="5"/>
  <c r="AU56" i="5" s="1"/>
  <c r="AG56" i="5"/>
  <c r="AH56" i="5"/>
  <c r="AI56" i="5" s="1"/>
  <c r="AK56" i="5"/>
  <c r="AL56" i="5"/>
  <c r="AN56" i="5"/>
  <c r="AT56" i="5"/>
  <c r="A57" i="5"/>
  <c r="F57" i="5"/>
  <c r="G57" i="5" s="1"/>
  <c r="H57" i="5" s="1"/>
  <c r="K57" i="5" s="1"/>
  <c r="I57" i="5"/>
  <c r="J57" i="5" s="1"/>
  <c r="Y57" i="5" s="1"/>
  <c r="L57" i="5"/>
  <c r="O57" i="5"/>
  <c r="R57" i="5"/>
  <c r="S57" i="5" s="1"/>
  <c r="T57" i="5" s="1"/>
  <c r="U57" i="5"/>
  <c r="X57" i="5"/>
  <c r="Z57" i="5"/>
  <c r="AA57" i="5"/>
  <c r="AB57" i="5"/>
  <c r="AF57" i="5"/>
  <c r="AG57" i="5"/>
  <c r="AH57" i="5"/>
  <c r="AK57" i="5"/>
  <c r="AL57" i="5"/>
  <c r="AN57" i="5"/>
  <c r="AT57" i="5"/>
  <c r="A58" i="5"/>
  <c r="F58" i="5"/>
  <c r="G58" i="5"/>
  <c r="H58" i="5" s="1"/>
  <c r="K58" i="5" s="1"/>
  <c r="I58" i="5"/>
  <c r="J58" i="5"/>
  <c r="P58" i="5" s="1"/>
  <c r="Q58" i="5" s="1"/>
  <c r="L58" i="5"/>
  <c r="O58" i="5"/>
  <c r="R58" i="5"/>
  <c r="S58" i="5" s="1"/>
  <c r="T58" i="5" s="1"/>
  <c r="U58" i="5"/>
  <c r="X58" i="5"/>
  <c r="AA58" i="5"/>
  <c r="AB58" i="5" s="1"/>
  <c r="AF58" i="5"/>
  <c r="AG58" i="5"/>
  <c r="AH58" i="5"/>
  <c r="AK58" i="5"/>
  <c r="AL58" i="5"/>
  <c r="AN58" i="5"/>
  <c r="AT58" i="5"/>
  <c r="A59" i="5"/>
  <c r="F59" i="5"/>
  <c r="G59" i="5"/>
  <c r="H59" i="5"/>
  <c r="K59" i="5" s="1"/>
  <c r="I59" i="5"/>
  <c r="J59" i="5"/>
  <c r="L59" i="5"/>
  <c r="O59" i="5"/>
  <c r="R59" i="5"/>
  <c r="S59" i="5" s="1"/>
  <c r="T59" i="5"/>
  <c r="U59" i="5"/>
  <c r="X59" i="5"/>
  <c r="Y59" i="5"/>
  <c r="Z59" i="5" s="1"/>
  <c r="AA59" i="5"/>
  <c r="AB59" i="5" s="1"/>
  <c r="AF59" i="5"/>
  <c r="AG59" i="5"/>
  <c r="AH59" i="5"/>
  <c r="AK59" i="5"/>
  <c r="AL59" i="5"/>
  <c r="AN59" i="5"/>
  <c r="AT59" i="5"/>
  <c r="A60" i="5"/>
  <c r="F60" i="5"/>
  <c r="G60" i="5"/>
  <c r="H60" i="5" s="1"/>
  <c r="I60" i="5"/>
  <c r="J60" i="5"/>
  <c r="L60" i="5"/>
  <c r="O60" i="5"/>
  <c r="R60" i="5"/>
  <c r="S60" i="5"/>
  <c r="T60" i="5"/>
  <c r="U60" i="5"/>
  <c r="X60" i="5"/>
  <c r="AA60" i="5"/>
  <c r="AB60" i="5"/>
  <c r="AC60" i="5" s="1"/>
  <c r="AF60" i="5"/>
  <c r="AG60" i="5"/>
  <c r="AH60" i="5"/>
  <c r="AK60" i="5"/>
  <c r="AL60" i="5"/>
  <c r="AN60" i="5"/>
  <c r="AT60" i="5"/>
  <c r="A61" i="5"/>
  <c r="F61" i="5"/>
  <c r="G61" i="5" s="1"/>
  <c r="H61" i="5" s="1"/>
  <c r="K61" i="5" s="1"/>
  <c r="E61" i="5" s="1"/>
  <c r="M61" i="5" s="1"/>
  <c r="I61" i="5"/>
  <c r="J61" i="5" s="1"/>
  <c r="Y61" i="5" s="1"/>
  <c r="L61" i="5"/>
  <c r="O61" i="5"/>
  <c r="P61" i="5" s="1"/>
  <c r="Q61" i="5" s="1"/>
  <c r="R61" i="5"/>
  <c r="S61" i="5" s="1"/>
  <c r="T61" i="5" s="1"/>
  <c r="U61" i="5"/>
  <c r="X61" i="5"/>
  <c r="Z61" i="5"/>
  <c r="AA61" i="5"/>
  <c r="AB61" i="5"/>
  <c r="AC61" i="5" s="1"/>
  <c r="AF61" i="5"/>
  <c r="AG61" i="5"/>
  <c r="AH61" i="5"/>
  <c r="AK61" i="5"/>
  <c r="AL61" i="5"/>
  <c r="AN61" i="5"/>
  <c r="AT61" i="5"/>
  <c r="A62" i="5"/>
  <c r="F62" i="5"/>
  <c r="G62" i="5" s="1"/>
  <c r="H62" i="5" s="1"/>
  <c r="K62" i="5" s="1"/>
  <c r="I62" i="5"/>
  <c r="J62" i="5"/>
  <c r="L62" i="5"/>
  <c r="O62" i="5"/>
  <c r="P62" i="5"/>
  <c r="Q62" i="5" s="1"/>
  <c r="R62" i="5"/>
  <c r="S62" i="5" s="1"/>
  <c r="T62" i="5" s="1"/>
  <c r="U62" i="5"/>
  <c r="X62" i="5"/>
  <c r="AA62" i="5"/>
  <c r="AB62" i="5"/>
  <c r="AC62" i="5" s="1"/>
  <c r="AF62" i="5"/>
  <c r="AG62" i="5"/>
  <c r="AH62" i="5"/>
  <c r="AK62" i="5"/>
  <c r="AL62" i="5"/>
  <c r="AN62" i="5"/>
  <c r="AT62" i="5"/>
  <c r="C73" i="5"/>
  <c r="F73" i="5"/>
  <c r="G73" i="5"/>
  <c r="H73" i="5"/>
  <c r="I73" i="5"/>
  <c r="L73" i="5"/>
  <c r="O73" i="5"/>
  <c r="R73" i="5"/>
  <c r="U73" i="5"/>
  <c r="X73" i="5"/>
  <c r="AA73" i="5"/>
  <c r="AF73" i="5"/>
  <c r="AG73" i="5"/>
  <c r="AH73" i="5"/>
  <c r="AK73" i="5"/>
  <c r="AM73" i="5"/>
  <c r="AT73" i="5"/>
  <c r="C75" i="5"/>
  <c r="F75" i="5"/>
  <c r="G75" i="5" s="1"/>
  <c r="H75" i="5" s="1"/>
  <c r="I75" i="5"/>
  <c r="L75" i="5"/>
  <c r="O75" i="5"/>
  <c r="R75" i="5"/>
  <c r="U75" i="5"/>
  <c r="X75" i="5"/>
  <c r="AA75" i="5"/>
  <c r="AB75" i="5"/>
  <c r="AF75" i="5"/>
  <c r="AG75" i="5"/>
  <c r="AH75" i="5"/>
  <c r="AK75" i="5"/>
  <c r="AL75" i="5" s="1"/>
  <c r="AN75" i="5"/>
  <c r="AT75" i="5"/>
  <c r="C76" i="5"/>
  <c r="F76" i="5"/>
  <c r="G76" i="5"/>
  <c r="H76" i="5"/>
  <c r="K76" i="5" s="1"/>
  <c r="I76" i="5"/>
  <c r="J76" i="5" s="1"/>
  <c r="L76" i="5"/>
  <c r="O76" i="5"/>
  <c r="R76" i="5"/>
  <c r="S76" i="5" s="1"/>
  <c r="T76" i="5" s="1"/>
  <c r="U76" i="5"/>
  <c r="X76" i="5"/>
  <c r="Y76" i="5"/>
  <c r="Z76" i="5" s="1"/>
  <c r="AA76" i="5"/>
  <c r="AB76" i="5" s="1"/>
  <c r="AC76" i="5" s="1"/>
  <c r="AF76" i="5"/>
  <c r="AG76" i="5"/>
  <c r="AH76" i="5"/>
  <c r="AK76" i="5"/>
  <c r="AT76" i="5"/>
  <c r="C77" i="5"/>
  <c r="F77" i="5"/>
  <c r="G77" i="5" s="1"/>
  <c r="H77" i="5" s="1"/>
  <c r="I77" i="5"/>
  <c r="L77" i="5"/>
  <c r="O77" i="5"/>
  <c r="R77" i="5"/>
  <c r="U77" i="5"/>
  <c r="X77" i="5"/>
  <c r="AA77" i="5"/>
  <c r="AF77" i="5"/>
  <c r="AG77" i="5"/>
  <c r="AH77" i="5"/>
  <c r="AK77" i="5"/>
  <c r="AT77" i="5"/>
  <c r="C78" i="5"/>
  <c r="F78" i="5"/>
  <c r="G78" i="5"/>
  <c r="H78" i="5" s="1"/>
  <c r="I78" i="5"/>
  <c r="J78" i="5" s="1"/>
  <c r="L78" i="5"/>
  <c r="O78" i="5"/>
  <c r="R78" i="5"/>
  <c r="U78" i="5"/>
  <c r="X78" i="5"/>
  <c r="AA78" i="5"/>
  <c r="AB78" i="5"/>
  <c r="AC78" i="5" s="1"/>
  <c r="AF78" i="5"/>
  <c r="AG78" i="5"/>
  <c r="AH78" i="5"/>
  <c r="AK78" i="5"/>
  <c r="AT78" i="5"/>
  <c r="C79" i="5"/>
  <c r="F79" i="5"/>
  <c r="G79" i="5"/>
  <c r="H79" i="5" s="1"/>
  <c r="I79" i="5"/>
  <c r="J79" i="5" s="1"/>
  <c r="P79" i="5" s="1"/>
  <c r="Q79" i="5" s="1"/>
  <c r="L79" i="5"/>
  <c r="O79" i="5"/>
  <c r="R79" i="5"/>
  <c r="S79" i="5" s="1"/>
  <c r="T79" i="5" s="1"/>
  <c r="U79" i="5"/>
  <c r="X79" i="5"/>
  <c r="AA79" i="5"/>
  <c r="AB79" i="5" s="1"/>
  <c r="AF79" i="5"/>
  <c r="AG79" i="5"/>
  <c r="AH79" i="5"/>
  <c r="AK79" i="5"/>
  <c r="AL79" i="5" s="1"/>
  <c r="AN79" i="5"/>
  <c r="AT79" i="5"/>
  <c r="C81" i="5"/>
  <c r="F81" i="5"/>
  <c r="G81" i="5"/>
  <c r="H81" i="5"/>
  <c r="I81" i="5"/>
  <c r="J81" i="5" s="1"/>
  <c r="P81" i="5" s="1"/>
  <c r="Q81" i="5" s="1"/>
  <c r="L81" i="5"/>
  <c r="O81" i="5"/>
  <c r="R81" i="5"/>
  <c r="U81" i="5"/>
  <c r="X81" i="5"/>
  <c r="AA81" i="5"/>
  <c r="AB81" i="5"/>
  <c r="AC81" i="5" s="1"/>
  <c r="AF81" i="5"/>
  <c r="AG81" i="5"/>
  <c r="AH81" i="5"/>
  <c r="AK81" i="5"/>
  <c r="AT81" i="5"/>
  <c r="C82" i="5"/>
  <c r="F82" i="5"/>
  <c r="G82" i="5" s="1"/>
  <c r="H82" i="5"/>
  <c r="K82" i="5" s="1"/>
  <c r="AD82" i="5" s="1"/>
  <c r="AI82" i="5" s="1"/>
  <c r="AM82" i="5" s="1"/>
  <c r="I82" i="5"/>
  <c r="J82" i="5" s="1"/>
  <c r="L82" i="5"/>
  <c r="O82" i="5"/>
  <c r="P82" i="5" s="1"/>
  <c r="Q82" i="5" s="1"/>
  <c r="R82" i="5"/>
  <c r="S82" i="5"/>
  <c r="T82" i="5" s="1"/>
  <c r="U82" i="5"/>
  <c r="X82" i="5"/>
  <c r="AA82" i="5"/>
  <c r="AB82" i="5" s="1"/>
  <c r="AF82" i="5"/>
  <c r="AG82" i="5"/>
  <c r="AH82" i="5"/>
  <c r="AK82" i="5"/>
  <c r="AT82" i="5"/>
  <c r="C83" i="5"/>
  <c r="F83" i="5"/>
  <c r="G83" i="5"/>
  <c r="H83" i="5" s="1"/>
  <c r="I83" i="5"/>
  <c r="J83" i="5" s="1"/>
  <c r="P83" i="5" s="1"/>
  <c r="Q83" i="5" s="1"/>
  <c r="L83" i="5"/>
  <c r="O83" i="5"/>
  <c r="R83" i="5"/>
  <c r="S83" i="5"/>
  <c r="T83" i="5" s="1"/>
  <c r="U83" i="5"/>
  <c r="X83" i="5"/>
  <c r="AA83" i="5"/>
  <c r="AB83" i="5"/>
  <c r="AF83" i="5"/>
  <c r="AG83" i="5"/>
  <c r="AH83" i="5"/>
  <c r="AK83" i="5"/>
  <c r="AT83" i="5"/>
  <c r="C84" i="5"/>
  <c r="F84" i="5"/>
  <c r="G84" i="5" s="1"/>
  <c r="H84" i="5" s="1"/>
  <c r="K84" i="5" s="1"/>
  <c r="E84" i="5" s="1"/>
  <c r="I84" i="5"/>
  <c r="J84" i="5"/>
  <c r="L84" i="5"/>
  <c r="O84" i="5"/>
  <c r="R84" i="5"/>
  <c r="S84" i="5"/>
  <c r="T84" i="5" s="1"/>
  <c r="U84" i="5"/>
  <c r="X84" i="5"/>
  <c r="AA84" i="5"/>
  <c r="AB84" i="5" s="1"/>
  <c r="AF84" i="5"/>
  <c r="AK84" i="5"/>
  <c r="AL84" i="5"/>
  <c r="AN84" i="5"/>
  <c r="AT84" i="5"/>
  <c r="D88" i="5"/>
  <c r="D89" i="5"/>
  <c r="D90" i="5"/>
  <c r="AC90" i="5"/>
  <c r="AD90" i="5" s="1"/>
  <c r="D91" i="5"/>
  <c r="AC91" i="5"/>
  <c r="AD91" i="5"/>
  <c r="D92" i="5"/>
  <c r="AC92" i="5"/>
  <c r="AD92" i="5"/>
  <c r="D93" i="5"/>
  <c r="D94" i="5"/>
  <c r="D95" i="5"/>
  <c r="AC95" i="5"/>
  <c r="AD95" i="5"/>
  <c r="D96" i="5"/>
  <c r="AC96" i="5"/>
  <c r="AD96" i="5"/>
  <c r="D97" i="5"/>
  <c r="AC97" i="5"/>
  <c r="AD97" i="5"/>
  <c r="D98" i="5"/>
  <c r="AC98" i="5"/>
  <c r="AD98" i="5" s="1"/>
  <c r="D99" i="5"/>
  <c r="AC99" i="5"/>
  <c r="AD99" i="5"/>
  <c r="D100" i="5"/>
  <c r="AC100" i="5"/>
  <c r="AD100" i="5" s="1"/>
  <c r="D101" i="5"/>
  <c r="AC101" i="5"/>
  <c r="AD101" i="5" s="1"/>
  <c r="D102" i="5"/>
  <c r="AC102" i="5"/>
  <c r="AD102" i="5" s="1"/>
  <c r="D103" i="5"/>
  <c r="AC103" i="5"/>
  <c r="AD103" i="5"/>
  <c r="D104" i="5"/>
  <c r="AC104" i="5"/>
  <c r="AD104" i="5"/>
  <c r="D105" i="5"/>
  <c r="AC105" i="5"/>
  <c r="AD105" i="5"/>
  <c r="D106" i="5"/>
  <c r="AC106" i="5"/>
  <c r="AD106" i="5" s="1"/>
  <c r="D107" i="5"/>
  <c r="AC107" i="5"/>
  <c r="AD107" i="5"/>
  <c r="D108" i="5"/>
  <c r="R208" i="19"/>
  <c r="Z208" i="19"/>
  <c r="R212" i="19"/>
  <c r="Z212" i="19" s="1"/>
  <c r="Q212" i="19"/>
  <c r="Y212" i="19"/>
  <c r="S212" i="19"/>
  <c r="Q208" i="19"/>
  <c r="Y208" i="19"/>
  <c r="R207" i="19"/>
  <c r="Z207" i="19"/>
  <c r="R211" i="19"/>
  <c r="Z211" i="19" s="1"/>
  <c r="Q211" i="19"/>
  <c r="S211" i="19" s="1"/>
  <c r="Y211" i="19"/>
  <c r="Q207" i="19"/>
  <c r="Y207" i="19" s="1"/>
  <c r="R206" i="19"/>
  <c r="Z206" i="19"/>
  <c r="R210" i="19"/>
  <c r="Z210" i="19"/>
  <c r="Q205" i="19"/>
  <c r="Y205" i="19" s="1"/>
  <c r="S205" i="19"/>
  <c r="Q209" i="19"/>
  <c r="Y209" i="19" s="1"/>
  <c r="R205" i="19"/>
  <c r="Z205" i="19" s="1"/>
  <c r="R213" i="19"/>
  <c r="Z213" i="19"/>
  <c r="R209" i="19"/>
  <c r="Z209" i="19"/>
  <c r="E56" i="5"/>
  <c r="V56" i="5"/>
  <c r="W56" i="5" s="1"/>
  <c r="AD48" i="5"/>
  <c r="E48" i="5"/>
  <c r="V48" i="5" s="1"/>
  <c r="W48" i="5" s="1"/>
  <c r="K36" i="5"/>
  <c r="Y32" i="5"/>
  <c r="K30" i="5"/>
  <c r="Y30" i="5"/>
  <c r="K24" i="5"/>
  <c r="E24" i="5" s="1"/>
  <c r="AE267" i="8"/>
  <c r="F267" i="8"/>
  <c r="AE253" i="8"/>
  <c r="AJ253" i="8" s="1"/>
  <c r="AK253" i="8" s="1"/>
  <c r="AE251" i="8"/>
  <c r="F251" i="8"/>
  <c r="N251" i="8" s="1"/>
  <c r="O251" i="8" s="1"/>
  <c r="AE243" i="8"/>
  <c r="AJ243" i="8" s="1"/>
  <c r="E241" i="8"/>
  <c r="E218" i="8"/>
  <c r="AE76" i="8"/>
  <c r="E76" i="8"/>
  <c r="F76" i="8"/>
  <c r="W76" i="8" s="1"/>
  <c r="X76" i="8" s="1"/>
  <c r="H231" i="8"/>
  <c r="H227" i="8"/>
  <c r="L227" i="8" s="1"/>
  <c r="H219" i="8"/>
  <c r="L219" i="8" s="1"/>
  <c r="H217" i="8"/>
  <c r="L217" i="8" s="1"/>
  <c r="H215" i="8"/>
  <c r="L215" i="8" s="1"/>
  <c r="H211" i="8"/>
  <c r="L211" i="8" s="1"/>
  <c r="H209" i="8"/>
  <c r="L209" i="8"/>
  <c r="AD61" i="5"/>
  <c r="E37" i="5"/>
  <c r="AD33" i="5"/>
  <c r="AD29" i="5"/>
  <c r="AE266" i="8"/>
  <c r="F266" i="8"/>
  <c r="W266" i="8" s="1"/>
  <c r="X266" i="8" s="1"/>
  <c r="AE264" i="8"/>
  <c r="AE258" i="8"/>
  <c r="E258" i="8"/>
  <c r="E256" i="8"/>
  <c r="AE250" i="8"/>
  <c r="F250" i="8"/>
  <c r="AE194" i="8"/>
  <c r="E193" i="8"/>
  <c r="E188" i="8"/>
  <c r="F188" i="8"/>
  <c r="AE188" i="8"/>
  <c r="AE185" i="8"/>
  <c r="AJ185" i="8" s="1"/>
  <c r="AL185" i="8" s="1"/>
  <c r="E185" i="8"/>
  <c r="AE183" i="8"/>
  <c r="E180" i="8"/>
  <c r="AE180" i="8"/>
  <c r="AF180" i="8" s="1"/>
  <c r="AR180" i="8" s="1"/>
  <c r="AE177" i="8"/>
  <c r="E177" i="8"/>
  <c r="F177" i="8" s="1"/>
  <c r="W177" i="8" s="1"/>
  <c r="AE175" i="8"/>
  <c r="E175" i="8"/>
  <c r="F175" i="8" s="1"/>
  <c r="N175" i="8" s="1"/>
  <c r="F155" i="8"/>
  <c r="AE155" i="8"/>
  <c r="AE154" i="8"/>
  <c r="E154" i="8"/>
  <c r="F154" i="8" s="1"/>
  <c r="AE149" i="8"/>
  <c r="F147" i="8"/>
  <c r="AE147" i="8"/>
  <c r="E141" i="8"/>
  <c r="F141" i="8" s="1"/>
  <c r="N141" i="8" s="1"/>
  <c r="AE141" i="8"/>
  <c r="AE136" i="8"/>
  <c r="E136" i="8"/>
  <c r="F136" i="8"/>
  <c r="N136" i="8" s="1"/>
  <c r="O136" i="8" s="1"/>
  <c r="F131" i="8"/>
  <c r="AE131" i="8"/>
  <c r="AE123" i="8"/>
  <c r="AF123" i="8" s="1"/>
  <c r="AR123" i="8" s="1"/>
  <c r="E123" i="8"/>
  <c r="E120" i="8"/>
  <c r="AE119" i="8"/>
  <c r="E119" i="8"/>
  <c r="F119" i="8"/>
  <c r="N119" i="8" s="1"/>
  <c r="O119" i="8" s="1"/>
  <c r="E118" i="8"/>
  <c r="F118" i="8" s="1"/>
  <c r="N118" i="8" s="1"/>
  <c r="AE118" i="8"/>
  <c r="AE117" i="8"/>
  <c r="E117" i="8"/>
  <c r="F117" i="8"/>
  <c r="E116" i="8"/>
  <c r="F116" i="8"/>
  <c r="AE116" i="8"/>
  <c r="AE113" i="8"/>
  <c r="E113" i="8"/>
  <c r="F113" i="8" s="1"/>
  <c r="AE109" i="8"/>
  <c r="E109" i="8"/>
  <c r="F109" i="8"/>
  <c r="E108" i="8"/>
  <c r="F108" i="8"/>
  <c r="AE108" i="8"/>
  <c r="AE97" i="8"/>
  <c r="E97" i="8"/>
  <c r="F97" i="8"/>
  <c r="W97" i="8" s="1"/>
  <c r="X97" i="8" s="1"/>
  <c r="M56" i="5"/>
  <c r="N56" i="5" s="1"/>
  <c r="E60" i="8"/>
  <c r="F60" i="8"/>
  <c r="AE60" i="8"/>
  <c r="F33" i="8"/>
  <c r="N33" i="8" s="1"/>
  <c r="O33" i="8" s="1"/>
  <c r="W33" i="8"/>
  <c r="X33" i="8" s="1"/>
  <c r="AE33" i="8"/>
  <c r="AE191" i="6"/>
  <c r="AF191" i="6" s="1"/>
  <c r="AR191" i="6" s="1"/>
  <c r="F191" i="6"/>
  <c r="E187" i="6"/>
  <c r="F187" i="6" s="1"/>
  <c r="W187" i="6" s="1"/>
  <c r="X187" i="6" s="1"/>
  <c r="AE187" i="6"/>
  <c r="E179" i="6"/>
  <c r="F179" i="6" s="1"/>
  <c r="AE179" i="6"/>
  <c r="AN78" i="5"/>
  <c r="AL78" i="5"/>
  <c r="AN76" i="5"/>
  <c r="AN36" i="5"/>
  <c r="AN34" i="5"/>
  <c r="AN30" i="5"/>
  <c r="AN26" i="5"/>
  <c r="Z103" i="8"/>
  <c r="AA103" i="8"/>
  <c r="Z102" i="8"/>
  <c r="Z101" i="8"/>
  <c r="Z99" i="8"/>
  <c r="Z98" i="8"/>
  <c r="Z97" i="8"/>
  <c r="AA97" i="8"/>
  <c r="Z96" i="8"/>
  <c r="AA96" i="8" s="1"/>
  <c r="Z87" i="8"/>
  <c r="AA87" i="8"/>
  <c r="Z86" i="8"/>
  <c r="AA86" i="8"/>
  <c r="Z85" i="8"/>
  <c r="AA85" i="8" s="1"/>
  <c r="Z84" i="8"/>
  <c r="AA84" i="8" s="1"/>
  <c r="Z83" i="8"/>
  <c r="AA83" i="8" s="1"/>
  <c r="Z82" i="8"/>
  <c r="AA82" i="8"/>
  <c r="Z80" i="8"/>
  <c r="AA80" i="8" s="1"/>
  <c r="Z78" i="8"/>
  <c r="AA78" i="8"/>
  <c r="Z77" i="8"/>
  <c r="AA77" i="8" s="1"/>
  <c r="Z76" i="8"/>
  <c r="AA76" i="8" s="1"/>
  <c r="Z75" i="8"/>
  <c r="AA75" i="8" s="1"/>
  <c r="Z74" i="8"/>
  <c r="AA74" i="8"/>
  <c r="Z73" i="8"/>
  <c r="AA73" i="8"/>
  <c r="Z72" i="8"/>
  <c r="AA72" i="8" s="1"/>
  <c r="Z71" i="8"/>
  <c r="AA71" i="8"/>
  <c r="H67" i="8"/>
  <c r="L67" i="8" s="1"/>
  <c r="H63" i="8"/>
  <c r="L63" i="8"/>
  <c r="AE69" i="8"/>
  <c r="E69" i="8"/>
  <c r="F69" i="8" s="1"/>
  <c r="N69" i="8" s="1"/>
  <c r="O69" i="8" s="1"/>
  <c r="E66" i="8"/>
  <c r="E51" i="8"/>
  <c r="F51" i="8"/>
  <c r="AE51" i="8"/>
  <c r="F43" i="8"/>
  <c r="W43" i="8" s="1"/>
  <c r="AE43" i="8"/>
  <c r="F39" i="8"/>
  <c r="W39" i="8" s="1"/>
  <c r="X39" i="8" s="1"/>
  <c r="AE39" i="8"/>
  <c r="AJ39" i="8" s="1"/>
  <c r="AL39" i="8" s="1"/>
  <c r="F31" i="8"/>
  <c r="AE31" i="8"/>
  <c r="E193" i="6"/>
  <c r="AE193" i="6"/>
  <c r="AJ193" i="6" s="1"/>
  <c r="AL193" i="6" s="1"/>
  <c r="E185" i="6"/>
  <c r="AE185" i="6"/>
  <c r="F185" i="6"/>
  <c r="N185" i="6" s="1"/>
  <c r="O185" i="6"/>
  <c r="E181" i="6"/>
  <c r="F181" i="6" s="1"/>
  <c r="AE181" i="6"/>
  <c r="E177" i="6"/>
  <c r="AE177" i="6"/>
  <c r="F177" i="6"/>
  <c r="AO73" i="5"/>
  <c r="L98" i="8"/>
  <c r="AE98" i="8" s="1"/>
  <c r="L96" i="8"/>
  <c r="L85" i="8"/>
  <c r="L75" i="8"/>
  <c r="L73" i="8"/>
  <c r="L71" i="8"/>
  <c r="E71" i="8" s="1"/>
  <c r="AE59" i="8"/>
  <c r="AJ59" i="8" s="1"/>
  <c r="AE50" i="8"/>
  <c r="AE46" i="8"/>
  <c r="AE44" i="8"/>
  <c r="AE40" i="8"/>
  <c r="AE38" i="8"/>
  <c r="AE36" i="8"/>
  <c r="AE32" i="8"/>
  <c r="AE28" i="8"/>
  <c r="AE24" i="8"/>
  <c r="AE14" i="8"/>
  <c r="E194" i="6"/>
  <c r="E192" i="6"/>
  <c r="E190" i="6"/>
  <c r="AE190" i="6"/>
  <c r="E188" i="6"/>
  <c r="AE188" i="6"/>
  <c r="E186" i="6"/>
  <c r="F186" i="6" s="1"/>
  <c r="N186" i="6" s="1"/>
  <c r="O186" i="6" s="1"/>
  <c r="AE186" i="6"/>
  <c r="E184" i="6"/>
  <c r="AE184" i="6"/>
  <c r="E182" i="6"/>
  <c r="F182" i="6" s="1"/>
  <c r="AE182" i="6"/>
  <c r="E180" i="6"/>
  <c r="AE180" i="6"/>
  <c r="E178" i="6"/>
  <c r="E166" i="6"/>
  <c r="F166" i="6" s="1"/>
  <c r="N166" i="6" s="1"/>
  <c r="O166" i="6" s="1"/>
  <c r="AE166" i="6"/>
  <c r="E116" i="6"/>
  <c r="AE116" i="6"/>
  <c r="F116" i="6"/>
  <c r="AE100" i="6"/>
  <c r="F100" i="6"/>
  <c r="E85" i="6"/>
  <c r="AE85" i="6"/>
  <c r="F85" i="6"/>
  <c r="E73" i="6"/>
  <c r="F73" i="6" s="1"/>
  <c r="N73" i="6" s="1"/>
  <c r="O73" i="6" s="1"/>
  <c r="AE73" i="6"/>
  <c r="E65" i="6"/>
  <c r="F65" i="6" s="1"/>
  <c r="AE65" i="6"/>
  <c r="N43" i="8"/>
  <c r="O43" i="8" s="1"/>
  <c r="H266" i="6"/>
  <c r="I266" i="6" s="1"/>
  <c r="L266" i="6" s="1"/>
  <c r="H265" i="6"/>
  <c r="I265" i="6"/>
  <c r="L265" i="6" s="1"/>
  <c r="H264" i="6"/>
  <c r="I264" i="6"/>
  <c r="L264" i="6" s="1"/>
  <c r="H263" i="6"/>
  <c r="I263" i="6" s="1"/>
  <c r="L263" i="6" s="1"/>
  <c r="H262" i="6"/>
  <c r="I262" i="6"/>
  <c r="L262" i="6" s="1"/>
  <c r="H261" i="6"/>
  <c r="I261" i="6" s="1"/>
  <c r="L261" i="6" s="1"/>
  <c r="H260" i="6"/>
  <c r="I260" i="6" s="1"/>
  <c r="L260" i="6" s="1"/>
  <c r="AE260" i="6" s="1"/>
  <c r="H259" i="6"/>
  <c r="I259" i="6" s="1"/>
  <c r="L259" i="6"/>
  <c r="H258" i="6"/>
  <c r="I258" i="6"/>
  <c r="L258" i="6"/>
  <c r="I257" i="6"/>
  <c r="L257" i="6" s="1"/>
  <c r="H255" i="6"/>
  <c r="I255" i="6" s="1"/>
  <c r="L255" i="6" s="1"/>
  <c r="E255" i="6" s="1"/>
  <c r="H254" i="6"/>
  <c r="I254" i="6"/>
  <c r="L254" i="6" s="1"/>
  <c r="E254" i="6" s="1"/>
  <c r="H253" i="6"/>
  <c r="I253" i="6" s="1"/>
  <c r="L253" i="6" s="1"/>
  <c r="H252" i="6"/>
  <c r="I252" i="6" s="1"/>
  <c r="L252" i="6"/>
  <c r="H251" i="6"/>
  <c r="I251" i="6" s="1"/>
  <c r="L251" i="6" s="1"/>
  <c r="H250" i="6"/>
  <c r="I250" i="6" s="1"/>
  <c r="L250" i="6" s="1"/>
  <c r="I249" i="6"/>
  <c r="L249" i="6" s="1"/>
  <c r="AE249" i="6" s="1"/>
  <c r="H248" i="6"/>
  <c r="I248" i="6"/>
  <c r="L248" i="6" s="1"/>
  <c r="H247" i="6"/>
  <c r="I247" i="6" s="1"/>
  <c r="L247" i="6" s="1"/>
  <c r="H246" i="6"/>
  <c r="I246" i="6" s="1"/>
  <c r="L246" i="6" s="1"/>
  <c r="H245" i="6"/>
  <c r="I245" i="6"/>
  <c r="L245" i="6" s="1"/>
  <c r="H244" i="6"/>
  <c r="I244" i="6" s="1"/>
  <c r="L244" i="6"/>
  <c r="H243" i="6"/>
  <c r="I243" i="6" s="1"/>
  <c r="L243" i="6" s="1"/>
  <c r="AE243" i="6" s="1"/>
  <c r="AJ243" i="6" s="1"/>
  <c r="H242" i="6"/>
  <c r="I242" i="6" s="1"/>
  <c r="L242" i="6" s="1"/>
  <c r="I241" i="6"/>
  <c r="L241" i="6"/>
  <c r="H240" i="6"/>
  <c r="I240" i="6"/>
  <c r="L240" i="6" s="1"/>
  <c r="AE240" i="6" s="1"/>
  <c r="H239" i="6"/>
  <c r="I239" i="6" s="1"/>
  <c r="L239" i="6" s="1"/>
  <c r="E239" i="6" s="1"/>
  <c r="H238" i="6"/>
  <c r="I238" i="6" s="1"/>
  <c r="L238" i="6" s="1"/>
  <c r="H230" i="6"/>
  <c r="I230" i="6" s="1"/>
  <c r="H229" i="6"/>
  <c r="I229" i="6" s="1"/>
  <c r="L229" i="6" s="1"/>
  <c r="I228" i="6"/>
  <c r="F190" i="6"/>
  <c r="N190" i="6" s="1"/>
  <c r="O190" i="6"/>
  <c r="F188" i="6"/>
  <c r="W188" i="6" s="1"/>
  <c r="W185" i="6"/>
  <c r="X185" i="6" s="1"/>
  <c r="N182" i="6"/>
  <c r="O182" i="6" s="1"/>
  <c r="F180" i="6"/>
  <c r="W180" i="6" s="1"/>
  <c r="X180" i="6" s="1"/>
  <c r="L174" i="6"/>
  <c r="AE174" i="6" s="1"/>
  <c r="AF174" i="6" s="1"/>
  <c r="E168" i="6"/>
  <c r="AE168" i="6"/>
  <c r="E118" i="6"/>
  <c r="AE118" i="6"/>
  <c r="AF118" i="6" s="1"/>
  <c r="F118" i="6"/>
  <c r="N118" i="6"/>
  <c r="O118" i="6" s="1"/>
  <c r="E114" i="6"/>
  <c r="AE114" i="6"/>
  <c r="F114" i="6"/>
  <c r="N114" i="6" s="1"/>
  <c r="O114" i="6"/>
  <c r="E110" i="6"/>
  <c r="F110" i="6" s="1"/>
  <c r="AE110" i="6"/>
  <c r="E102" i="6"/>
  <c r="F102" i="6" s="1"/>
  <c r="AE102" i="6"/>
  <c r="E98" i="6"/>
  <c r="F98" i="6" s="1"/>
  <c r="N98" i="6" s="1"/>
  <c r="O98" i="6" s="1"/>
  <c r="AE98" i="6"/>
  <c r="E94" i="6"/>
  <c r="F94" i="6" s="1"/>
  <c r="W94" i="6" s="1"/>
  <c r="AE94" i="6"/>
  <c r="N94" i="6"/>
  <c r="O94" i="6"/>
  <c r="E83" i="6"/>
  <c r="F83" i="6" s="1"/>
  <c r="W83" i="6" s="1"/>
  <c r="X83" i="6" s="1"/>
  <c r="AE83" i="6"/>
  <c r="E79" i="6"/>
  <c r="AE79" i="6"/>
  <c r="F79" i="6"/>
  <c r="E67" i="6"/>
  <c r="F67" i="6" s="1"/>
  <c r="N67" i="6" s="1"/>
  <c r="O67" i="6" s="1"/>
  <c r="AE67" i="6"/>
  <c r="F59" i="8"/>
  <c r="W59" i="8" s="1"/>
  <c r="E50" i="8"/>
  <c r="F50" i="8" s="1"/>
  <c r="E46" i="8"/>
  <c r="F46" i="8" s="1"/>
  <c r="F44" i="8"/>
  <c r="E40" i="8"/>
  <c r="F40" i="8" s="1"/>
  <c r="N40" i="8" s="1"/>
  <c r="E38" i="8"/>
  <c r="E36" i="8"/>
  <c r="F36" i="8"/>
  <c r="E32" i="8"/>
  <c r="F32" i="8" s="1"/>
  <c r="F28" i="8"/>
  <c r="E24" i="8"/>
  <c r="F24" i="8"/>
  <c r="E14" i="8"/>
  <c r="F14" i="8" s="1"/>
  <c r="H13" i="8"/>
  <c r="L13" i="8"/>
  <c r="W190" i="6"/>
  <c r="X190" i="6"/>
  <c r="X188" i="6"/>
  <c r="W182" i="6"/>
  <c r="E171" i="6"/>
  <c r="AE171" i="6"/>
  <c r="E169" i="6"/>
  <c r="AE169" i="6"/>
  <c r="E167" i="6"/>
  <c r="F167" i="6" s="1"/>
  <c r="N167" i="6" s="1"/>
  <c r="AE167" i="6"/>
  <c r="E121" i="6"/>
  <c r="F121" i="6" s="1"/>
  <c r="N121" i="6" s="1"/>
  <c r="O121" i="6" s="1"/>
  <c r="AE121" i="6"/>
  <c r="AF121" i="6" s="1"/>
  <c r="AR121" i="6" s="1"/>
  <c r="E117" i="6"/>
  <c r="F117" i="6" s="1"/>
  <c r="AE117" i="6"/>
  <c r="E113" i="6"/>
  <c r="F113" i="6" s="1"/>
  <c r="AE113" i="6"/>
  <c r="E111" i="6"/>
  <c r="AE111" i="6"/>
  <c r="E109" i="6"/>
  <c r="AE109" i="6"/>
  <c r="E105" i="6"/>
  <c r="F105" i="6" s="1"/>
  <c r="N105" i="6" s="1"/>
  <c r="O105" i="6" s="1"/>
  <c r="AE105" i="6"/>
  <c r="AF105" i="6" s="1"/>
  <c r="E103" i="6"/>
  <c r="F103" i="6" s="1"/>
  <c r="AE103" i="6"/>
  <c r="E101" i="6"/>
  <c r="E84" i="6"/>
  <c r="AE84" i="6"/>
  <c r="E76" i="6"/>
  <c r="F76" i="6" s="1"/>
  <c r="AE76" i="6"/>
  <c r="E74" i="6"/>
  <c r="AE74" i="6"/>
  <c r="E72" i="6"/>
  <c r="AE72" i="6"/>
  <c r="E64" i="6"/>
  <c r="F64" i="6" s="1"/>
  <c r="AE64" i="6"/>
  <c r="E62" i="6"/>
  <c r="F62" i="6" s="1"/>
  <c r="W62" i="6" s="1"/>
  <c r="AE62" i="6"/>
  <c r="AF62" i="6" s="1"/>
  <c r="E60" i="6"/>
  <c r="AE60" i="6"/>
  <c r="F58" i="6"/>
  <c r="N58" i="6" s="1"/>
  <c r="O58" i="6" s="1"/>
  <c r="E58" i="6"/>
  <c r="AE58" i="6"/>
  <c r="E50" i="6"/>
  <c r="F50" i="6" s="1"/>
  <c r="AE50" i="6"/>
  <c r="AJ50" i="6" s="1"/>
  <c r="F49" i="6"/>
  <c r="N49" i="6"/>
  <c r="O49" i="6" s="1"/>
  <c r="E49" i="6"/>
  <c r="AE49" i="6"/>
  <c r="E48" i="6"/>
  <c r="AE48" i="6"/>
  <c r="F47" i="6"/>
  <c r="E47" i="6"/>
  <c r="AE47" i="6"/>
  <c r="E46" i="6"/>
  <c r="F46" i="6" s="1"/>
  <c r="AE46" i="6"/>
  <c r="F45" i="6"/>
  <c r="W45" i="6" s="1"/>
  <c r="N45" i="6"/>
  <c r="O45" i="6" s="1"/>
  <c r="E45" i="6"/>
  <c r="AE45" i="6"/>
  <c r="F43" i="6"/>
  <c r="W43" i="6" s="1"/>
  <c r="X43" i="6" s="1"/>
  <c r="E43" i="6"/>
  <c r="AE43" i="6"/>
  <c r="E42" i="6"/>
  <c r="F42" i="6" s="1"/>
  <c r="AE42" i="6"/>
  <c r="F41" i="6"/>
  <c r="N41" i="6"/>
  <c r="O41" i="6" s="1"/>
  <c r="E41" i="6"/>
  <c r="AE41" i="6"/>
  <c r="E40" i="6"/>
  <c r="F39" i="6"/>
  <c r="N39" i="6" s="1"/>
  <c r="O39" i="6" s="1"/>
  <c r="E39" i="6"/>
  <c r="AE39" i="6"/>
  <c r="E38" i="6"/>
  <c r="F38" i="6" s="1"/>
  <c r="N38" i="6" s="1"/>
  <c r="AE38" i="6"/>
  <c r="AF38" i="6" s="1"/>
  <c r="AR38" i="6" s="1"/>
  <c r="E36" i="6"/>
  <c r="AE36" i="6"/>
  <c r="F35" i="6"/>
  <c r="AE35" i="6"/>
  <c r="E34" i="6"/>
  <c r="AE34" i="6"/>
  <c r="AF34" i="6" s="1"/>
  <c r="AR34" i="6" s="1"/>
  <c r="F33" i="6"/>
  <c r="N33" i="6"/>
  <c r="O33" i="6"/>
  <c r="E33" i="6"/>
  <c r="AE33" i="6"/>
  <c r="E32" i="6"/>
  <c r="F32" i="6" s="1"/>
  <c r="AE32" i="6"/>
  <c r="F31" i="6"/>
  <c r="E31" i="6"/>
  <c r="AE31" i="6"/>
  <c r="E26" i="6"/>
  <c r="F26" i="6" s="1"/>
  <c r="AE26" i="6"/>
  <c r="AF26" i="6" s="1"/>
  <c r="F25" i="6"/>
  <c r="E25" i="6"/>
  <c r="AE25" i="6"/>
  <c r="E24" i="6"/>
  <c r="F24" i="6" s="1"/>
  <c r="AE24" i="6"/>
  <c r="AF24" i="6" s="1"/>
  <c r="AR24" i="6" s="1"/>
  <c r="F23" i="6"/>
  <c r="E23" i="6"/>
  <c r="AE23" i="6"/>
  <c r="F13" i="6"/>
  <c r="W13" i="6" s="1"/>
  <c r="N13" i="6"/>
  <c r="O13" i="6" s="1"/>
  <c r="E13" i="6"/>
  <c r="AE13" i="6"/>
  <c r="F266" i="11"/>
  <c r="E266" i="11"/>
  <c r="F264" i="11"/>
  <c r="E264" i="11"/>
  <c r="F262" i="11"/>
  <c r="E262" i="11"/>
  <c r="E260" i="11"/>
  <c r="F260" i="11" s="1"/>
  <c r="E258" i="11"/>
  <c r="F258" i="11" s="1"/>
  <c r="E158" i="11"/>
  <c r="F158" i="11" s="1"/>
  <c r="F156" i="11"/>
  <c r="R156" i="11" s="1"/>
  <c r="S156" i="11" s="1"/>
  <c r="T156" i="11" s="1"/>
  <c r="U156" i="11" s="1"/>
  <c r="E154" i="11"/>
  <c r="F154" i="11" s="1"/>
  <c r="E152" i="11"/>
  <c r="F171" i="6"/>
  <c r="N171" i="6"/>
  <c r="O171" i="6"/>
  <c r="F169" i="6"/>
  <c r="O167" i="6"/>
  <c r="W166" i="6"/>
  <c r="X166" i="6" s="1"/>
  <c r="W118" i="6"/>
  <c r="X118" i="6" s="1"/>
  <c r="N117" i="6"/>
  <c r="O117" i="6" s="1"/>
  <c r="W114" i="6"/>
  <c r="F111" i="6"/>
  <c r="N111" i="6" s="1"/>
  <c r="O111" i="6" s="1"/>
  <c r="F109" i="6"/>
  <c r="N109" i="6" s="1"/>
  <c r="O109" i="6" s="1"/>
  <c r="N103" i="6"/>
  <c r="O103" i="6"/>
  <c r="F101" i="6"/>
  <c r="N101" i="6" s="1"/>
  <c r="O101" i="6"/>
  <c r="F84" i="6"/>
  <c r="N84" i="6" s="1"/>
  <c r="O84" i="6" s="1"/>
  <c r="F74" i="6"/>
  <c r="N74" i="6" s="1"/>
  <c r="O74" i="6" s="1"/>
  <c r="W73" i="6"/>
  <c r="F72" i="6"/>
  <c r="N72" i="6" s="1"/>
  <c r="O72" i="6"/>
  <c r="W67" i="6"/>
  <c r="N64" i="6"/>
  <c r="O64" i="6" s="1"/>
  <c r="L63" i="6"/>
  <c r="L61" i="6"/>
  <c r="F60" i="6"/>
  <c r="L59" i="6"/>
  <c r="W58" i="6"/>
  <c r="X58" i="6" s="1"/>
  <c r="W49" i="6"/>
  <c r="X49" i="6" s="1"/>
  <c r="W41" i="6"/>
  <c r="X41" i="6"/>
  <c r="W39" i="6"/>
  <c r="W33" i="6"/>
  <c r="X33" i="6"/>
  <c r="X13" i="6"/>
  <c r="W64" i="6"/>
  <c r="L257" i="11"/>
  <c r="L255" i="11"/>
  <c r="L253" i="11"/>
  <c r="E148" i="11"/>
  <c r="H157" i="11"/>
  <c r="I157" i="11" s="1"/>
  <c r="L157" i="11" s="1"/>
  <c r="H155" i="11"/>
  <c r="I155" i="11" s="1"/>
  <c r="L155" i="11" s="1"/>
  <c r="E155" i="11" s="1"/>
  <c r="H153" i="11"/>
  <c r="I153" i="11"/>
  <c r="L153" i="11" s="1"/>
  <c r="M138" i="11"/>
  <c r="R138" i="11"/>
  <c r="S138" i="11" s="1"/>
  <c r="T138" i="11"/>
  <c r="U138" i="11" s="1"/>
  <c r="V138" i="11"/>
  <c r="W138" i="11" s="1"/>
  <c r="X138" i="11" s="1"/>
  <c r="Y138" i="11" s="1"/>
  <c r="E118" i="11"/>
  <c r="F118" i="11"/>
  <c r="E116" i="11"/>
  <c r="F116" i="11"/>
  <c r="E114" i="11"/>
  <c r="F114" i="11"/>
  <c r="E112" i="11"/>
  <c r="F112" i="11"/>
  <c r="H251" i="11"/>
  <c r="I251" i="11" s="1"/>
  <c r="L251" i="11" s="1"/>
  <c r="H250" i="11"/>
  <c r="I250" i="11" s="1"/>
  <c r="L250" i="11" s="1"/>
  <c r="H249" i="11"/>
  <c r="I249" i="11"/>
  <c r="L249" i="11" s="1"/>
  <c r="H248" i="11"/>
  <c r="I248" i="11"/>
  <c r="L248" i="11"/>
  <c r="H247" i="11"/>
  <c r="I247" i="11" s="1"/>
  <c r="L247" i="11" s="1"/>
  <c r="H246" i="11"/>
  <c r="I246" i="11" s="1"/>
  <c r="L246" i="11" s="1"/>
  <c r="H245" i="11"/>
  <c r="I245" i="11"/>
  <c r="L245" i="11"/>
  <c r="H244" i="11"/>
  <c r="I244" i="11" s="1"/>
  <c r="L244" i="11" s="1"/>
  <c r="E244" i="11" s="1"/>
  <c r="H243" i="11"/>
  <c r="I243" i="11"/>
  <c r="L243" i="11" s="1"/>
  <c r="E243" i="11" s="1"/>
  <c r="H242" i="11"/>
  <c r="I242" i="11"/>
  <c r="L242" i="11" s="1"/>
  <c r="H241" i="11"/>
  <c r="I241" i="11"/>
  <c r="L241" i="11" s="1"/>
  <c r="H240" i="11"/>
  <c r="I240" i="11" s="1"/>
  <c r="L240" i="11" s="1"/>
  <c r="H239" i="11"/>
  <c r="I239" i="11" s="1"/>
  <c r="L239" i="11" s="1"/>
  <c r="H238" i="11"/>
  <c r="I238" i="11" s="1"/>
  <c r="L238" i="11"/>
  <c r="H230" i="11"/>
  <c r="I230" i="11" s="1"/>
  <c r="L230" i="11" s="1"/>
  <c r="E230" i="11" s="1"/>
  <c r="H229" i="11"/>
  <c r="I229" i="11" s="1"/>
  <c r="L229" i="11" s="1"/>
  <c r="E229" i="11" s="1"/>
  <c r="H228" i="11"/>
  <c r="I228" i="11" s="1"/>
  <c r="L228" i="11" s="1"/>
  <c r="H227" i="11"/>
  <c r="I227" i="11" s="1"/>
  <c r="L227" i="11" s="1"/>
  <c r="H225" i="11"/>
  <c r="I225" i="11" s="1"/>
  <c r="L225" i="11"/>
  <c r="E225" i="11" s="1"/>
  <c r="H224" i="11"/>
  <c r="I224" i="11" s="1"/>
  <c r="L224" i="11" s="1"/>
  <c r="H223" i="11"/>
  <c r="I223" i="11"/>
  <c r="L223" i="11"/>
  <c r="H222" i="11"/>
  <c r="I222" i="11" s="1"/>
  <c r="L222" i="11" s="1"/>
  <c r="H221" i="11"/>
  <c r="I221" i="11" s="1"/>
  <c r="L221" i="11" s="1"/>
  <c r="E221" i="11" s="1"/>
  <c r="H220" i="11"/>
  <c r="I220" i="11"/>
  <c r="L220" i="11" s="1"/>
  <c r="E220" i="11" s="1"/>
  <c r="H219" i="11"/>
  <c r="I219" i="11"/>
  <c r="L219" i="11" s="1"/>
  <c r="H218" i="11"/>
  <c r="I218" i="11"/>
  <c r="L218" i="11" s="1"/>
  <c r="E218" i="11" s="1"/>
  <c r="H217" i="11"/>
  <c r="I217" i="11"/>
  <c r="L217" i="11"/>
  <c r="H216" i="11"/>
  <c r="I216" i="11"/>
  <c r="L216" i="11" s="1"/>
  <c r="H215" i="11"/>
  <c r="I215" i="11" s="1"/>
  <c r="L215" i="11" s="1"/>
  <c r="E215" i="11" s="1"/>
  <c r="F215" i="11" s="1"/>
  <c r="H214" i="11"/>
  <c r="I214" i="11"/>
  <c r="L214" i="11" s="1"/>
  <c r="E214" i="11" s="1"/>
  <c r="H213" i="11"/>
  <c r="I213" i="11" s="1"/>
  <c r="L213" i="11" s="1"/>
  <c r="H212" i="11"/>
  <c r="I212" i="11" s="1"/>
  <c r="L212" i="11" s="1"/>
  <c r="H211" i="11"/>
  <c r="I211" i="11" s="1"/>
  <c r="L211" i="11" s="1"/>
  <c r="H210" i="11"/>
  <c r="I210" i="11"/>
  <c r="L210" i="11"/>
  <c r="H209" i="11"/>
  <c r="I209" i="11" s="1"/>
  <c r="L209" i="11"/>
  <c r="H208" i="11"/>
  <c r="I208" i="11" s="1"/>
  <c r="L208" i="11" s="1"/>
  <c r="H207" i="11"/>
  <c r="I207" i="11"/>
  <c r="L207" i="11" s="1"/>
  <c r="H206" i="11"/>
  <c r="I206" i="11" s="1"/>
  <c r="L206" i="11" s="1"/>
  <c r="E206" i="11" s="1"/>
  <c r="H205" i="11"/>
  <c r="I205" i="11" s="1"/>
  <c r="L205" i="11"/>
  <c r="H204" i="11"/>
  <c r="I204" i="11" s="1"/>
  <c r="L204" i="11" s="1"/>
  <c r="E204" i="11" s="1"/>
  <c r="H203" i="11"/>
  <c r="I203" i="11" s="1"/>
  <c r="L203" i="11"/>
  <c r="H202" i="11"/>
  <c r="I202" i="11"/>
  <c r="L202" i="11" s="1"/>
  <c r="H194" i="11"/>
  <c r="I194" i="11" s="1"/>
  <c r="L194" i="11" s="1"/>
  <c r="E194" i="11" s="1"/>
  <c r="H193" i="11"/>
  <c r="I193" i="11"/>
  <c r="L193" i="11" s="1"/>
  <c r="H192" i="11"/>
  <c r="I192" i="11" s="1"/>
  <c r="L192" i="11"/>
  <c r="H191" i="11"/>
  <c r="I191" i="11" s="1"/>
  <c r="L191" i="11" s="1"/>
  <c r="E191" i="11" s="1"/>
  <c r="H190" i="11"/>
  <c r="I190" i="11" s="1"/>
  <c r="L190" i="11"/>
  <c r="H189" i="11"/>
  <c r="I189" i="11"/>
  <c r="L189" i="11" s="1"/>
  <c r="H188" i="11"/>
  <c r="I188" i="11" s="1"/>
  <c r="L188" i="11" s="1"/>
  <c r="H187" i="11"/>
  <c r="I187" i="11"/>
  <c r="L187" i="11"/>
  <c r="E187" i="11" s="1"/>
  <c r="H186" i="11"/>
  <c r="I186" i="11"/>
  <c r="L186" i="11" s="1"/>
  <c r="H185" i="11"/>
  <c r="I185" i="11" s="1"/>
  <c r="L185" i="11" s="1"/>
  <c r="H184" i="11"/>
  <c r="I184" i="11"/>
  <c r="L184" i="11" s="1"/>
  <c r="E184" i="11" s="1"/>
  <c r="H182" i="11"/>
  <c r="I182" i="11" s="1"/>
  <c r="H181" i="11"/>
  <c r="I181" i="11"/>
  <c r="L181" i="11" s="1"/>
  <c r="H180" i="11"/>
  <c r="I180" i="11"/>
  <c r="L180" i="11" s="1"/>
  <c r="H179" i="11"/>
  <c r="I179" i="11"/>
  <c r="L179" i="11" s="1"/>
  <c r="E179" i="11" s="1"/>
  <c r="H178" i="11"/>
  <c r="I178" i="11"/>
  <c r="L178" i="11" s="1"/>
  <c r="H177" i="11"/>
  <c r="I177" i="11"/>
  <c r="L177" i="11" s="1"/>
  <c r="H176" i="11"/>
  <c r="I176" i="11" s="1"/>
  <c r="H174" i="11"/>
  <c r="I174" i="11" s="1"/>
  <c r="H172" i="11"/>
  <c r="I172" i="11" s="1"/>
  <c r="L172" i="11"/>
  <c r="E172" i="11" s="1"/>
  <c r="H170" i="11"/>
  <c r="I170" i="11" s="1"/>
  <c r="L170" i="11" s="1"/>
  <c r="H168" i="11"/>
  <c r="I168" i="11" s="1"/>
  <c r="L168" i="11"/>
  <c r="H166" i="11"/>
  <c r="I166" i="11" s="1"/>
  <c r="L166" i="11"/>
  <c r="H151" i="11"/>
  <c r="I151" i="11" s="1"/>
  <c r="L151" i="11"/>
  <c r="E151" i="11" s="1"/>
  <c r="H149" i="11"/>
  <c r="I149" i="11"/>
  <c r="L149" i="11" s="1"/>
  <c r="H146" i="11"/>
  <c r="I146" i="11" s="1"/>
  <c r="L146" i="11" s="1"/>
  <c r="H142" i="11"/>
  <c r="I142" i="11"/>
  <c r="L106" i="11"/>
  <c r="E106" i="11" s="1"/>
  <c r="F105" i="11"/>
  <c r="L102" i="11"/>
  <c r="L98" i="11"/>
  <c r="F97" i="11"/>
  <c r="L94" i="11"/>
  <c r="F86" i="11"/>
  <c r="L83" i="11"/>
  <c r="F82" i="11"/>
  <c r="L79" i="11"/>
  <c r="F78" i="11"/>
  <c r="L75" i="11"/>
  <c r="E70" i="11"/>
  <c r="F70" i="11" s="1"/>
  <c r="E60" i="11"/>
  <c r="F60" i="11" s="1"/>
  <c r="E49" i="11"/>
  <c r="F49" i="11" s="1"/>
  <c r="E47" i="11"/>
  <c r="F47" i="11" s="1"/>
  <c r="E45" i="11"/>
  <c r="F45" i="11" s="1"/>
  <c r="E41" i="11"/>
  <c r="F41" i="11"/>
  <c r="E39" i="11"/>
  <c r="F39" i="11" s="1"/>
  <c r="E35" i="11"/>
  <c r="F35" i="11"/>
  <c r="E27" i="11"/>
  <c r="F27" i="11"/>
  <c r="M140" i="11"/>
  <c r="F140" i="11"/>
  <c r="R140" i="11"/>
  <c r="S140" i="11" s="1"/>
  <c r="T140" i="11" s="1"/>
  <c r="U140" i="11" s="1"/>
  <c r="H139" i="11"/>
  <c r="I139" i="11" s="1"/>
  <c r="L139" i="11" s="1"/>
  <c r="H137" i="11"/>
  <c r="I137" i="11"/>
  <c r="F136" i="11"/>
  <c r="H135" i="11"/>
  <c r="I135" i="11" s="1"/>
  <c r="L135" i="11" s="1"/>
  <c r="E135" i="11" s="1"/>
  <c r="F134" i="11"/>
  <c r="R134" i="11" s="1"/>
  <c r="S134" i="11"/>
  <c r="T134" i="11" s="1"/>
  <c r="U134" i="11" s="1"/>
  <c r="H133" i="11"/>
  <c r="I133" i="11"/>
  <c r="L133" i="11"/>
  <c r="H131" i="11"/>
  <c r="I131" i="11"/>
  <c r="L131" i="11" s="1"/>
  <c r="F130" i="11"/>
  <c r="R130" i="11" s="1"/>
  <c r="S130" i="11" s="1"/>
  <c r="T130" i="11" s="1"/>
  <c r="U130" i="11" s="1"/>
  <c r="F121" i="11"/>
  <c r="F119" i="11"/>
  <c r="F115" i="11"/>
  <c r="F109" i="11"/>
  <c r="L104" i="11"/>
  <c r="L100" i="11"/>
  <c r="F99" i="11"/>
  <c r="L96" i="11"/>
  <c r="F95" i="11"/>
  <c r="L85" i="11"/>
  <c r="L77" i="11"/>
  <c r="H12" i="11"/>
  <c r="I12" i="11" s="1"/>
  <c r="L12" i="11" s="1"/>
  <c r="F15" i="11"/>
  <c r="L71" i="11"/>
  <c r="L67" i="11"/>
  <c r="L65" i="11"/>
  <c r="E65" i="11" s="1"/>
  <c r="L61" i="11"/>
  <c r="L59" i="11"/>
  <c r="L46" i="11"/>
  <c r="L44" i="11"/>
  <c r="L42" i="11"/>
  <c r="L40" i="11"/>
  <c r="L38" i="11"/>
  <c r="L36" i="11"/>
  <c r="L34" i="11"/>
  <c r="E34" i="11" s="1"/>
  <c r="L32" i="11"/>
  <c r="L28" i="11"/>
  <c r="L26" i="11"/>
  <c r="E26" i="11" s="1"/>
  <c r="L24" i="11"/>
  <c r="F24" i="11" s="1"/>
  <c r="F34" i="11"/>
  <c r="E38" i="11"/>
  <c r="F38" i="11"/>
  <c r="E42" i="11"/>
  <c r="F42" i="11"/>
  <c r="E46" i="11"/>
  <c r="E61" i="11"/>
  <c r="F61" i="11"/>
  <c r="F65" i="11"/>
  <c r="O140" i="11"/>
  <c r="Q140" i="11"/>
  <c r="N140" i="11"/>
  <c r="P140" i="11"/>
  <c r="E75" i="11"/>
  <c r="E79" i="11"/>
  <c r="F79" i="11"/>
  <c r="E94" i="11"/>
  <c r="F94" i="11" s="1"/>
  <c r="E98" i="11"/>
  <c r="E102" i="11"/>
  <c r="F102" i="11"/>
  <c r="E166" i="11"/>
  <c r="F170" i="11"/>
  <c r="E170" i="11"/>
  <c r="E178" i="11"/>
  <c r="F184" i="11"/>
  <c r="E186" i="11"/>
  <c r="E190" i="11"/>
  <c r="F194" i="11"/>
  <c r="E205" i="11"/>
  <c r="E207" i="11"/>
  <c r="E209" i="11"/>
  <c r="F209" i="11"/>
  <c r="E211" i="11"/>
  <c r="F221" i="11"/>
  <c r="E223" i="11"/>
  <c r="F229" i="11"/>
  <c r="E240" i="11"/>
  <c r="F240" i="11" s="1"/>
  <c r="F244" i="11"/>
  <c r="E248" i="11"/>
  <c r="F248" i="11"/>
  <c r="O138" i="11"/>
  <c r="Q138" i="11"/>
  <c r="N138" i="11"/>
  <c r="P138" i="11" s="1"/>
  <c r="E145" i="11"/>
  <c r="W145" i="11" s="1"/>
  <c r="X145" i="11" s="1"/>
  <c r="R145" i="11"/>
  <c r="S145" i="11" s="1"/>
  <c r="T145" i="11" s="1"/>
  <c r="U145" i="11" s="1"/>
  <c r="E255" i="11"/>
  <c r="F255" i="11"/>
  <c r="N26" i="6"/>
  <c r="O26" i="6"/>
  <c r="W26" i="6"/>
  <c r="O38" i="6"/>
  <c r="W38" i="6"/>
  <c r="N42" i="6"/>
  <c r="O42" i="6" s="1"/>
  <c r="W42" i="6"/>
  <c r="N46" i="6"/>
  <c r="O46" i="6"/>
  <c r="W46" i="6"/>
  <c r="X46" i="6"/>
  <c r="N28" i="8"/>
  <c r="O28" i="8"/>
  <c r="W28" i="8"/>
  <c r="X28" i="8" s="1"/>
  <c r="N36" i="8"/>
  <c r="O36" i="8"/>
  <c r="W36" i="8"/>
  <c r="O40" i="8"/>
  <c r="W40" i="8"/>
  <c r="N44" i="8"/>
  <c r="O44" i="8"/>
  <c r="W44" i="8"/>
  <c r="N59" i="8"/>
  <c r="O59" i="8" s="1"/>
  <c r="N108" i="8"/>
  <c r="O108" i="8"/>
  <c r="W108" i="8"/>
  <c r="X108" i="8" s="1"/>
  <c r="N116" i="8"/>
  <c r="O116" i="8"/>
  <c r="W116" i="8"/>
  <c r="O118" i="8"/>
  <c r="W118" i="8"/>
  <c r="N131" i="8"/>
  <c r="O131" i="8"/>
  <c r="W131" i="8"/>
  <c r="X131" i="8" s="1"/>
  <c r="O141" i="8"/>
  <c r="W141" i="8"/>
  <c r="X141" i="8" s="1"/>
  <c r="N147" i="8"/>
  <c r="O147" i="8" s="1"/>
  <c r="W147" i="8"/>
  <c r="X147" i="8" s="1"/>
  <c r="N155" i="8"/>
  <c r="O155" i="8"/>
  <c r="W155" i="8"/>
  <c r="X155" i="8" s="1"/>
  <c r="E28" i="11"/>
  <c r="F28" i="11" s="1"/>
  <c r="E36" i="11"/>
  <c r="F36" i="11" s="1"/>
  <c r="E40" i="11"/>
  <c r="F40" i="11"/>
  <c r="E44" i="11"/>
  <c r="F44" i="11" s="1"/>
  <c r="E59" i="11"/>
  <c r="F59" i="11" s="1"/>
  <c r="E67" i="11"/>
  <c r="F67" i="11"/>
  <c r="E77" i="11"/>
  <c r="F77" i="11" s="1"/>
  <c r="E85" i="11"/>
  <c r="F85" i="11" s="1"/>
  <c r="E100" i="11"/>
  <c r="F100" i="11" s="1"/>
  <c r="E104" i="11"/>
  <c r="F104" i="11"/>
  <c r="E146" i="11"/>
  <c r="F151" i="11"/>
  <c r="V151" i="11" s="1"/>
  <c r="W151" i="11" s="1"/>
  <c r="X151" i="11" s="1"/>
  <c r="Y151" i="11" s="1"/>
  <c r="F179" i="11"/>
  <c r="E181" i="11"/>
  <c r="F181" i="11" s="1"/>
  <c r="F187" i="11"/>
  <c r="E202" i="11"/>
  <c r="F204" i="11"/>
  <c r="F206" i="11"/>
  <c r="E210" i="11"/>
  <c r="F210" i="11" s="1"/>
  <c r="F214" i="11"/>
  <c r="F218" i="11"/>
  <c r="F220" i="11"/>
  <c r="E222" i="11"/>
  <c r="F230" i="11"/>
  <c r="F243" i="11"/>
  <c r="F147" i="11"/>
  <c r="R147" i="11" s="1"/>
  <c r="S147" i="11" s="1"/>
  <c r="T147" i="11" s="1"/>
  <c r="U147" i="11" s="1"/>
  <c r="F155" i="11"/>
  <c r="R155" i="11" s="1"/>
  <c r="S155" i="11"/>
  <c r="T155" i="11" s="1"/>
  <c r="U155" i="11" s="1"/>
  <c r="N62" i="6"/>
  <c r="O62" i="6" s="1"/>
  <c r="N24" i="6"/>
  <c r="O24" i="6"/>
  <c r="W24" i="6"/>
  <c r="X24" i="6" s="1"/>
  <c r="N32" i="6"/>
  <c r="O32" i="6"/>
  <c r="W32" i="6"/>
  <c r="X32" i="6"/>
  <c r="W109" i="8"/>
  <c r="X109" i="8"/>
  <c r="N109" i="8"/>
  <c r="O109" i="8"/>
  <c r="W117" i="8"/>
  <c r="X117" i="8" s="1"/>
  <c r="N117" i="8"/>
  <c r="O117" i="8"/>
  <c r="W119" i="8"/>
  <c r="X119" i="8" s="1"/>
  <c r="W154" i="8"/>
  <c r="X154" i="8" s="1"/>
  <c r="N154" i="8"/>
  <c r="O154" i="8" s="1"/>
  <c r="W175" i="8"/>
  <c r="X175" i="8" s="1"/>
  <c r="O175" i="8"/>
  <c r="X177" i="8"/>
  <c r="N177" i="8"/>
  <c r="O177" i="8" s="1"/>
  <c r="W250" i="8"/>
  <c r="X250" i="8"/>
  <c r="N250" i="8"/>
  <c r="O250" i="8" s="1"/>
  <c r="W251" i="8"/>
  <c r="X251" i="8"/>
  <c r="W267" i="8"/>
  <c r="X267" i="8" s="1"/>
  <c r="M130" i="11"/>
  <c r="N130" i="11" s="1"/>
  <c r="M134" i="11"/>
  <c r="F148" i="11"/>
  <c r="E257" i="11"/>
  <c r="E59" i="6"/>
  <c r="F59" i="6" s="1"/>
  <c r="AE59" i="6"/>
  <c r="E63" i="6"/>
  <c r="AE63" i="6"/>
  <c r="F63" i="6"/>
  <c r="AJ24" i="6"/>
  <c r="AR26" i="6"/>
  <c r="AJ26" i="6"/>
  <c r="AF32" i="6"/>
  <c r="AR32" i="6"/>
  <c r="AJ32" i="6"/>
  <c r="AK32" i="6" s="1"/>
  <c r="AJ34" i="6"/>
  <c r="AK34" i="6" s="1"/>
  <c r="AJ38" i="6"/>
  <c r="AF42" i="6"/>
  <c r="AR42" i="6"/>
  <c r="AJ42" i="6"/>
  <c r="AK42" i="6" s="1"/>
  <c r="AF48" i="6"/>
  <c r="AR48" i="6"/>
  <c r="AJ48" i="6"/>
  <c r="AF50" i="6"/>
  <c r="AR50" i="6"/>
  <c r="AF60" i="6"/>
  <c r="AR60" i="6" s="1"/>
  <c r="AJ60" i="6"/>
  <c r="AR62" i="6"/>
  <c r="AJ62" i="6"/>
  <c r="AL62" i="6" s="1"/>
  <c r="AF64" i="6"/>
  <c r="AR64" i="6"/>
  <c r="AJ64" i="6"/>
  <c r="AF74" i="6"/>
  <c r="AR74" i="6"/>
  <c r="AJ74" i="6"/>
  <c r="AL74" i="6" s="1"/>
  <c r="AF76" i="6"/>
  <c r="AR76" i="6" s="1"/>
  <c r="AJ76" i="6"/>
  <c r="AF84" i="6"/>
  <c r="AR84" i="6" s="1"/>
  <c r="AJ84" i="6"/>
  <c r="AF101" i="6"/>
  <c r="AR101" i="6"/>
  <c r="AJ101" i="6"/>
  <c r="AF103" i="6"/>
  <c r="AR103" i="6" s="1"/>
  <c r="AJ103" i="6"/>
  <c r="AR105" i="6"/>
  <c r="AJ105" i="6"/>
  <c r="AL105" i="6" s="1"/>
  <c r="AF109" i="6"/>
  <c r="AR109" i="6" s="1"/>
  <c r="AJ109" i="6"/>
  <c r="AF111" i="6"/>
  <c r="AR111" i="6"/>
  <c r="AJ111" i="6"/>
  <c r="AL111" i="6" s="1"/>
  <c r="AF113" i="6"/>
  <c r="AR113" i="6"/>
  <c r="AJ113" i="6"/>
  <c r="AF117" i="6"/>
  <c r="AR117" i="6"/>
  <c r="AJ117" i="6"/>
  <c r="AJ121" i="6"/>
  <c r="AL121" i="6" s="1"/>
  <c r="AF167" i="6"/>
  <c r="AR167" i="6"/>
  <c r="AJ167" i="6"/>
  <c r="AF169" i="6"/>
  <c r="AR169" i="6" s="1"/>
  <c r="AJ169" i="6"/>
  <c r="AF171" i="6"/>
  <c r="AR171" i="6"/>
  <c r="AJ171" i="6"/>
  <c r="AF67" i="6"/>
  <c r="AR67" i="6" s="1"/>
  <c r="AJ67" i="6"/>
  <c r="AF83" i="6"/>
  <c r="AR83" i="6"/>
  <c r="AJ83" i="6"/>
  <c r="AF98" i="6"/>
  <c r="AR98" i="6" s="1"/>
  <c r="AJ98" i="6"/>
  <c r="AF114" i="6"/>
  <c r="AR114" i="6"/>
  <c r="AJ114" i="6"/>
  <c r="AF168" i="6"/>
  <c r="AR168" i="6"/>
  <c r="AJ168" i="6"/>
  <c r="E172" i="6"/>
  <c r="AE172" i="6"/>
  <c r="AJ172" i="6" s="1"/>
  <c r="E174" i="6"/>
  <c r="F174" i="6" s="1"/>
  <c r="W174" i="6" s="1"/>
  <c r="X174" i="6" s="1"/>
  <c r="F239" i="6"/>
  <c r="AE239" i="6"/>
  <c r="E240" i="6"/>
  <c r="F240" i="6" s="1"/>
  <c r="E245" i="6"/>
  <c r="AE245" i="6"/>
  <c r="AJ245" i="6" s="1"/>
  <c r="AK245" i="6" s="1"/>
  <c r="E246" i="6"/>
  <c r="F246" i="6"/>
  <c r="AE246" i="6"/>
  <c r="F249" i="6"/>
  <c r="E249" i="6"/>
  <c r="AE250" i="6"/>
  <c r="AJ250" i="6" s="1"/>
  <c r="E251" i="6"/>
  <c r="E252" i="6"/>
  <c r="F253" i="6"/>
  <c r="E253" i="6"/>
  <c r="AE253" i="6"/>
  <c r="F254" i="6"/>
  <c r="W254" i="6" s="1"/>
  <c r="X254" i="6" s="1"/>
  <c r="AE254" i="6"/>
  <c r="AJ254" i="6" s="1"/>
  <c r="F255" i="6"/>
  <c r="N255" i="6" s="1"/>
  <c r="O255" i="6" s="1"/>
  <c r="AE255" i="6"/>
  <c r="AE257" i="6"/>
  <c r="AE259" i="6"/>
  <c r="AJ259" i="6" s="1"/>
  <c r="E260" i="6"/>
  <c r="F260" i="6"/>
  <c r="N260" i="6" s="1"/>
  <c r="O260" i="6" s="1"/>
  <c r="AE263" i="6"/>
  <c r="AF263" i="6" s="1"/>
  <c r="AR263" i="6" s="1"/>
  <c r="E264" i="6"/>
  <c r="F264" i="6"/>
  <c r="N264" i="6" s="1"/>
  <c r="O264" i="6" s="1"/>
  <c r="AE264" i="6"/>
  <c r="AF264" i="6" s="1"/>
  <c r="AR264" i="6" s="1"/>
  <c r="AE265" i="6"/>
  <c r="AF85" i="6"/>
  <c r="AR85" i="6" s="1"/>
  <c r="AJ85" i="6"/>
  <c r="AL85" i="6" s="1"/>
  <c r="AF100" i="6"/>
  <c r="AR100" i="6" s="1"/>
  <c r="AJ100" i="6"/>
  <c r="AF116" i="6"/>
  <c r="AR116" i="6" s="1"/>
  <c r="AJ116" i="6"/>
  <c r="AK116" i="6" s="1"/>
  <c r="AF180" i="6"/>
  <c r="AR180" i="6" s="1"/>
  <c r="AJ180" i="6"/>
  <c r="AF182" i="6"/>
  <c r="AR182" i="6" s="1"/>
  <c r="AJ182" i="6"/>
  <c r="AF184" i="6"/>
  <c r="AR184" i="6" s="1"/>
  <c r="AJ184" i="6"/>
  <c r="AF186" i="6"/>
  <c r="AR186" i="6" s="1"/>
  <c r="AJ186" i="6"/>
  <c r="AF188" i="6"/>
  <c r="AR188" i="6" s="1"/>
  <c r="AJ188" i="6"/>
  <c r="AL188" i="6" s="1"/>
  <c r="AF190" i="6"/>
  <c r="AR190" i="6"/>
  <c r="AJ190" i="6"/>
  <c r="AF14" i="8"/>
  <c r="AR14" i="8" s="1"/>
  <c r="AJ14" i="8"/>
  <c r="AL14" i="8" s="1"/>
  <c r="AF24" i="8"/>
  <c r="AR24" i="8" s="1"/>
  <c r="AJ24" i="8"/>
  <c r="AF28" i="8"/>
  <c r="AR28" i="8"/>
  <c r="AJ28" i="8"/>
  <c r="AK28" i="8" s="1"/>
  <c r="AF32" i="8"/>
  <c r="AR32" i="8"/>
  <c r="AJ32" i="8"/>
  <c r="AF40" i="8"/>
  <c r="AR40" i="8"/>
  <c r="AJ40" i="8"/>
  <c r="AF46" i="8"/>
  <c r="AR46" i="8" s="1"/>
  <c r="AJ46" i="8"/>
  <c r="AF50" i="8"/>
  <c r="AR50" i="8"/>
  <c r="AJ50" i="8"/>
  <c r="AF59" i="8"/>
  <c r="AR59" i="8"/>
  <c r="F71" i="8"/>
  <c r="AE71" i="8"/>
  <c r="E73" i="8"/>
  <c r="AE73" i="8"/>
  <c r="E75" i="8"/>
  <c r="F75" i="8" s="1"/>
  <c r="AE75" i="8"/>
  <c r="F77" i="8"/>
  <c r="AE77" i="8"/>
  <c r="AF77" i="8" s="1"/>
  <c r="AE81" i="8"/>
  <c r="AJ81" i="8" s="1"/>
  <c r="E83" i="8"/>
  <c r="F83" i="8"/>
  <c r="AE83" i="8"/>
  <c r="E85" i="8"/>
  <c r="F85" i="8" s="1"/>
  <c r="AE85" i="8"/>
  <c r="E96" i="8"/>
  <c r="AE96" i="8"/>
  <c r="AF96" i="8" s="1"/>
  <c r="AR96" i="8" s="1"/>
  <c r="E98" i="8"/>
  <c r="F98" i="8"/>
  <c r="AF181" i="6"/>
  <c r="AR181" i="6" s="1"/>
  <c r="AJ181" i="6"/>
  <c r="AF43" i="8"/>
  <c r="AR43" i="8" s="1"/>
  <c r="AJ43" i="8"/>
  <c r="AF51" i="8"/>
  <c r="AR51" i="8"/>
  <c r="AJ51" i="8"/>
  <c r="AF179" i="6"/>
  <c r="AR179" i="6" s="1"/>
  <c r="AJ179" i="6"/>
  <c r="AF187" i="6"/>
  <c r="AR187" i="6"/>
  <c r="AF33" i="8"/>
  <c r="AR33" i="8" s="1"/>
  <c r="AJ33" i="8"/>
  <c r="AK33" i="8" s="1"/>
  <c r="AJ250" i="8"/>
  <c r="AK250" i="8" s="1"/>
  <c r="AF250" i="8"/>
  <c r="AR250" i="8"/>
  <c r="AE29" i="5"/>
  <c r="AU29" i="5" s="1"/>
  <c r="AI29" i="5"/>
  <c r="AU31" i="5"/>
  <c r="AE37" i="5"/>
  <c r="AU37" i="5" s="1"/>
  <c r="AI37" i="5"/>
  <c r="AM37" i="5" s="1"/>
  <c r="AF76" i="8"/>
  <c r="AR76" i="8" s="1"/>
  <c r="AJ76" i="8"/>
  <c r="AF253" i="8"/>
  <c r="AR253" i="8" s="1"/>
  <c r="AD24" i="5"/>
  <c r="E30" i="5"/>
  <c r="AD30" i="5"/>
  <c r="AE30" i="5" s="1"/>
  <c r="AU30" i="5" s="1"/>
  <c r="E32" i="5"/>
  <c r="AD32" i="5"/>
  <c r="AE48" i="5"/>
  <c r="AU48" i="5" s="1"/>
  <c r="AI48" i="5"/>
  <c r="AJ48" i="5" s="1"/>
  <c r="AN48" i="5" s="1"/>
  <c r="AE55" i="5"/>
  <c r="W72" i="6"/>
  <c r="W84" i="6"/>
  <c r="X84" i="6" s="1"/>
  <c r="W103" i="6"/>
  <c r="X103" i="6"/>
  <c r="W111" i="6"/>
  <c r="X111" i="6" s="1"/>
  <c r="M29" i="5"/>
  <c r="N29" i="5"/>
  <c r="M33" i="5"/>
  <c r="N33" i="5" s="1"/>
  <c r="M37" i="5"/>
  <c r="N37" i="5" s="1"/>
  <c r="N61" i="5"/>
  <c r="W154" i="11"/>
  <c r="X154" i="11" s="1"/>
  <c r="W156" i="11"/>
  <c r="X156" i="11" s="1"/>
  <c r="W158" i="11"/>
  <c r="X158" i="11" s="1"/>
  <c r="AF13" i="6"/>
  <c r="AR13" i="6" s="1"/>
  <c r="AJ13" i="6"/>
  <c r="AK13" i="6" s="1"/>
  <c r="AF23" i="6"/>
  <c r="AR23" i="6"/>
  <c r="AJ23" i="6"/>
  <c r="AF25" i="6"/>
  <c r="AR25" i="6" s="1"/>
  <c r="AJ25" i="6"/>
  <c r="AL25" i="6" s="1"/>
  <c r="AF33" i="6"/>
  <c r="AR33" i="6"/>
  <c r="AJ33" i="6"/>
  <c r="AL33" i="6" s="1"/>
  <c r="AF35" i="6"/>
  <c r="AR35" i="6"/>
  <c r="AJ35" i="6"/>
  <c r="AF39" i="6"/>
  <c r="AR39" i="6"/>
  <c r="AJ39" i="6"/>
  <c r="AF41" i="6"/>
  <c r="AR41" i="6" s="1"/>
  <c r="AJ41" i="6"/>
  <c r="AF43" i="6"/>
  <c r="AR43" i="6" s="1"/>
  <c r="AJ43" i="6"/>
  <c r="AL43" i="6" s="1"/>
  <c r="AF45" i="6"/>
  <c r="AR45" i="6" s="1"/>
  <c r="AJ45" i="6"/>
  <c r="AK45" i="6" s="1"/>
  <c r="AF47" i="6"/>
  <c r="AR47" i="6"/>
  <c r="AJ47" i="6"/>
  <c r="AF49" i="6"/>
  <c r="AR49" i="6" s="1"/>
  <c r="AJ49" i="6"/>
  <c r="AL49" i="6" s="1"/>
  <c r="AF58" i="6"/>
  <c r="AR58" i="6"/>
  <c r="AJ58" i="6"/>
  <c r="AF79" i="6"/>
  <c r="AR79" i="6"/>
  <c r="AF94" i="6"/>
  <c r="AR94" i="6" s="1"/>
  <c r="AJ94" i="6"/>
  <c r="AK94" i="6" s="1"/>
  <c r="AF102" i="6"/>
  <c r="AR102" i="6" s="1"/>
  <c r="AJ102" i="6"/>
  <c r="AF110" i="6"/>
  <c r="AR110" i="6" s="1"/>
  <c r="AJ110" i="6"/>
  <c r="AL110" i="6" s="1"/>
  <c r="AR118" i="6"/>
  <c r="AJ118" i="6"/>
  <c r="AF65" i="6"/>
  <c r="AR65" i="6" s="1"/>
  <c r="AJ65" i="6"/>
  <c r="AF73" i="6"/>
  <c r="AR73" i="6"/>
  <c r="AJ73" i="6"/>
  <c r="AF166" i="6"/>
  <c r="AR166" i="6"/>
  <c r="AJ166" i="6"/>
  <c r="AK166" i="6" s="1"/>
  <c r="AF177" i="6"/>
  <c r="AR177" i="6"/>
  <c r="AJ177" i="6"/>
  <c r="AK177" i="6" s="1"/>
  <c r="AF193" i="6"/>
  <c r="AR193" i="6" s="1"/>
  <c r="AF31" i="8"/>
  <c r="AR31" i="8" s="1"/>
  <c r="AJ31" i="8"/>
  <c r="AF39" i="8"/>
  <c r="AR39" i="8" s="1"/>
  <c r="AF69" i="8"/>
  <c r="AR69" i="8" s="1"/>
  <c r="AJ69" i="8"/>
  <c r="AE63" i="8"/>
  <c r="AE67" i="8"/>
  <c r="E67" i="8"/>
  <c r="F67" i="8" s="1"/>
  <c r="W67" i="8" s="1"/>
  <c r="X67" i="8" s="1"/>
  <c r="AJ191" i="6"/>
  <c r="AK191" i="6" s="1"/>
  <c r="AF60" i="8"/>
  <c r="AR60" i="8" s="1"/>
  <c r="AJ60" i="8"/>
  <c r="AF108" i="8"/>
  <c r="AR108" i="8" s="1"/>
  <c r="AJ108" i="8"/>
  <c r="AF109" i="8"/>
  <c r="AR109" i="8"/>
  <c r="AJ109" i="8"/>
  <c r="AF113" i="8"/>
  <c r="AJ113" i="8"/>
  <c r="AF117" i="8"/>
  <c r="AR117" i="8"/>
  <c r="AJ117" i="8"/>
  <c r="AL117" i="8" s="1"/>
  <c r="AF118" i="8"/>
  <c r="AR118" i="8" s="1"/>
  <c r="AJ118" i="8"/>
  <c r="AF119" i="8"/>
  <c r="AJ119" i="8"/>
  <c r="AJ123" i="8"/>
  <c r="AF131" i="8"/>
  <c r="AR131" i="8" s="1"/>
  <c r="AJ131" i="8"/>
  <c r="AL131" i="8" s="1"/>
  <c r="AF136" i="8"/>
  <c r="AR136" i="8"/>
  <c r="AJ136" i="8"/>
  <c r="AF141" i="8"/>
  <c r="AR141" i="8"/>
  <c r="AJ141" i="8"/>
  <c r="AF147" i="8"/>
  <c r="AR147" i="8" s="1"/>
  <c r="AJ147" i="8"/>
  <c r="AF149" i="8"/>
  <c r="AR149" i="8"/>
  <c r="AJ149" i="8"/>
  <c r="AF154" i="8"/>
  <c r="AR154" i="8" s="1"/>
  <c r="AJ154" i="8"/>
  <c r="AF155" i="8"/>
  <c r="AR155" i="8" s="1"/>
  <c r="AJ155" i="8"/>
  <c r="AF175" i="8"/>
  <c r="AR175" i="8"/>
  <c r="AJ175" i="8"/>
  <c r="AF177" i="8"/>
  <c r="AR177" i="8" s="1"/>
  <c r="AJ177" i="8"/>
  <c r="AF183" i="8"/>
  <c r="AR183" i="8"/>
  <c r="AJ183" i="8"/>
  <c r="AF185" i="8"/>
  <c r="AR185" i="8" s="1"/>
  <c r="AF188" i="8"/>
  <c r="AR188" i="8"/>
  <c r="AJ188" i="8"/>
  <c r="AF194" i="8"/>
  <c r="AR194" i="8" s="1"/>
  <c r="AJ194" i="8"/>
  <c r="AJ264" i="8"/>
  <c r="AL264" i="8" s="1"/>
  <c r="AF264" i="8"/>
  <c r="AR264" i="8"/>
  <c r="AE33" i="5"/>
  <c r="AU33" i="5" s="1"/>
  <c r="AI33" i="5"/>
  <c r="V84" i="5"/>
  <c r="W84" i="5"/>
  <c r="M84" i="5"/>
  <c r="F204" i="8"/>
  <c r="N204" i="8" s="1"/>
  <c r="O204" i="8" s="1"/>
  <c r="AE204" i="8"/>
  <c r="AF204" i="8" s="1"/>
  <c r="AR204" i="8" s="1"/>
  <c r="F206" i="8"/>
  <c r="W206" i="8" s="1"/>
  <c r="X206" i="8" s="1"/>
  <c r="AE206" i="8"/>
  <c r="AJ206" i="8" s="1"/>
  <c r="E209" i="8"/>
  <c r="F209" i="8" s="1"/>
  <c r="AE209" i="8"/>
  <c r="E213" i="8"/>
  <c r="F213" i="8" s="1"/>
  <c r="AE213" i="8"/>
  <c r="E215" i="8"/>
  <c r="F215" i="8" s="1"/>
  <c r="AE215" i="8"/>
  <c r="E217" i="8"/>
  <c r="AE217" i="8"/>
  <c r="AJ217" i="8" s="1"/>
  <c r="E219" i="8"/>
  <c r="F219" i="8"/>
  <c r="AE219" i="8"/>
  <c r="AF219" i="8" s="1"/>
  <c r="AR219" i="8" s="1"/>
  <c r="E221" i="8"/>
  <c r="F221" i="8"/>
  <c r="AE221" i="8"/>
  <c r="AF221" i="8" s="1"/>
  <c r="AR221" i="8" s="1"/>
  <c r="F223" i="8"/>
  <c r="AE223" i="8"/>
  <c r="E225" i="8"/>
  <c r="F225" i="8"/>
  <c r="N225" i="8" s="1"/>
  <c r="O225" i="8" s="1"/>
  <c r="AE225" i="8"/>
  <c r="E227" i="8"/>
  <c r="F227" i="8"/>
  <c r="AE227" i="8"/>
  <c r="E229" i="8"/>
  <c r="F229" i="8"/>
  <c r="W229" i="8" s="1"/>
  <c r="X229" i="8" s="1"/>
  <c r="AE229" i="8"/>
  <c r="E82" i="5"/>
  <c r="AJ251" i="8"/>
  <c r="AF251" i="8"/>
  <c r="AR251" i="8" s="1"/>
  <c r="AJ267" i="8"/>
  <c r="AF267" i="8"/>
  <c r="AR267" i="8"/>
  <c r="E36" i="5"/>
  <c r="M36" i="5" s="1"/>
  <c r="N36" i="5" s="1"/>
  <c r="AD36" i="5"/>
  <c r="AE56" i="5"/>
  <c r="W74" i="6"/>
  <c r="X74" i="6"/>
  <c r="W101" i="6"/>
  <c r="X101" i="6" s="1"/>
  <c r="W105" i="6"/>
  <c r="X105" i="6" s="1"/>
  <c r="W109" i="6"/>
  <c r="X109" i="6"/>
  <c r="W117" i="6"/>
  <c r="X117" i="6"/>
  <c r="W121" i="6"/>
  <c r="X121" i="6" s="1"/>
  <c r="W167" i="6"/>
  <c r="X167" i="6"/>
  <c r="W171" i="6"/>
  <c r="X171" i="6"/>
  <c r="N223" i="8"/>
  <c r="O223" i="8"/>
  <c r="W223" i="8"/>
  <c r="X223" i="8" s="1"/>
  <c r="N206" i="8"/>
  <c r="O206" i="8" s="1"/>
  <c r="AE36" i="5"/>
  <c r="AU36" i="5" s="1"/>
  <c r="AI36" i="5"/>
  <c r="AM36" i="5" s="1"/>
  <c r="AE82" i="5"/>
  <c r="AU82" i="5" s="1"/>
  <c r="N229" i="8"/>
  <c r="O229" i="8"/>
  <c r="AF227" i="8"/>
  <c r="AR227" i="8" s="1"/>
  <c r="AJ227" i="8"/>
  <c r="AK227" i="8" s="1"/>
  <c r="W225" i="8"/>
  <c r="X225" i="8" s="1"/>
  <c r="N221" i="8"/>
  <c r="O221" i="8" s="1"/>
  <c r="W221" i="8"/>
  <c r="X221" i="8"/>
  <c r="AJ219" i="8"/>
  <c r="AF215" i="8"/>
  <c r="AR215" i="8" s="1"/>
  <c r="AJ215" i="8"/>
  <c r="AF206" i="8"/>
  <c r="AR206" i="8" s="1"/>
  <c r="W204" i="8"/>
  <c r="X204" i="8" s="1"/>
  <c r="AK264" i="8"/>
  <c r="W85" i="8"/>
  <c r="X85" i="8"/>
  <c r="N85" i="8"/>
  <c r="O85" i="8" s="1"/>
  <c r="W83" i="8"/>
  <c r="N83" i="8"/>
  <c r="O83" i="8" s="1"/>
  <c r="W77" i="8"/>
  <c r="X77" i="8"/>
  <c r="N77" i="8"/>
  <c r="O77" i="8"/>
  <c r="W75" i="8"/>
  <c r="N75" i="8"/>
  <c r="O75" i="8" s="1"/>
  <c r="N254" i="6"/>
  <c r="O254" i="6" s="1"/>
  <c r="AL243" i="8"/>
  <c r="AK243" i="8"/>
  <c r="AF225" i="8"/>
  <c r="AR225" i="8"/>
  <c r="AJ225" i="8"/>
  <c r="AF217" i="8"/>
  <c r="AR217" i="8" s="1"/>
  <c r="AF213" i="8"/>
  <c r="AR213" i="8" s="1"/>
  <c r="AJ213" i="8"/>
  <c r="AK213" i="8" s="1"/>
  <c r="AF209" i="8"/>
  <c r="AR209" i="8"/>
  <c r="AJ209" i="8"/>
  <c r="AJ204" i="8"/>
  <c r="AK204" i="8" s="1"/>
  <c r="AL188" i="8"/>
  <c r="AK188" i="8"/>
  <c r="AK185" i="8"/>
  <c r="AK183" i="8"/>
  <c r="AL183" i="8"/>
  <c r="AK177" i="8"/>
  <c r="AL177" i="8"/>
  <c r="AK175" i="8"/>
  <c r="AL175" i="8"/>
  <c r="AK154" i="8"/>
  <c r="AL154" i="8"/>
  <c r="AL149" i="8"/>
  <c r="AK149" i="8"/>
  <c r="AL141" i="8"/>
  <c r="AK141" i="8"/>
  <c r="N67" i="8"/>
  <c r="O67" i="8"/>
  <c r="W98" i="8"/>
  <c r="X98" i="8"/>
  <c r="N98" i="8"/>
  <c r="O98" i="8"/>
  <c r="W264" i="6"/>
  <c r="X264" i="6" s="1"/>
  <c r="W260" i="6"/>
  <c r="X260" i="6" s="1"/>
  <c r="W240" i="6"/>
  <c r="X240" i="6" s="1"/>
  <c r="N240" i="6"/>
  <c r="O240" i="6" s="1"/>
  <c r="AF67" i="8"/>
  <c r="AR67" i="8" s="1"/>
  <c r="AJ67" i="8"/>
  <c r="AK118" i="6"/>
  <c r="AL118" i="6"/>
  <c r="AK110" i="6"/>
  <c r="AK102" i="6"/>
  <c r="AL102" i="6"/>
  <c r="AL94" i="6"/>
  <c r="AK58" i="6"/>
  <c r="AL58" i="6"/>
  <c r="AK49" i="6"/>
  <c r="AL47" i="6"/>
  <c r="AK47" i="6"/>
  <c r="AL45" i="6"/>
  <c r="AL41" i="6"/>
  <c r="AK41" i="6"/>
  <c r="AL39" i="6"/>
  <c r="AK39" i="6"/>
  <c r="AL35" i="6"/>
  <c r="AK35" i="6"/>
  <c r="AK33" i="6"/>
  <c r="AK25" i="6"/>
  <c r="AL23" i="6"/>
  <c r="AK23" i="6"/>
  <c r="M32" i="5"/>
  <c r="N32" i="5" s="1"/>
  <c r="V32" i="5"/>
  <c r="W32" i="5" s="1"/>
  <c r="M24" i="5"/>
  <c r="N24" i="5"/>
  <c r="V24" i="5"/>
  <c r="W24" i="5" s="1"/>
  <c r="AL253" i="8"/>
  <c r="AL250" i="8"/>
  <c r="AJ96" i="8"/>
  <c r="AF85" i="8"/>
  <c r="AR85" i="8"/>
  <c r="AJ85" i="8"/>
  <c r="AK85" i="8" s="1"/>
  <c r="AF81" i="8"/>
  <c r="AR81" i="8" s="1"/>
  <c r="AR77" i="8"/>
  <c r="AJ77" i="8"/>
  <c r="AF73" i="8"/>
  <c r="AR73" i="8"/>
  <c r="AJ73" i="8"/>
  <c r="AK59" i="8"/>
  <c r="AL59" i="8"/>
  <c r="AK50" i="8"/>
  <c r="AL50" i="8"/>
  <c r="AK46" i="8"/>
  <c r="AL46" i="8"/>
  <c r="AK40" i="8"/>
  <c r="AL40" i="8"/>
  <c r="AK32" i="8"/>
  <c r="AL32" i="8"/>
  <c r="AL28" i="8"/>
  <c r="AK24" i="8"/>
  <c r="AL24" i="8"/>
  <c r="AK14" i="8"/>
  <c r="AK190" i="6"/>
  <c r="AL190" i="6"/>
  <c r="AK188" i="6"/>
  <c r="AK186" i="6"/>
  <c r="AL186" i="6"/>
  <c r="AK184" i="6"/>
  <c r="AL184" i="6"/>
  <c r="AK182" i="6"/>
  <c r="AL182" i="6"/>
  <c r="AK180" i="6"/>
  <c r="AL180" i="6"/>
  <c r="AL116" i="6"/>
  <c r="AK100" i="6"/>
  <c r="AL100" i="6"/>
  <c r="AK85" i="6"/>
  <c r="AJ264" i="6"/>
  <c r="AF260" i="6"/>
  <c r="AR260" i="6" s="1"/>
  <c r="AJ260" i="6"/>
  <c r="AF254" i="6"/>
  <c r="AR254" i="6" s="1"/>
  <c r="AF246" i="6"/>
  <c r="AR246" i="6"/>
  <c r="AJ246" i="6"/>
  <c r="AF240" i="6"/>
  <c r="AR240" i="6"/>
  <c r="AJ240" i="6"/>
  <c r="AF63" i="6"/>
  <c r="AR63" i="6" s="1"/>
  <c r="AJ63" i="6"/>
  <c r="R148" i="11"/>
  <c r="S148" i="11" s="1"/>
  <c r="T148" i="11"/>
  <c r="U148" i="11" s="1"/>
  <c r="V148" i="11"/>
  <c r="W148" i="11"/>
  <c r="X148" i="11"/>
  <c r="Y148" i="11" s="1"/>
  <c r="O130" i="11"/>
  <c r="Q130" i="11"/>
  <c r="P130" i="11"/>
  <c r="M145" i="11"/>
  <c r="O145" i="11" s="1"/>
  <c r="Q145" i="11" s="1"/>
  <c r="AK136" i="8"/>
  <c r="AL136" i="8"/>
  <c r="AK123" i="8"/>
  <c r="AL123" i="8"/>
  <c r="AK119" i="8"/>
  <c r="AL119" i="8"/>
  <c r="AK117" i="8"/>
  <c r="AK113" i="8"/>
  <c r="AL113" i="8"/>
  <c r="AK109" i="8"/>
  <c r="AL109" i="8"/>
  <c r="AL108" i="8"/>
  <c r="AK108" i="8"/>
  <c r="AL60" i="8"/>
  <c r="AK60" i="8"/>
  <c r="AF63" i="8"/>
  <c r="AR63" i="8" s="1"/>
  <c r="AJ63" i="8"/>
  <c r="AK69" i="8"/>
  <c r="AL69" i="8"/>
  <c r="AK39" i="8"/>
  <c r="AK193" i="6"/>
  <c r="AL177" i="6"/>
  <c r="AK73" i="6"/>
  <c r="AL73" i="6"/>
  <c r="AK65" i="6"/>
  <c r="AL65" i="6"/>
  <c r="AM55" i="5"/>
  <c r="AJ55" i="5"/>
  <c r="AO55" i="5"/>
  <c r="AE32" i="5"/>
  <c r="AU32" i="5"/>
  <c r="AI32" i="5"/>
  <c r="AI30" i="5"/>
  <c r="AE24" i="5"/>
  <c r="AU24" i="5"/>
  <c r="AI24" i="5"/>
  <c r="AL24" i="5" s="1"/>
  <c r="AK76" i="8"/>
  <c r="AL76" i="8"/>
  <c r="AJ37" i="5"/>
  <c r="AO37" i="5" s="1"/>
  <c r="AJ29" i="5"/>
  <c r="AO29" i="5" s="1"/>
  <c r="AM29" i="5"/>
  <c r="AK187" i="6"/>
  <c r="AL187" i="6"/>
  <c r="AL51" i="8"/>
  <c r="AK51" i="8"/>
  <c r="AL43" i="8"/>
  <c r="AK43" i="8"/>
  <c r="AK181" i="6"/>
  <c r="AL181" i="6"/>
  <c r="AF98" i="8"/>
  <c r="AR98" i="8"/>
  <c r="AJ98" i="8"/>
  <c r="AK98" i="8" s="1"/>
  <c r="AF83" i="8"/>
  <c r="AR83" i="8" s="1"/>
  <c r="AJ83" i="8"/>
  <c r="AL83" i="8" s="1"/>
  <c r="AF75" i="8"/>
  <c r="AR75" i="8"/>
  <c r="AJ75" i="8"/>
  <c r="AK75" i="8" s="1"/>
  <c r="AF265" i="6"/>
  <c r="AR265" i="6"/>
  <c r="AJ265" i="6"/>
  <c r="AJ263" i="6"/>
  <c r="AK263" i="6" s="1"/>
  <c r="AF259" i="6"/>
  <c r="AR259" i="6"/>
  <c r="AF257" i="6"/>
  <c r="AR257" i="6"/>
  <c r="AJ257" i="6"/>
  <c r="AF255" i="6"/>
  <c r="AR255" i="6"/>
  <c r="AJ255" i="6"/>
  <c r="AK255" i="6" s="1"/>
  <c r="W255" i="6"/>
  <c r="X255" i="6" s="1"/>
  <c r="AF253" i="6"/>
  <c r="AR253" i="6"/>
  <c r="AJ253" i="6"/>
  <c r="AK253" i="6" s="1"/>
  <c r="W253" i="6"/>
  <c r="X253" i="6"/>
  <c r="N253" i="6"/>
  <c r="O253" i="6"/>
  <c r="AF249" i="6"/>
  <c r="AR249" i="6"/>
  <c r="AJ249" i="6"/>
  <c r="W249" i="6"/>
  <c r="X249" i="6"/>
  <c r="N249" i="6"/>
  <c r="O249" i="6" s="1"/>
  <c r="AF245" i="6"/>
  <c r="AR245" i="6" s="1"/>
  <c r="AF243" i="6"/>
  <c r="AR243" i="6" s="1"/>
  <c r="AF239" i="6"/>
  <c r="AR239" i="6"/>
  <c r="AJ239" i="6"/>
  <c r="AK239" i="6" s="1"/>
  <c r="W239" i="6"/>
  <c r="X239" i="6" s="1"/>
  <c r="N239" i="6"/>
  <c r="O239" i="6"/>
  <c r="AR174" i="6"/>
  <c r="AJ174" i="6"/>
  <c r="AL174" i="6" s="1"/>
  <c r="AF172" i="6"/>
  <c r="AR172" i="6"/>
  <c r="AK168" i="6"/>
  <c r="AL168" i="6"/>
  <c r="AK114" i="6"/>
  <c r="AL114" i="6"/>
  <c r="AK98" i="6"/>
  <c r="AL98" i="6"/>
  <c r="AK83" i="6"/>
  <c r="AL83" i="6"/>
  <c r="AK67" i="6"/>
  <c r="AL67" i="6"/>
  <c r="AK171" i="6"/>
  <c r="AL171" i="6"/>
  <c r="AK169" i="6"/>
  <c r="AL169" i="6"/>
  <c r="AK167" i="6"/>
  <c r="AL167" i="6"/>
  <c r="AK121" i="6"/>
  <c r="AK117" i="6"/>
  <c r="AL117" i="6"/>
  <c r="AK113" i="6"/>
  <c r="AL113" i="6"/>
  <c r="AK109" i="6"/>
  <c r="AL109" i="6"/>
  <c r="AK103" i="6"/>
  <c r="AL103" i="6"/>
  <c r="AK101" i="6"/>
  <c r="AL101" i="6"/>
  <c r="AK76" i="6"/>
  <c r="AL76" i="6"/>
  <c r="AK74" i="6"/>
  <c r="AK64" i="6"/>
  <c r="AL64" i="6"/>
  <c r="AK62" i="6"/>
  <c r="AK60" i="6"/>
  <c r="AL60" i="6"/>
  <c r="AL50" i="6"/>
  <c r="AK50" i="6"/>
  <c r="AL48" i="6"/>
  <c r="AK48" i="6"/>
  <c r="AL42" i="6"/>
  <c r="AL38" i="6"/>
  <c r="AK38" i="6"/>
  <c r="AL34" i="6"/>
  <c r="AL26" i="6"/>
  <c r="AK26" i="6"/>
  <c r="AL24" i="6"/>
  <c r="AK24" i="6"/>
  <c r="N63" i="6"/>
  <c r="O63" i="6" s="1"/>
  <c r="W63" i="6"/>
  <c r="X63" i="6" s="1"/>
  <c r="O134" i="11"/>
  <c r="Q134" i="11"/>
  <c r="N134" i="11"/>
  <c r="P134" i="11" s="1"/>
  <c r="W147" i="11"/>
  <c r="X147" i="11"/>
  <c r="M147" i="11"/>
  <c r="N147" i="11" s="1"/>
  <c r="P147" i="11" s="1"/>
  <c r="W135" i="11"/>
  <c r="X135" i="11" s="1"/>
  <c r="M151" i="11"/>
  <c r="M148" i="11"/>
  <c r="O148" i="11" s="1"/>
  <c r="Q148" i="11" s="1"/>
  <c r="N145" i="11"/>
  <c r="P145" i="11" s="1"/>
  <c r="N148" i="11"/>
  <c r="P148" i="11" s="1"/>
  <c r="N151" i="11"/>
  <c r="P151" i="11" s="1"/>
  <c r="O151" i="11"/>
  <c r="Q151" i="11"/>
  <c r="AK174" i="6"/>
  <c r="AL245" i="6"/>
  <c r="AL249" i="6"/>
  <c r="AK249" i="6"/>
  <c r="AL253" i="6"/>
  <c r="AL257" i="6"/>
  <c r="AK257" i="6"/>
  <c r="AL263" i="6"/>
  <c r="AL265" i="6"/>
  <c r="AK265" i="6"/>
  <c r="AL75" i="8"/>
  <c r="AK83" i="8"/>
  <c r="AL98" i="8"/>
  <c r="AJ24" i="5"/>
  <c r="AN24" i="5" s="1"/>
  <c r="AJ32" i="5"/>
  <c r="AO32" i="5" s="1"/>
  <c r="AM32" i="5"/>
  <c r="AK63" i="6"/>
  <c r="AL63" i="6"/>
  <c r="AL246" i="6"/>
  <c r="AK246" i="6"/>
  <c r="AL254" i="6"/>
  <c r="AK254" i="6"/>
  <c r="AL260" i="6"/>
  <c r="AK260" i="6"/>
  <c r="AL73" i="8"/>
  <c r="AK73" i="8"/>
  <c r="AL77" i="8"/>
  <c r="AK77" i="8"/>
  <c r="AL85" i="8"/>
  <c r="AL96" i="8"/>
  <c r="AK96" i="8"/>
  <c r="AL204" i="8"/>
  <c r="AL209" i="8"/>
  <c r="AK209" i="8"/>
  <c r="AL213" i="8"/>
  <c r="AL225" i="8"/>
  <c r="AK225" i="8"/>
  <c r="AL215" i="8"/>
  <c r="AK215" i="8"/>
  <c r="AL219" i="8"/>
  <c r="AK219" i="8"/>
  <c r="AL227" i="8"/>
  <c r="AJ82" i="5"/>
  <c r="AO82" i="5" s="1"/>
  <c r="AE268" i="6"/>
  <c r="AF268" i="6" s="1"/>
  <c r="AR268" i="6" s="1"/>
  <c r="E268" i="6"/>
  <c r="F268" i="6"/>
  <c r="Q268" i="6"/>
  <c r="R268" i="6" s="1"/>
  <c r="N268" i="6"/>
  <c r="O268" i="6"/>
  <c r="W268" i="6"/>
  <c r="X268" i="6" s="1"/>
  <c r="AJ268" i="6"/>
  <c r="S213" i="19"/>
  <c r="S214" i="19"/>
  <c r="T214" i="19"/>
  <c r="S215" i="19"/>
  <c r="T215" i="19"/>
  <c r="S216" i="19"/>
  <c r="T216" i="19"/>
  <c r="S197" i="19"/>
  <c r="T197" i="19"/>
  <c r="S198" i="19"/>
  <c r="T198" i="19"/>
  <c r="S199" i="19"/>
  <c r="T199" i="19"/>
  <c r="S200" i="19"/>
  <c r="T200" i="19"/>
  <c r="S201" i="19"/>
  <c r="S202" i="19"/>
  <c r="T202" i="19"/>
  <c r="S203" i="19"/>
  <c r="T203" i="19"/>
  <c r="S204" i="19"/>
  <c r="T204" i="19"/>
  <c r="S206" i="19"/>
  <c r="S210" i="19"/>
  <c r="F240" i="8"/>
  <c r="N240" i="8" s="1"/>
  <c r="O240" i="8" s="1"/>
  <c r="AE240" i="8"/>
  <c r="W240" i="8"/>
  <c r="X240" i="8"/>
  <c r="AF240" i="8"/>
  <c r="AR240" i="8" s="1"/>
  <c r="AJ240" i="8"/>
  <c r="AL240" i="8" s="1"/>
  <c r="S207" i="19"/>
  <c r="T209" i="19"/>
  <c r="T207" i="19"/>
  <c r="T205" i="19"/>
  <c r="S209" i="19"/>
  <c r="T208" i="19"/>
  <c r="T206" i="19"/>
  <c r="S208" i="19"/>
  <c r="T213" i="19"/>
  <c r="T210" i="19"/>
  <c r="T211" i="19"/>
  <c r="T212" i="19"/>
  <c r="T201" i="19"/>
  <c r="Z201" i="19"/>
  <c r="W198" i="19"/>
  <c r="W200" i="19"/>
  <c r="V199" i="19"/>
  <c r="V197" i="19"/>
  <c r="Z197" i="19"/>
  <c r="Y198" i="19"/>
  <c r="Z199" i="19"/>
  <c r="Y200" i="19"/>
  <c r="Z230" i="6"/>
  <c r="AA230" i="6" s="1"/>
  <c r="Z228" i="6"/>
  <c r="AA228" i="6" s="1"/>
  <c r="Q228" i="6"/>
  <c r="R228" i="6" s="1"/>
  <c r="L228" i="6"/>
  <c r="Q225" i="6"/>
  <c r="R225" i="6" s="1"/>
  <c r="L225" i="6"/>
  <c r="Z225" i="6"/>
  <c r="AA225" i="6" s="1"/>
  <c r="Q221" i="6"/>
  <c r="R221" i="6"/>
  <c r="L221" i="6"/>
  <c r="AE221" i="6" s="1"/>
  <c r="Z221" i="6"/>
  <c r="AA221" i="6"/>
  <c r="Q217" i="6"/>
  <c r="R217" i="6" s="1"/>
  <c r="Z217" i="6"/>
  <c r="AA217" i="6"/>
  <c r="Q213" i="6"/>
  <c r="R213" i="6"/>
  <c r="L213" i="6"/>
  <c r="Z213" i="6"/>
  <c r="AA213" i="6" s="1"/>
  <c r="Q209" i="6"/>
  <c r="R209" i="6"/>
  <c r="L209" i="6"/>
  <c r="AE209" i="6"/>
  <c r="AJ209" i="6" s="1"/>
  <c r="AK209" i="6" s="1"/>
  <c r="Z209" i="6"/>
  <c r="AA209" i="6" s="1"/>
  <c r="Q224" i="6"/>
  <c r="R224" i="6"/>
  <c r="Z224" i="6"/>
  <c r="AA224" i="6"/>
  <c r="Q220" i="6"/>
  <c r="R220" i="6"/>
  <c r="Z220" i="6"/>
  <c r="AA220" i="6" s="1"/>
  <c r="Q216" i="6"/>
  <c r="R216" i="6" s="1"/>
  <c r="Z216" i="6"/>
  <c r="AA216" i="6" s="1"/>
  <c r="Q212" i="6"/>
  <c r="R212" i="6"/>
  <c r="Z212" i="6"/>
  <c r="AA212" i="6" s="1"/>
  <c r="E209" i="6"/>
  <c r="F209" i="6" s="1"/>
  <c r="W209" i="6" s="1"/>
  <c r="E221" i="6"/>
  <c r="E225" i="6"/>
  <c r="F225" i="6"/>
  <c r="N225" i="6" s="1"/>
  <c r="AE225" i="6"/>
  <c r="AJ225" i="6" s="1"/>
  <c r="AK225" i="6" s="1"/>
  <c r="AF225" i="6"/>
  <c r="AR225" i="6"/>
  <c r="AF209" i="6"/>
  <c r="AR209" i="6"/>
  <c r="AL225" i="6"/>
  <c r="E157" i="6"/>
  <c r="F157" i="6"/>
  <c r="W157" i="6" s="1"/>
  <c r="X157" i="6" s="1"/>
  <c r="AE157" i="6"/>
  <c r="E154" i="6"/>
  <c r="AE154" i="6"/>
  <c r="AF154" i="6" s="1"/>
  <c r="AR154" i="6" s="1"/>
  <c r="F154" i="6"/>
  <c r="AE153" i="6"/>
  <c r="E153" i="6"/>
  <c r="F153" i="6"/>
  <c r="N153" i="6" s="1"/>
  <c r="O153" i="6" s="1"/>
  <c r="E149" i="6"/>
  <c r="F149" i="6" s="1"/>
  <c r="W149" i="6" s="1"/>
  <c r="X149" i="6" s="1"/>
  <c r="AE149" i="6"/>
  <c r="AF149" i="6" s="1"/>
  <c r="E146" i="6"/>
  <c r="F146" i="6" s="1"/>
  <c r="AE146" i="6"/>
  <c r="AF146" i="6" s="1"/>
  <c r="AR146" i="6" s="1"/>
  <c r="AE145" i="6"/>
  <c r="E145" i="6"/>
  <c r="F145" i="6"/>
  <c r="W145" i="6" s="1"/>
  <c r="X145" i="6" s="1"/>
  <c r="AE142" i="6"/>
  <c r="AF142" i="6" s="1"/>
  <c r="AR142" i="6" s="1"/>
  <c r="E141" i="6"/>
  <c r="F141" i="6" s="1"/>
  <c r="AE141" i="6"/>
  <c r="E138" i="6"/>
  <c r="AE138" i="6"/>
  <c r="AF138" i="6" s="1"/>
  <c r="AR138" i="6" s="1"/>
  <c r="F138" i="6"/>
  <c r="AE137" i="6"/>
  <c r="E137" i="6"/>
  <c r="F137" i="6"/>
  <c r="W137" i="6" s="1"/>
  <c r="X137" i="6" s="1"/>
  <c r="E134" i="6"/>
  <c r="F134" i="6" s="1"/>
  <c r="N134" i="6" s="1"/>
  <c r="O134" i="6" s="1"/>
  <c r="AE134" i="6"/>
  <c r="E133" i="6"/>
  <c r="F133" i="6" s="1"/>
  <c r="W133" i="6" s="1"/>
  <c r="X133" i="6" s="1"/>
  <c r="AE133" i="6"/>
  <c r="AF133" i="6" s="1"/>
  <c r="E130" i="6"/>
  <c r="F130" i="6" s="1"/>
  <c r="AE130" i="6"/>
  <c r="AF130" i="6" s="1"/>
  <c r="AR130" i="6" s="1"/>
  <c r="E156" i="6"/>
  <c r="F156" i="6"/>
  <c r="AE156" i="6"/>
  <c r="E152" i="6"/>
  <c r="F152" i="6"/>
  <c r="AE152" i="6"/>
  <c r="E151" i="6"/>
  <c r="F151" i="6"/>
  <c r="N151" i="6" s="1"/>
  <c r="O151" i="6" s="1"/>
  <c r="AE151" i="6"/>
  <c r="AJ151" i="6" s="1"/>
  <c r="E148" i="6"/>
  <c r="F148" i="6"/>
  <c r="N148" i="6" s="1"/>
  <c r="O148" i="6" s="1"/>
  <c r="AE148" i="6"/>
  <c r="AJ148" i="6" s="1"/>
  <c r="AL148" i="6" s="1"/>
  <c r="AE147" i="6"/>
  <c r="AJ147" i="6" s="1"/>
  <c r="AK147" i="6" s="1"/>
  <c r="E147" i="6"/>
  <c r="F147" i="6"/>
  <c r="E143" i="6"/>
  <c r="F143" i="6"/>
  <c r="AE143" i="6"/>
  <c r="AF143" i="6" s="1"/>
  <c r="AR143" i="6" s="1"/>
  <c r="E140" i="6"/>
  <c r="F140" i="6"/>
  <c r="N140" i="6" s="1"/>
  <c r="O140" i="6" s="1"/>
  <c r="AE140" i="6"/>
  <c r="E136" i="6"/>
  <c r="F136" i="6"/>
  <c r="W136" i="6" s="1"/>
  <c r="X136" i="6" s="1"/>
  <c r="AE136" i="6"/>
  <c r="E135" i="6"/>
  <c r="F135" i="6"/>
  <c r="W135" i="6" s="1"/>
  <c r="X135" i="6" s="1"/>
  <c r="AE135" i="6"/>
  <c r="AF135" i="6" s="1"/>
  <c r="AR135" i="6" s="1"/>
  <c r="E132" i="6"/>
  <c r="F132" i="6" s="1"/>
  <c r="AE132" i="6"/>
  <c r="AF132" i="6" s="1"/>
  <c r="N143" i="6"/>
  <c r="O143" i="6" s="1"/>
  <c r="W143" i="6"/>
  <c r="X143" i="6" s="1"/>
  <c r="N137" i="6"/>
  <c r="O137" i="6" s="1"/>
  <c r="N135" i="6"/>
  <c r="O135" i="6"/>
  <c r="W151" i="6"/>
  <c r="X151" i="6" s="1"/>
  <c r="N136" i="6"/>
  <c r="O136" i="6" s="1"/>
  <c r="W140" i="6"/>
  <c r="X140" i="6" s="1"/>
  <c r="N147" i="6"/>
  <c r="O147" i="6"/>
  <c r="W147" i="6"/>
  <c r="X147" i="6" s="1"/>
  <c r="AF151" i="6"/>
  <c r="AR151" i="6"/>
  <c r="N156" i="6"/>
  <c r="O156" i="6"/>
  <c r="W156" i="6"/>
  <c r="X156" i="6" s="1"/>
  <c r="N133" i="6"/>
  <c r="O133" i="6"/>
  <c r="W134" i="6"/>
  <c r="X134" i="6" s="1"/>
  <c r="N138" i="6"/>
  <c r="O138" i="6" s="1"/>
  <c r="W138" i="6"/>
  <c r="X138" i="6" s="1"/>
  <c r="N154" i="6"/>
  <c r="O154" i="6"/>
  <c r="W154" i="6"/>
  <c r="X154" i="6"/>
  <c r="AJ135" i="6"/>
  <c r="AL135" i="6" s="1"/>
  <c r="AR132" i="6"/>
  <c r="AJ132" i="6"/>
  <c r="AK132" i="6" s="1"/>
  <c r="AF136" i="6"/>
  <c r="AR136" i="6" s="1"/>
  <c r="AJ136" i="6"/>
  <c r="AF148" i="6"/>
  <c r="AR148" i="6" s="1"/>
  <c r="AF152" i="6"/>
  <c r="AR152" i="6" s="1"/>
  <c r="AJ152" i="6"/>
  <c r="AK152" i="6" s="1"/>
  <c r="AF156" i="6"/>
  <c r="AR156" i="6" s="1"/>
  <c r="AJ156" i="6"/>
  <c r="AR133" i="6"/>
  <c r="AJ133" i="6"/>
  <c r="AL133" i="6" s="1"/>
  <c r="AF134" i="6"/>
  <c r="AR134" i="6" s="1"/>
  <c r="AJ134" i="6"/>
  <c r="AJ138" i="6"/>
  <c r="AK138" i="6" s="1"/>
  <c r="AF141" i="6"/>
  <c r="AR141" i="6" s="1"/>
  <c r="AJ141" i="6"/>
  <c r="AK141" i="6" s="1"/>
  <c r="AF145" i="6"/>
  <c r="AR145" i="6" s="1"/>
  <c r="AJ145" i="6"/>
  <c r="AK145" i="6" s="1"/>
  <c r="AJ146" i="6"/>
  <c r="AL146" i="6" s="1"/>
  <c r="AR149" i="6"/>
  <c r="AJ149" i="6"/>
  <c r="AL149" i="6" s="1"/>
  <c r="AJ154" i="6"/>
  <c r="AK154" i="6" s="1"/>
  <c r="AF157" i="6"/>
  <c r="AR157" i="6" s="1"/>
  <c r="AJ157" i="6"/>
  <c r="AK157" i="6" s="1"/>
  <c r="AK146" i="6"/>
  <c r="AL134" i="6"/>
  <c r="AK134" i="6"/>
  <c r="AK148" i="6"/>
  <c r="AL157" i="6"/>
  <c r="AL141" i="6"/>
  <c r="AK133" i="6"/>
  <c r="AL156" i="6"/>
  <c r="AK156" i="6"/>
  <c r="AL152" i="6"/>
  <c r="AL136" i="6"/>
  <c r="AK136" i="6"/>
  <c r="AL132" i="6"/>
  <c r="AK135" i="6"/>
  <c r="AL151" i="6"/>
  <c r="AK151" i="6"/>
  <c r="O225" i="6"/>
  <c r="X209" i="6"/>
  <c r="N209" i="6"/>
  <c r="O209" i="6"/>
  <c r="Q227" i="6"/>
  <c r="R227" i="6" s="1"/>
  <c r="L227" i="6"/>
  <c r="Z227" i="6"/>
  <c r="AA227" i="6" s="1"/>
  <c r="L226" i="6"/>
  <c r="Q226" i="6"/>
  <c r="R226" i="6" s="1"/>
  <c r="Z226" i="6"/>
  <c r="AA226" i="6" s="1"/>
  <c r="Q223" i="6"/>
  <c r="R223" i="6"/>
  <c r="L223" i="6"/>
  <c r="Z223" i="6"/>
  <c r="AA223" i="6" s="1"/>
  <c r="L222" i="6"/>
  <c r="Q222" i="6"/>
  <c r="R222" i="6" s="1"/>
  <c r="Z222" i="6"/>
  <c r="AA222" i="6"/>
  <c r="Q219" i="6"/>
  <c r="R219" i="6"/>
  <c r="L219" i="6"/>
  <c r="Z219" i="6"/>
  <c r="AA219" i="6"/>
  <c r="Q218" i="6"/>
  <c r="R218" i="6"/>
  <c r="Z218" i="6"/>
  <c r="AA218" i="6"/>
  <c r="Q215" i="6"/>
  <c r="R215" i="6"/>
  <c r="L215" i="6"/>
  <c r="AE215" i="6" s="1"/>
  <c r="Z215" i="6"/>
  <c r="L214" i="6"/>
  <c r="AE214" i="6" s="1"/>
  <c r="AF214" i="6" s="1"/>
  <c r="AR214" i="6" s="1"/>
  <c r="Q214" i="6"/>
  <c r="R214" i="6"/>
  <c r="Z214" i="6"/>
  <c r="AA214" i="6"/>
  <c r="Q211" i="6"/>
  <c r="R211" i="6" s="1"/>
  <c r="L211" i="6"/>
  <c r="Z211" i="6"/>
  <c r="AA211" i="6" s="1"/>
  <c r="Q210" i="6"/>
  <c r="R210" i="6"/>
  <c r="Z210" i="6"/>
  <c r="AA210" i="6" s="1"/>
  <c r="Z229" i="6"/>
  <c r="AA229" i="6"/>
  <c r="Q229" i="6"/>
  <c r="R229" i="6"/>
  <c r="E224" i="6"/>
  <c r="F224" i="6"/>
  <c r="AE224" i="6"/>
  <c r="AJ224" i="6" s="1"/>
  <c r="AK224" i="6" s="1"/>
  <c r="E220" i="6"/>
  <c r="AE220" i="6"/>
  <c r="AJ220" i="6" s="1"/>
  <c r="AL220" i="6" s="1"/>
  <c r="F220" i="6"/>
  <c r="N220" i="6" s="1"/>
  <c r="O220" i="6" s="1"/>
  <c r="E216" i="6"/>
  <c r="F216" i="6" s="1"/>
  <c r="AE216" i="6"/>
  <c r="E212" i="6"/>
  <c r="AE212" i="6"/>
  <c r="AF212" i="6" s="1"/>
  <c r="AR212" i="6" s="1"/>
  <c r="F212" i="6"/>
  <c r="N212" i="6" s="1"/>
  <c r="O212" i="6" s="1"/>
  <c r="Q208" i="6"/>
  <c r="R208" i="6"/>
  <c r="Z208" i="6"/>
  <c r="AA208" i="6" s="1"/>
  <c r="Q207" i="6"/>
  <c r="R207" i="6"/>
  <c r="L207" i="6"/>
  <c r="E207" i="6" s="1"/>
  <c r="Z207" i="6"/>
  <c r="AA207" i="6"/>
  <c r="L206" i="6"/>
  <c r="E206" i="6" s="1"/>
  <c r="Q206" i="6"/>
  <c r="R206" i="6" s="1"/>
  <c r="Z206" i="6"/>
  <c r="AA206" i="6"/>
  <c r="Q205" i="6"/>
  <c r="R205" i="6"/>
  <c r="L205" i="6"/>
  <c r="AE205" i="6" s="1"/>
  <c r="Z205" i="6"/>
  <c r="AA205" i="6"/>
  <c r="L204" i="6"/>
  <c r="Q204" i="6"/>
  <c r="R204" i="6"/>
  <c r="Z204" i="6"/>
  <c r="AA204" i="6"/>
  <c r="Q203" i="6"/>
  <c r="R203" i="6"/>
  <c r="L203" i="6"/>
  <c r="AE203" i="6" s="1"/>
  <c r="Z203" i="6"/>
  <c r="AA202" i="6"/>
  <c r="Q202" i="6"/>
  <c r="R202" i="6" s="1"/>
  <c r="N224" i="6"/>
  <c r="O224" i="6" s="1"/>
  <c r="W224" i="6"/>
  <c r="X224" i="6" s="1"/>
  <c r="W212" i="6"/>
  <c r="X212" i="6" s="1"/>
  <c r="W220" i="6"/>
  <c r="X220" i="6"/>
  <c r="E204" i="6"/>
  <c r="AE204" i="6"/>
  <c r="AF204" i="6" s="1"/>
  <c r="AR204" i="6" s="1"/>
  <c r="F204" i="6"/>
  <c r="W204" i="6" s="1"/>
  <c r="X204" i="6" s="1"/>
  <c r="AJ212" i="6"/>
  <c r="AK212" i="6" s="1"/>
  <c r="AF216" i="6"/>
  <c r="AR216" i="6"/>
  <c r="AJ216" i="6"/>
  <c r="AL216" i="6" s="1"/>
  <c r="AF220" i="6"/>
  <c r="AR220" i="6"/>
  <c r="AF224" i="6"/>
  <c r="AR224" i="6" s="1"/>
  <c r="AE211" i="6"/>
  <c r="AF211" i="6" s="1"/>
  <c r="AR211" i="6" s="1"/>
  <c r="E211" i="6"/>
  <c r="F211" i="6" s="1"/>
  <c r="E214" i="6"/>
  <c r="F214" i="6" s="1"/>
  <c r="AE219" i="6"/>
  <c r="AJ219" i="6" s="1"/>
  <c r="AE222" i="6"/>
  <c r="AF222" i="6" s="1"/>
  <c r="AR222" i="6" s="1"/>
  <c r="E223" i="6"/>
  <c r="F223" i="6" s="1"/>
  <c r="AE223" i="6"/>
  <c r="AJ223" i="6" s="1"/>
  <c r="AE227" i="6"/>
  <c r="AJ227" i="6" s="1"/>
  <c r="AK227" i="6" s="1"/>
  <c r="E227" i="6"/>
  <c r="F227" i="6" s="1"/>
  <c r="AF227" i="6"/>
  <c r="AR227" i="6"/>
  <c r="AJ222" i="6"/>
  <c r="AK222" i="6" s="1"/>
  <c r="AJ214" i="6"/>
  <c r="AK214" i="6" s="1"/>
  <c r="AJ211" i="6"/>
  <c r="AL224" i="6"/>
  <c r="AL212" i="6"/>
  <c r="N204" i="6"/>
  <c r="O204" i="6"/>
  <c r="AL214" i="6"/>
  <c r="S61" i="20"/>
  <c r="AB5" i="20"/>
  <c r="AB7" i="20"/>
  <c r="AB9" i="20"/>
  <c r="AB11" i="20"/>
  <c r="AB13" i="20"/>
  <c r="AB15" i="20"/>
  <c r="AB17" i="20"/>
  <c r="AB19" i="20"/>
  <c r="AB23" i="20"/>
  <c r="AB25" i="20"/>
  <c r="AB27" i="20"/>
  <c r="AB31" i="20"/>
  <c r="AB33" i="20"/>
  <c r="AB35" i="20"/>
  <c r="AB39" i="20"/>
  <c r="AB41" i="20"/>
  <c r="AB43" i="20"/>
  <c r="AB45" i="20"/>
  <c r="AB49" i="20"/>
  <c r="AB51" i="20"/>
  <c r="AB55" i="20"/>
  <c r="AB57" i="20"/>
  <c r="AB59" i="20"/>
  <c r="AB61" i="20"/>
  <c r="T5" i="20"/>
  <c r="T7" i="20"/>
  <c r="T9" i="20"/>
  <c r="T11" i="20"/>
  <c r="T13" i="20"/>
  <c r="T15" i="20"/>
  <c r="T17" i="20"/>
  <c r="T19" i="20"/>
  <c r="T23" i="20"/>
  <c r="T25" i="20"/>
  <c r="T27" i="20"/>
  <c r="T31" i="20"/>
  <c r="T33" i="20"/>
  <c r="T35" i="20"/>
  <c r="T39" i="20"/>
  <c r="T41" i="20"/>
  <c r="T43" i="20"/>
  <c r="T45" i="20"/>
  <c r="T49" i="20"/>
  <c r="T51" i="20"/>
  <c r="T55" i="20"/>
  <c r="T57" i="20"/>
  <c r="T59" i="20"/>
  <c r="T61" i="20"/>
  <c r="X5" i="20"/>
  <c r="Y5" i="20"/>
  <c r="X7" i="20"/>
  <c r="Y7" i="20"/>
  <c r="X9" i="20"/>
  <c r="Y9" i="20" s="1"/>
  <c r="X11" i="20"/>
  <c r="Y11" i="20"/>
  <c r="X13" i="20"/>
  <c r="Y13" i="20"/>
  <c r="X15" i="20"/>
  <c r="Y15" i="20"/>
  <c r="X17" i="20"/>
  <c r="Y17" i="20" s="1"/>
  <c r="X19" i="20"/>
  <c r="Y19" i="20"/>
  <c r="X23" i="20"/>
  <c r="Y23" i="20" s="1"/>
  <c r="X25" i="20"/>
  <c r="Y25" i="20" s="1"/>
  <c r="X27" i="20"/>
  <c r="Y27" i="20"/>
  <c r="X31" i="20"/>
  <c r="Y31" i="20"/>
  <c r="X33" i="20"/>
  <c r="X35" i="20"/>
  <c r="Y35" i="20"/>
  <c r="X39" i="20"/>
  <c r="Y39" i="20"/>
  <c r="X41" i="20"/>
  <c r="Y41" i="20" s="1"/>
  <c r="X43" i="20"/>
  <c r="Y43" i="20"/>
  <c r="X45" i="20"/>
  <c r="Y45" i="20"/>
  <c r="X49" i="20"/>
  <c r="Y49" i="20" s="1"/>
  <c r="X51" i="20"/>
  <c r="Y51" i="20"/>
  <c r="X55" i="20"/>
  <c r="Y55" i="20"/>
  <c r="X57" i="20"/>
  <c r="Y57" i="20" s="1"/>
  <c r="X59" i="20"/>
  <c r="Y59" i="20"/>
  <c r="X61" i="20"/>
  <c r="Y61" i="20"/>
  <c r="U5" i="20"/>
  <c r="T6" i="20"/>
  <c r="X6" i="20"/>
  <c r="Y6" i="20" s="1"/>
  <c r="U7" i="20"/>
  <c r="T8" i="20"/>
  <c r="X8" i="20"/>
  <c r="Y8" i="20"/>
  <c r="U9" i="20"/>
  <c r="T10" i="20"/>
  <c r="X10" i="20"/>
  <c r="Y10" i="20" s="1"/>
  <c r="U11" i="20"/>
  <c r="T12" i="20"/>
  <c r="X12" i="20"/>
  <c r="Y12" i="20"/>
  <c r="U13" i="20"/>
  <c r="T14" i="20"/>
  <c r="X14" i="20"/>
  <c r="Y14" i="20" s="1"/>
  <c r="U15" i="20"/>
  <c r="T16" i="20"/>
  <c r="X16" i="20"/>
  <c r="Y16" i="20"/>
  <c r="U17" i="20"/>
  <c r="T18" i="20"/>
  <c r="X18" i="20"/>
  <c r="Y18" i="20" s="1"/>
  <c r="U19" i="20"/>
  <c r="T20" i="20"/>
  <c r="X20" i="20"/>
  <c r="Y20" i="20"/>
  <c r="T22" i="20"/>
  <c r="X22" i="20"/>
  <c r="Y22" i="20" s="1"/>
  <c r="U23" i="20"/>
  <c r="U25" i="20"/>
  <c r="T26" i="20"/>
  <c r="X26" i="20"/>
  <c r="U27" i="20"/>
  <c r="T28" i="20"/>
  <c r="X28" i="20"/>
  <c r="Y28" i="20"/>
  <c r="T30" i="20"/>
  <c r="X30" i="20"/>
  <c r="Y30" i="20" s="1"/>
  <c r="U31" i="20"/>
  <c r="T32" i="20"/>
  <c r="X32" i="20"/>
  <c r="Y32" i="20"/>
  <c r="U33" i="20"/>
  <c r="T34" i="20"/>
  <c r="X34" i="20"/>
  <c r="Y34" i="20" s="1"/>
  <c r="U35" i="20"/>
  <c r="T36" i="20"/>
  <c r="X36" i="20"/>
  <c r="Y36" i="20"/>
  <c r="T38" i="20"/>
  <c r="X38" i="20"/>
  <c r="Y38" i="20" s="1"/>
  <c r="U39" i="20"/>
  <c r="U41" i="20"/>
  <c r="T42" i="20"/>
  <c r="X42" i="20"/>
  <c r="U43" i="20"/>
  <c r="T44" i="20"/>
  <c r="X44" i="20"/>
  <c r="Y44" i="20"/>
  <c r="U45" i="20"/>
  <c r="T48" i="20"/>
  <c r="X48" i="20"/>
  <c r="Y48" i="20"/>
  <c r="U49" i="20"/>
  <c r="T50" i="20"/>
  <c r="X50" i="20"/>
  <c r="Y50" i="20" s="1"/>
  <c r="U51" i="20"/>
  <c r="T52" i="20"/>
  <c r="T54" i="20"/>
  <c r="X54" i="20"/>
  <c r="Y54" i="20" s="1"/>
  <c r="U55" i="20"/>
  <c r="U57" i="20"/>
  <c r="T58" i="20"/>
  <c r="X58" i="20"/>
  <c r="Y58" i="20" s="1"/>
  <c r="U59" i="20"/>
  <c r="T60" i="20"/>
  <c r="X60" i="20"/>
  <c r="Y60" i="20"/>
  <c r="U61" i="20"/>
  <c r="U6" i="20"/>
  <c r="U8" i="20"/>
  <c r="U10" i="20"/>
  <c r="U12" i="20"/>
  <c r="U14" i="20"/>
  <c r="U16" i="20"/>
  <c r="U18" i="20"/>
  <c r="U20" i="20"/>
  <c r="U22" i="20"/>
  <c r="U28" i="20"/>
  <c r="U30" i="20"/>
  <c r="U32" i="20"/>
  <c r="U34" i="20"/>
  <c r="U36" i="20"/>
  <c r="U38" i="20"/>
  <c r="U44" i="20"/>
  <c r="U48" i="20"/>
  <c r="U50" i="20"/>
  <c r="U52" i="20"/>
  <c r="U54" i="20"/>
  <c r="U58" i="20"/>
  <c r="U60" i="20"/>
  <c r="S4" i="20"/>
  <c r="AD268" i="6"/>
  <c r="U4" i="20"/>
  <c r="AH287" i="12"/>
  <c r="AF233" i="12"/>
  <c r="AH295" i="12"/>
  <c r="AH297" i="12"/>
  <c r="AF239" i="12"/>
  <c r="AF300" i="12"/>
  <c r="AG300" i="12" s="1"/>
  <c r="G300" i="12" s="1"/>
  <c r="AF287" i="12"/>
  <c r="AG287" i="12" s="1"/>
  <c r="G287" i="12"/>
  <c r="AF289" i="12"/>
  <c r="AG289" i="12" s="1"/>
  <c r="G289" i="12" s="1"/>
  <c r="F289" i="12" s="1"/>
  <c r="AF306" i="12"/>
  <c r="AG306" i="12" s="1"/>
  <c r="G306" i="12" s="1"/>
  <c r="AG315" i="12"/>
  <c r="G315" i="12" s="1"/>
  <c r="AF302" i="12"/>
  <c r="AG302" i="12" s="1"/>
  <c r="G302" i="12" s="1"/>
  <c r="AF307" i="12"/>
  <c r="AG307" i="12"/>
  <c r="G307" i="12" s="1"/>
  <c r="W307" i="12" s="1"/>
  <c r="AF227" i="12"/>
  <c r="AG227" i="12" s="1"/>
  <c r="G227" i="12" s="1"/>
  <c r="F227" i="12" s="1"/>
  <c r="AF229" i="12"/>
  <c r="AG229" i="12" s="1"/>
  <c r="G229" i="12" s="1"/>
  <c r="W229" i="12" s="1"/>
  <c r="AF231" i="12"/>
  <c r="AG231" i="12"/>
  <c r="G231" i="12" s="1"/>
  <c r="AF149" i="12"/>
  <c r="AF154" i="12"/>
  <c r="AF156" i="12"/>
  <c r="AG156" i="12" s="1"/>
  <c r="G156" i="12" s="1"/>
  <c r="F156" i="12" s="1"/>
  <c r="AF159" i="12"/>
  <c r="AG159" i="12" s="1"/>
  <c r="G159" i="12" s="1"/>
  <c r="AF161" i="12"/>
  <c r="AG161" i="12" s="1"/>
  <c r="G161" i="12"/>
  <c r="AF164" i="12"/>
  <c r="AG164" i="12" s="1"/>
  <c r="G164" i="12" s="1"/>
  <c r="AF166" i="12"/>
  <c r="AG166" i="12" s="1"/>
  <c r="G166" i="12" s="1"/>
  <c r="AF172" i="12"/>
  <c r="AF181" i="12"/>
  <c r="AG181" i="12" s="1"/>
  <c r="G181" i="12" s="1"/>
  <c r="W181" i="12" s="1"/>
  <c r="AF190" i="12"/>
  <c r="AG190" i="12" s="1"/>
  <c r="G190" i="12" s="1"/>
  <c r="F190" i="12" s="1"/>
  <c r="AF195" i="12"/>
  <c r="AG195" i="12" s="1"/>
  <c r="G195" i="12" s="1"/>
  <c r="AG149" i="12"/>
  <c r="G149" i="12" s="1"/>
  <c r="I149" i="12" s="1"/>
  <c r="AG154" i="12"/>
  <c r="G154" i="12" s="1"/>
  <c r="F154" i="12" s="1"/>
  <c r="AG175" i="12"/>
  <c r="G175" i="12" s="1"/>
  <c r="W175" i="12" s="1"/>
  <c r="AD217" i="12"/>
  <c r="AD206" i="12"/>
  <c r="AF206" i="12"/>
  <c r="AD209" i="12"/>
  <c r="AD211" i="12"/>
  <c r="AD215" i="12"/>
  <c r="AF215" i="12"/>
  <c r="AD202" i="12"/>
  <c r="AD205" i="12"/>
  <c r="AD208" i="12"/>
  <c r="AD210" i="12"/>
  <c r="AD214" i="12"/>
  <c r="AG214" i="12" s="1"/>
  <c r="G214" i="12" s="1"/>
  <c r="AD216" i="12"/>
  <c r="AF223" i="12"/>
  <c r="AF228" i="12"/>
  <c r="AD218" i="12"/>
  <c r="AD219" i="12"/>
  <c r="AG219" i="12" s="1"/>
  <c r="G219" i="12" s="1"/>
  <c r="AD221" i="12"/>
  <c r="AD222" i="12"/>
  <c r="AD223" i="12"/>
  <c r="AD224" i="12"/>
  <c r="AD226" i="12"/>
  <c r="AD227" i="12"/>
  <c r="AD228" i="12"/>
  <c r="AD229" i="12"/>
  <c r="AD233" i="12"/>
  <c r="AD236" i="12"/>
  <c r="AD239" i="12"/>
  <c r="AG239" i="12" s="1"/>
  <c r="G239" i="12" s="1"/>
  <c r="AD242" i="12"/>
  <c r="AD244" i="12"/>
  <c r="AD248" i="12"/>
  <c r="AD250" i="12"/>
  <c r="AD252" i="12"/>
  <c r="AD255" i="12"/>
  <c r="AD257" i="12"/>
  <c r="AD260" i="12"/>
  <c r="AF270" i="12"/>
  <c r="AF276" i="12"/>
  <c r="AG276" i="12" s="1"/>
  <c r="AD261" i="12"/>
  <c r="AD234" i="12"/>
  <c r="AF234" i="12"/>
  <c r="AD237" i="12"/>
  <c r="AF237" i="12"/>
  <c r="AD240" i="12"/>
  <c r="AF240" i="12"/>
  <c r="AG240" i="12" s="1"/>
  <c r="AD243" i="12"/>
  <c r="AD245" i="12"/>
  <c r="AD249" i="12"/>
  <c r="AD251" i="12"/>
  <c r="AD253" i="12"/>
  <c r="AD256" i="12"/>
  <c r="AD258" i="12"/>
  <c r="G276" i="12"/>
  <c r="AF134" i="12"/>
  <c r="AG134" i="12" s="1"/>
  <c r="G134" i="12" s="1"/>
  <c r="F134" i="12" s="1"/>
  <c r="AF139" i="12"/>
  <c r="AG139" i="12" s="1"/>
  <c r="G139" i="12" s="1"/>
  <c r="I139" i="12" s="1"/>
  <c r="AF87" i="12"/>
  <c r="AG87" i="12" s="1"/>
  <c r="G87" i="12" s="1"/>
  <c r="AF92" i="12"/>
  <c r="AG92" i="12" s="1"/>
  <c r="G92" i="12" s="1"/>
  <c r="W92" i="12" s="1"/>
  <c r="AF94" i="12"/>
  <c r="AG94" i="12" s="1"/>
  <c r="G94" i="12" s="1"/>
  <c r="AF103" i="12"/>
  <c r="AG103" i="12" s="1"/>
  <c r="G103" i="12" s="1"/>
  <c r="F103" i="12" s="1"/>
  <c r="G240" i="12"/>
  <c r="F240" i="12" s="1"/>
  <c r="AG234" i="12"/>
  <c r="G234" i="12" s="1"/>
  <c r="W234" i="12" s="1"/>
  <c r="AF317" i="12"/>
  <c r="AG317" i="12" s="1"/>
  <c r="G317" i="12" s="1"/>
  <c r="AF295" i="12"/>
  <c r="AG295" i="12" s="1"/>
  <c r="G295" i="12" s="1"/>
  <c r="AH289" i="12"/>
  <c r="AH292" i="12"/>
  <c r="AH294" i="12"/>
  <c r="AH251" i="12"/>
  <c r="AH253" i="12"/>
  <c r="AH256" i="12"/>
  <c r="AH261" i="12"/>
  <c r="AH263" i="12"/>
  <c r="AH266" i="12"/>
  <c r="AH271" i="12"/>
  <c r="AH274" i="12"/>
  <c r="AH277" i="12"/>
  <c r="AH117" i="12"/>
  <c r="AH91" i="12"/>
  <c r="AH96" i="12"/>
  <c r="AH65" i="12"/>
  <c r="AH8" i="12"/>
  <c r="AH20" i="12"/>
  <c r="AH28" i="12"/>
  <c r="AH34" i="12"/>
  <c r="AM34" i="12" s="1"/>
  <c r="AF292" i="12"/>
  <c r="AG292" i="12" s="1"/>
  <c r="G292" i="12" s="1"/>
  <c r="W292" i="12" s="1"/>
  <c r="AF290" i="12"/>
  <c r="AG290" i="12" s="1"/>
  <c r="G290" i="12" s="1"/>
  <c r="AH323" i="12"/>
  <c r="AG228" i="12"/>
  <c r="G228" i="12" s="1"/>
  <c r="I228" i="12" s="1"/>
  <c r="W228" i="12"/>
  <c r="X228" i="12" s="1"/>
  <c r="AF11" i="12"/>
  <c r="AG11" i="12" s="1"/>
  <c r="G11" i="12" s="1"/>
  <c r="F11" i="12" s="1"/>
  <c r="AM11" i="12" s="1"/>
  <c r="AF13" i="12"/>
  <c r="AG13" i="12" s="1"/>
  <c r="G13" i="12" s="1"/>
  <c r="AF14" i="12"/>
  <c r="AG14" i="12" s="1"/>
  <c r="AF18" i="12"/>
  <c r="AF20" i="12"/>
  <c r="AF23" i="12"/>
  <c r="AF28" i="12"/>
  <c r="AF31" i="12"/>
  <c r="AG31" i="12" s="1"/>
  <c r="G31" i="12" s="1"/>
  <c r="W31" i="12" s="1"/>
  <c r="AF34" i="12"/>
  <c r="AG34" i="12" s="1"/>
  <c r="G34" i="12" s="1"/>
  <c r="W34" i="12" s="1"/>
  <c r="AA34" i="12" s="1"/>
  <c r="AF36" i="12"/>
  <c r="AG36" i="12" s="1"/>
  <c r="G36" i="12" s="1"/>
  <c r="AF40" i="12"/>
  <c r="AF42" i="12"/>
  <c r="AG42" i="12" s="1"/>
  <c r="G42" i="12" s="1"/>
  <c r="AF44" i="12"/>
  <c r="AF49" i="12"/>
  <c r="AG49" i="12" s="1"/>
  <c r="G49" i="12" s="1"/>
  <c r="AF52" i="12"/>
  <c r="AG52" i="12" s="1"/>
  <c r="G52" i="12" s="1"/>
  <c r="AF54" i="12"/>
  <c r="AF57" i="12"/>
  <c r="AG57" i="12" s="1"/>
  <c r="G57" i="12" s="1"/>
  <c r="W57" i="12" s="1"/>
  <c r="AF59" i="12"/>
  <c r="AG59" i="12" s="1"/>
  <c r="G59" i="12" s="1"/>
  <c r="AF62" i="12"/>
  <c r="AG62" i="12" s="1"/>
  <c r="G62" i="12" s="1"/>
  <c r="AF65" i="12"/>
  <c r="AF70" i="12"/>
  <c r="AG70" i="12" s="1"/>
  <c r="AF81" i="12"/>
  <c r="AG81" i="12" s="1"/>
  <c r="G81" i="12" s="1"/>
  <c r="W81" i="12" s="1"/>
  <c r="AF83" i="12"/>
  <c r="AG83" i="12"/>
  <c r="G83" i="12" s="1"/>
  <c r="I83" i="12" s="1"/>
  <c r="AH250" i="12"/>
  <c r="AH260" i="12"/>
  <c r="AH176" i="12"/>
  <c r="AH78" i="12"/>
  <c r="AH338" i="12"/>
  <c r="AH336" i="12"/>
  <c r="AH334" i="12"/>
  <c r="G14" i="12"/>
  <c r="AG18" i="12"/>
  <c r="G18" i="12" s="1"/>
  <c r="W18" i="12" s="1"/>
  <c r="AG20" i="12"/>
  <c r="G20" i="12" s="1"/>
  <c r="I20" i="12" s="1"/>
  <c r="AF7" i="12"/>
  <c r="AG7" i="12" s="1"/>
  <c r="G7" i="12" s="1"/>
  <c r="W7" i="12" s="1"/>
  <c r="AA7" i="12" s="1"/>
  <c r="AG40" i="12"/>
  <c r="G40" i="12" s="1"/>
  <c r="AG44" i="12"/>
  <c r="G44" i="12" s="1"/>
  <c r="W44" i="12" s="1"/>
  <c r="AG65" i="12"/>
  <c r="G65" i="12"/>
  <c r="I65" i="12" s="1"/>
  <c r="G70" i="12"/>
  <c r="AF348" i="12"/>
  <c r="AG348" i="12"/>
  <c r="G348" i="12" s="1"/>
  <c r="AF353" i="12"/>
  <c r="AG353" i="12" s="1"/>
  <c r="G353" i="12" s="1"/>
  <c r="F353" i="12" s="1"/>
  <c r="AH352" i="12"/>
  <c r="AF346" i="12"/>
  <c r="AG346" i="12" s="1"/>
  <c r="G346" i="12" s="1"/>
  <c r="AH341" i="12"/>
  <c r="AH337" i="12"/>
  <c r="AH332" i="12"/>
  <c r="AG215" i="12"/>
  <c r="G215" i="12" s="1"/>
  <c r="F215" i="12" s="1"/>
  <c r="AM215" i="12" s="1"/>
  <c r="AG206" i="12"/>
  <c r="G206" i="12" s="1"/>
  <c r="AF341" i="12"/>
  <c r="AG341" i="12" s="1"/>
  <c r="G341" i="12" s="1"/>
  <c r="AH302" i="12"/>
  <c r="AH305" i="12"/>
  <c r="AH313" i="12"/>
  <c r="AH316" i="12"/>
  <c r="AH273" i="12"/>
  <c r="AH215" i="12"/>
  <c r="AH217" i="12"/>
  <c r="AH219" i="12"/>
  <c r="AH224" i="12"/>
  <c r="AH227" i="12"/>
  <c r="AH229" i="12"/>
  <c r="AH234" i="12"/>
  <c r="AH237" i="12"/>
  <c r="AH240" i="12"/>
  <c r="AH245" i="12"/>
  <c r="AH181" i="12"/>
  <c r="AH183" i="12"/>
  <c r="AH188" i="12"/>
  <c r="AH190" i="12"/>
  <c r="AH193" i="12"/>
  <c r="AH198" i="12"/>
  <c r="AM198" i="12" s="1"/>
  <c r="AH200" i="12"/>
  <c r="AH209" i="12"/>
  <c r="AH211" i="12"/>
  <c r="AH149" i="12"/>
  <c r="AH151" i="12"/>
  <c r="AH154" i="12"/>
  <c r="AH161" i="12"/>
  <c r="AH164" i="12"/>
  <c r="AH169" i="12"/>
  <c r="AH172" i="12"/>
  <c r="AH175" i="12"/>
  <c r="AH111" i="12"/>
  <c r="AH120" i="12"/>
  <c r="AH128" i="12"/>
  <c r="AH131" i="12"/>
  <c r="AH74" i="12"/>
  <c r="AH84" i="12"/>
  <c r="AH105" i="12"/>
  <c r="AH47" i="12"/>
  <c r="AH58" i="12"/>
  <c r="AH7" i="12"/>
  <c r="AH37" i="12"/>
  <c r="AH301" i="12"/>
  <c r="AH312" i="12"/>
  <c r="AH248" i="12"/>
  <c r="AH257" i="12"/>
  <c r="AH278" i="12"/>
  <c r="AH223" i="12"/>
  <c r="AH244" i="12"/>
  <c r="AH180" i="12"/>
  <c r="AH184" i="12"/>
  <c r="AH197" i="12"/>
  <c r="AH150" i="12"/>
  <c r="AH158" i="12"/>
  <c r="AH163" i="12"/>
  <c r="AH171" i="12"/>
  <c r="AH118" i="12"/>
  <c r="AH121" i="12"/>
  <c r="AH130" i="12"/>
  <c r="AH75" i="12"/>
  <c r="AH83" i="12"/>
  <c r="AH92" i="12"/>
  <c r="AH94" i="12"/>
  <c r="AH104" i="12"/>
  <c r="AH48" i="12"/>
  <c r="AH69" i="12"/>
  <c r="AH11" i="12"/>
  <c r="AH21" i="12"/>
  <c r="AH32" i="12"/>
  <c r="AH325" i="12"/>
  <c r="AH324" i="12"/>
  <c r="AH300" i="12"/>
  <c r="F34" i="12"/>
  <c r="AH62" i="21"/>
  <c r="AH64" i="21"/>
  <c r="AH12" i="21"/>
  <c r="AI13" i="21" s="1"/>
  <c r="AH16" i="21"/>
  <c r="AI17" i="21" s="1"/>
  <c r="AH50" i="21"/>
  <c r="AH57" i="21"/>
  <c r="AH61" i="21"/>
  <c r="AH65" i="21"/>
  <c r="AH69" i="21"/>
  <c r="AH35" i="21"/>
  <c r="AI36" i="21" s="1"/>
  <c r="AH41" i="21"/>
  <c r="AH76" i="21"/>
  <c r="AD33" i="21"/>
  <c r="F300" i="12"/>
  <c r="AH87" i="21"/>
  <c r="AH93" i="21"/>
  <c r="AH99" i="21"/>
  <c r="AI100" i="21" s="1"/>
  <c r="AH126" i="21"/>
  <c r="AF129" i="21"/>
  <c r="AD129" i="21"/>
  <c r="AD31" i="21"/>
  <c r="AD126" i="21"/>
  <c r="AD123" i="21"/>
  <c r="AD96" i="21"/>
  <c r="AH56" i="21"/>
  <c r="AH60" i="21"/>
  <c r="AH71" i="21"/>
  <c r="AH72" i="21"/>
  <c r="AH73" i="21"/>
  <c r="AH75" i="21"/>
  <c r="AM75" i="21" s="1"/>
  <c r="AH33" i="21"/>
  <c r="AH49" i="21"/>
  <c r="AH58" i="21"/>
  <c r="AH68" i="21"/>
  <c r="AH70" i="21"/>
  <c r="W139" i="12"/>
  <c r="F139" i="12"/>
  <c r="W134" i="12"/>
  <c r="AH113" i="12"/>
  <c r="AH116" i="12"/>
  <c r="AH123" i="12"/>
  <c r="AH134" i="12"/>
  <c r="AM134" i="12" s="1"/>
  <c r="AH77" i="12"/>
  <c r="AH79" i="12"/>
  <c r="AH87" i="12"/>
  <c r="AH97" i="12"/>
  <c r="AH100" i="12"/>
  <c r="AH41" i="12"/>
  <c r="AH50" i="12"/>
  <c r="AH60" i="12"/>
  <c r="AH71" i="12"/>
  <c r="AH9" i="12"/>
  <c r="AH14" i="12"/>
  <c r="AH24" i="12"/>
  <c r="AH35" i="12"/>
  <c r="AH344" i="12"/>
  <c r="AH347" i="12"/>
  <c r="AH349" i="12"/>
  <c r="AF359" i="12"/>
  <c r="AG359" i="12" s="1"/>
  <c r="G359" i="12" s="1"/>
  <c r="AF361" i="12"/>
  <c r="AG361" i="12" s="1"/>
  <c r="G361" i="12" s="1"/>
  <c r="I361" i="12" s="1"/>
  <c r="AF360" i="12"/>
  <c r="AG360" i="12" s="1"/>
  <c r="G360" i="12" s="1"/>
  <c r="I360" i="12" s="1"/>
  <c r="AH84" i="21"/>
  <c r="AH85" i="21"/>
  <c r="AH88" i="21"/>
  <c r="AI104" i="21"/>
  <c r="AH120" i="21"/>
  <c r="AF90" i="21"/>
  <c r="AG90" i="21" s="1"/>
  <c r="G90" i="21" s="1"/>
  <c r="AI97" i="21"/>
  <c r="AF357" i="12"/>
  <c r="AG357" i="12" s="1"/>
  <c r="G357" i="12" s="1"/>
  <c r="AH357" i="12"/>
  <c r="AH356" i="12"/>
  <c r="AF356" i="12"/>
  <c r="AG356" i="12" s="1"/>
  <c r="G356" i="12" s="1"/>
  <c r="AD356" i="12"/>
  <c r="AH90" i="21"/>
  <c r="E14" i="5"/>
  <c r="M14" i="5" s="1"/>
  <c r="N14" i="5" s="1"/>
  <c r="AD14" i="5"/>
  <c r="AE14" i="5" s="1"/>
  <c r="AU14" i="5" s="1"/>
  <c r="V14" i="5"/>
  <c r="W14" i="5" s="1"/>
  <c r="AI14" i="5"/>
  <c r="AJ14" i="5" s="1"/>
  <c r="AM14" i="5"/>
  <c r="AL14" i="5"/>
  <c r="AO14" i="5"/>
  <c r="AN14" i="5"/>
  <c r="S76" i="20"/>
  <c r="U76" i="20"/>
  <c r="X74" i="20"/>
  <c r="Y74" i="20" s="1"/>
  <c r="T74" i="20"/>
  <c r="U74" i="20"/>
  <c r="AB74" i="20"/>
  <c r="X76" i="20"/>
  <c r="Y76" i="20" s="1"/>
  <c r="T76" i="20"/>
  <c r="AB76" i="20"/>
  <c r="AF48" i="21"/>
  <c r="AG48" i="21" s="1"/>
  <c r="G48" i="21" s="1"/>
  <c r="F48" i="21" s="1"/>
  <c r="AF50" i="21"/>
  <c r="AG50" i="21" s="1"/>
  <c r="G50" i="21" s="1"/>
  <c r="AF57" i="21"/>
  <c r="AF61" i="21"/>
  <c r="AF65" i="21"/>
  <c r="AG65" i="21" s="1"/>
  <c r="G65" i="21" s="1"/>
  <c r="I65" i="21" s="1"/>
  <c r="AF69" i="21"/>
  <c r="AF71" i="21"/>
  <c r="AG71" i="21" s="1"/>
  <c r="G71" i="21" s="1"/>
  <c r="I71" i="21" s="1"/>
  <c r="AF73" i="21"/>
  <c r="AG73" i="21" s="1"/>
  <c r="G73" i="21" s="1"/>
  <c r="AF84" i="21"/>
  <c r="AG84" i="21" s="1"/>
  <c r="G84" i="21" s="1"/>
  <c r="AF86" i="21"/>
  <c r="AF123" i="21"/>
  <c r="AF103" i="21"/>
  <c r="AG103" i="21" s="1"/>
  <c r="G103" i="21" s="1"/>
  <c r="F103" i="21" s="1"/>
  <c r="AG57" i="21"/>
  <c r="G57" i="21" s="1"/>
  <c r="W57" i="21" s="1"/>
  <c r="AG61" i="21"/>
  <c r="G61" i="21"/>
  <c r="I61" i="21" s="1"/>
  <c r="AG69" i="21"/>
  <c r="G69" i="21"/>
  <c r="F69" i="21" s="1"/>
  <c r="AM69" i="21" s="1"/>
  <c r="AF9" i="21"/>
  <c r="AG9" i="21"/>
  <c r="G9" i="21"/>
  <c r="AF38" i="21"/>
  <c r="AG38" i="21" s="1"/>
  <c r="G38" i="21" s="1"/>
  <c r="AF59" i="21"/>
  <c r="AG59" i="21" s="1"/>
  <c r="G59" i="21"/>
  <c r="AF74" i="21"/>
  <c r="AG74" i="21" s="1"/>
  <c r="G74" i="21" s="1"/>
  <c r="W74" i="21" s="1"/>
  <c r="AF87" i="21"/>
  <c r="AG87" i="21"/>
  <c r="G87" i="21" s="1"/>
  <c r="AF22" i="21"/>
  <c r="AG22" i="21" s="1"/>
  <c r="G22" i="21" s="1"/>
  <c r="F22" i="21" s="1"/>
  <c r="AF76" i="21"/>
  <c r="AG76" i="21"/>
  <c r="G76" i="21" s="1"/>
  <c r="AG86" i="21"/>
  <c r="G86" i="21" s="1"/>
  <c r="F86" i="21" s="1"/>
  <c r="AF96" i="21"/>
  <c r="AG99" i="21"/>
  <c r="G99" i="21" s="1"/>
  <c r="AF112" i="21"/>
  <c r="AG112" i="21" s="1"/>
  <c r="G112" i="21"/>
  <c r="W112" i="21" s="1"/>
  <c r="AF93" i="21"/>
  <c r="AG93" i="21" s="1"/>
  <c r="G93" i="21"/>
  <c r="F93" i="21" s="1"/>
  <c r="AF12" i="21"/>
  <c r="AG12" i="21"/>
  <c r="G12" i="21" s="1"/>
  <c r="W12" i="21" s="1"/>
  <c r="X12" i="21" s="1"/>
  <c r="AF25" i="21"/>
  <c r="AG25" i="21" s="1"/>
  <c r="G25" i="21" s="1"/>
  <c r="AF51" i="21"/>
  <c r="AG51" i="21" s="1"/>
  <c r="G51" i="21" s="1"/>
  <c r="AF58" i="21"/>
  <c r="AG58" i="21" s="1"/>
  <c r="G58" i="21" s="1"/>
  <c r="AF62" i="21"/>
  <c r="AG62" i="21"/>
  <c r="G62" i="21" s="1"/>
  <c r="I62" i="21" s="1"/>
  <c r="AF77" i="21"/>
  <c r="AG77" i="21" s="1"/>
  <c r="G77" i="21" s="1"/>
  <c r="AF85" i="21"/>
  <c r="AG85" i="21" s="1"/>
  <c r="G85" i="21"/>
  <c r="F85" i="21" s="1"/>
  <c r="AH106" i="21"/>
  <c r="AI107" i="21" s="1"/>
  <c r="AF47" i="21"/>
  <c r="AG47" i="21" s="1"/>
  <c r="G47" i="21" s="1"/>
  <c r="I47" i="21"/>
  <c r="AF56" i="21"/>
  <c r="AG56" i="21" s="1"/>
  <c r="G56" i="21" s="1"/>
  <c r="AF64" i="21"/>
  <c r="AG64" i="21"/>
  <c r="G64" i="21" s="1"/>
  <c r="F64" i="21" s="1"/>
  <c r="AF68" i="21"/>
  <c r="AG68" i="21" s="1"/>
  <c r="G68" i="21" s="1"/>
  <c r="AF75" i="21"/>
  <c r="AG75" i="21" s="1"/>
  <c r="G75" i="21" s="1"/>
  <c r="W75" i="21" s="1"/>
  <c r="AF88" i="21"/>
  <c r="AG88" i="21" s="1"/>
  <c r="G88" i="21" s="1"/>
  <c r="F90" i="21"/>
  <c r="W86" i="21"/>
  <c r="W28" i="21"/>
  <c r="Y28" i="21" s="1"/>
  <c r="W58" i="21"/>
  <c r="I59" i="21"/>
  <c r="W71" i="21"/>
  <c r="F71" i="21"/>
  <c r="F38" i="21"/>
  <c r="F47" i="21"/>
  <c r="I106" i="21"/>
  <c r="I240" i="12"/>
  <c r="AF297" i="12"/>
  <c r="AG297" i="12" s="1"/>
  <c r="G297" i="12" s="1"/>
  <c r="W297" i="12" s="1"/>
  <c r="AG148" i="12"/>
  <c r="G148" i="12" s="1"/>
  <c r="I148" i="12" s="1"/>
  <c r="AG158" i="12"/>
  <c r="G158" i="12" s="1"/>
  <c r="F158" i="12" s="1"/>
  <c r="AG163" i="12"/>
  <c r="G163" i="12" s="1"/>
  <c r="I163" i="12" s="1"/>
  <c r="AF15" i="12"/>
  <c r="AG15" i="12" s="1"/>
  <c r="G15" i="12" s="1"/>
  <c r="AF19" i="12"/>
  <c r="AG19" i="12" s="1"/>
  <c r="G19" i="12" s="1"/>
  <c r="AF24" i="12"/>
  <c r="AF35" i="12"/>
  <c r="AG35" i="12" s="1"/>
  <c r="G35" i="12" s="1"/>
  <c r="AF41" i="12"/>
  <c r="AG41" i="12" s="1"/>
  <c r="G41" i="12" s="1"/>
  <c r="AF43" i="12"/>
  <c r="AG43" i="12" s="1"/>
  <c r="G43" i="12" s="1"/>
  <c r="AF45" i="12"/>
  <c r="AG45" i="12" s="1"/>
  <c r="G45" i="12" s="1"/>
  <c r="AF48" i="12"/>
  <c r="AG48" i="12" s="1"/>
  <c r="G48" i="12" s="1"/>
  <c r="W48" i="12" s="1"/>
  <c r="AF205" i="12"/>
  <c r="AF210" i="12"/>
  <c r="AG210" i="12" s="1"/>
  <c r="G210" i="12" s="1"/>
  <c r="F210" i="12" s="1"/>
  <c r="AF362" i="12"/>
  <c r="AG362" i="12" s="1"/>
  <c r="G362" i="12"/>
  <c r="AM240" i="12"/>
  <c r="AF6" i="12"/>
  <c r="AG6" i="12" s="1"/>
  <c r="G6" i="12" s="1"/>
  <c r="I6" i="12" s="1"/>
  <c r="AF10" i="12"/>
  <c r="AG10" i="12" s="1"/>
  <c r="G10" i="12"/>
  <c r="G21" i="12"/>
  <c r="G24" i="12"/>
  <c r="W24" i="12" s="1"/>
  <c r="AF184" i="12"/>
  <c r="AG184" i="12" s="1"/>
  <c r="G184" i="12" s="1"/>
  <c r="I184" i="12" s="1"/>
  <c r="AF189" i="12"/>
  <c r="AG189" i="12" s="1"/>
  <c r="G189" i="12" s="1"/>
  <c r="AF312" i="12"/>
  <c r="AG312" i="12" s="1"/>
  <c r="G312" i="12" s="1"/>
  <c r="AG9" i="12"/>
  <c r="G9" i="12" s="1"/>
  <c r="F9" i="12" s="1"/>
  <c r="F328" i="12"/>
  <c r="W328" i="12"/>
  <c r="AA328" i="12" s="1"/>
  <c r="AG182" i="12"/>
  <c r="G182" i="12" s="1"/>
  <c r="W182" i="12" s="1"/>
  <c r="AA182" i="12" s="1"/>
  <c r="AF299" i="12"/>
  <c r="AG299" i="12" s="1"/>
  <c r="G299" i="12" s="1"/>
  <c r="AF367" i="12"/>
  <c r="AG367" i="12" s="1"/>
  <c r="G367" i="12" s="1"/>
  <c r="AF372" i="12"/>
  <c r="AG372" i="12"/>
  <c r="G372" i="12"/>
  <c r="I372" i="12" s="1"/>
  <c r="AF376" i="12"/>
  <c r="AG376" i="12" s="1"/>
  <c r="G376" i="12" s="1"/>
  <c r="AF366" i="12"/>
  <c r="AH366" i="12"/>
  <c r="AF370" i="12"/>
  <c r="AG370" i="12" s="1"/>
  <c r="G370" i="12" s="1"/>
  <c r="AF374" i="12"/>
  <c r="AG374" i="12"/>
  <c r="G374" i="12"/>
  <c r="AH378" i="12"/>
  <c r="AF378" i="12"/>
  <c r="AG378" i="12" s="1"/>
  <c r="G378" i="12" s="1"/>
  <c r="W378" i="12" s="1"/>
  <c r="AF373" i="12"/>
  <c r="AG373" i="12" s="1"/>
  <c r="G373" i="12" s="1"/>
  <c r="W373" i="12" s="1"/>
  <c r="Y373" i="12" s="1"/>
  <c r="AF371" i="12"/>
  <c r="AG371" i="12" s="1"/>
  <c r="G371" i="12" s="1"/>
  <c r="W371" i="12" s="1"/>
  <c r="AF368" i="12"/>
  <c r="AG368" i="12" s="1"/>
  <c r="G368" i="12" s="1"/>
  <c r="AG366" i="12"/>
  <c r="G366" i="12"/>
  <c r="AF365" i="12"/>
  <c r="AG365" i="12" s="1"/>
  <c r="G365" i="12" s="1"/>
  <c r="AH359" i="12"/>
  <c r="I76" i="21"/>
  <c r="W47" i="21"/>
  <c r="F12" i="21"/>
  <c r="I12" i="21"/>
  <c r="I75" i="21"/>
  <c r="F75" i="21"/>
  <c r="AA47" i="21"/>
  <c r="Y58" i="21"/>
  <c r="W9" i="12"/>
  <c r="AA9" i="12" s="1"/>
  <c r="Y328" i="12"/>
  <c r="AM103" i="21"/>
  <c r="Y12" i="21"/>
  <c r="AA12" i="21"/>
  <c r="AA75" i="21"/>
  <c r="AQ12" i="21"/>
  <c r="AO12" i="21"/>
  <c r="AT12" i="21"/>
  <c r="AF443" i="12"/>
  <c r="AG443" i="12"/>
  <c r="G443" i="12"/>
  <c r="F443" i="12" s="1"/>
  <c r="I443" i="12"/>
  <c r="AD438" i="12"/>
  <c r="AF435" i="12"/>
  <c r="AD435" i="12"/>
  <c r="AG435" i="12" s="1"/>
  <c r="G435" i="12" s="1"/>
  <c r="AG436" i="12"/>
  <c r="G436" i="12"/>
  <c r="AF437" i="12"/>
  <c r="AG439" i="12"/>
  <c r="G439" i="12"/>
  <c r="I439" i="12" s="1"/>
  <c r="AF440" i="12"/>
  <c r="AD437" i="12"/>
  <c r="AD440" i="12"/>
  <c r="AG440" i="12"/>
  <c r="G440" i="12" s="1"/>
  <c r="AD442" i="12"/>
  <c r="AG442" i="12" s="1"/>
  <c r="G442" i="12" s="1"/>
  <c r="I158" i="12"/>
  <c r="F148" i="12"/>
  <c r="W148" i="12"/>
  <c r="Y148" i="12" s="1"/>
  <c r="F163" i="12"/>
  <c r="W353" i="12"/>
  <c r="I215" i="12"/>
  <c r="W215" i="12"/>
  <c r="W103" i="12"/>
  <c r="I103" i="12"/>
  <c r="AF271" i="12"/>
  <c r="AG271" i="12" s="1"/>
  <c r="AG84" i="12"/>
  <c r="G84" i="12"/>
  <c r="AG100" i="12"/>
  <c r="G100" i="12" s="1"/>
  <c r="AG265" i="12"/>
  <c r="G265" i="12" s="1"/>
  <c r="W265" i="12" s="1"/>
  <c r="F206" i="12"/>
  <c r="W206" i="12"/>
  <c r="AA206" i="12" s="1"/>
  <c r="I206" i="12"/>
  <c r="I18" i="12"/>
  <c r="AG151" i="12"/>
  <c r="G151" i="12" s="1"/>
  <c r="W151" i="12" s="1"/>
  <c r="G271" i="12"/>
  <c r="G352" i="12"/>
  <c r="I352" i="12" s="1"/>
  <c r="AG335" i="12"/>
  <c r="G335" i="12" s="1"/>
  <c r="W335" i="12" s="1"/>
  <c r="AG71" i="12"/>
  <c r="G71" i="12" s="1"/>
  <c r="W71" i="12" s="1"/>
  <c r="AF219" i="12"/>
  <c r="AF339" i="12"/>
  <c r="AG339" i="12" s="1"/>
  <c r="G339" i="12" s="1"/>
  <c r="AF347" i="12"/>
  <c r="AG347" i="12" s="1"/>
  <c r="G347" i="12" s="1"/>
  <c r="I347" i="12" s="1"/>
  <c r="AF338" i="12"/>
  <c r="AG338" i="12" s="1"/>
  <c r="G338" i="12" s="1"/>
  <c r="AF342" i="12"/>
  <c r="AG342" i="12" s="1"/>
  <c r="G342" i="12" s="1"/>
  <c r="AH362" i="12"/>
  <c r="AH371" i="12"/>
  <c r="AH375" i="12"/>
  <c r="AG253" i="12"/>
  <c r="G253" i="12" s="1"/>
  <c r="I253" i="12" s="1"/>
  <c r="AF53" i="12"/>
  <c r="AG53" i="12"/>
  <c r="G53" i="12" s="1"/>
  <c r="AF55" i="12"/>
  <c r="AG55" i="12"/>
  <c r="G55" i="12"/>
  <c r="AF63" i="12"/>
  <c r="AG63" i="12" s="1"/>
  <c r="G63" i="12" s="1"/>
  <c r="AF66" i="12"/>
  <c r="AG66" i="12"/>
  <c r="G66" i="12" s="1"/>
  <c r="W66" i="12" s="1"/>
  <c r="X66" i="12" s="1"/>
  <c r="AF69" i="12"/>
  <c r="AG69" i="12" s="1"/>
  <c r="G69" i="12" s="1"/>
  <c r="AF160" i="12"/>
  <c r="AG160" i="12" s="1"/>
  <c r="AF176" i="12"/>
  <c r="AG176" i="12" s="1"/>
  <c r="G176" i="12" s="1"/>
  <c r="AF180" i="12"/>
  <c r="AG180" i="12"/>
  <c r="G180" i="12" s="1"/>
  <c r="AF187" i="12"/>
  <c r="AG187" i="12" s="1"/>
  <c r="G187" i="12" s="1"/>
  <c r="AG193" i="12"/>
  <c r="G193" i="12" s="1"/>
  <c r="I193" i="12" s="1"/>
  <c r="AF194" i="12"/>
  <c r="AG194" i="12" s="1"/>
  <c r="G194" i="12" s="1"/>
  <c r="AF267" i="12"/>
  <c r="AG267" i="12" s="1"/>
  <c r="G267" i="12" s="1"/>
  <c r="I267" i="12" s="1"/>
  <c r="AF277" i="12"/>
  <c r="AG277" i="12" s="1"/>
  <c r="G277" i="12"/>
  <c r="AF336" i="12"/>
  <c r="AG336" i="12" s="1"/>
  <c r="G336" i="12" s="1"/>
  <c r="W336" i="12" s="1"/>
  <c r="X336" i="12" s="1"/>
  <c r="AF340" i="12"/>
  <c r="AG340" i="12"/>
  <c r="G340" i="12" s="1"/>
  <c r="AH418" i="12"/>
  <c r="AH420" i="12"/>
  <c r="AH422" i="12"/>
  <c r="AH413" i="12"/>
  <c r="AH415" i="12"/>
  <c r="AF413" i="12"/>
  <c r="AF415" i="12"/>
  <c r="AF412" i="12"/>
  <c r="AG413" i="12"/>
  <c r="AF414" i="12"/>
  <c r="AG414" i="12"/>
  <c r="G414" i="12" s="1"/>
  <c r="W414" i="12" s="1"/>
  <c r="AG415" i="12"/>
  <c r="G415" i="12"/>
  <c r="AF416" i="12"/>
  <c r="AG416" i="12"/>
  <c r="G416" i="12"/>
  <c r="G413" i="12"/>
  <c r="F413" i="12" s="1"/>
  <c r="F367" i="12"/>
  <c r="AM367" i="12" s="1"/>
  <c r="F370" i="12"/>
  <c r="I187" i="12"/>
  <c r="W312" i="12"/>
  <c r="F361" i="12"/>
  <c r="W361" i="12"/>
  <c r="Y361" i="12" s="1"/>
  <c r="I373" i="12"/>
  <c r="I374" i="12"/>
  <c r="W372" i="12"/>
  <c r="I48" i="12"/>
  <c r="W37" i="12"/>
  <c r="X37" i="12" s="1"/>
  <c r="W10" i="12"/>
  <c r="F10" i="12"/>
  <c r="AM10" i="12" s="1"/>
  <c r="I10" i="12"/>
  <c r="F347" i="12"/>
  <c r="AM347" i="12" s="1"/>
  <c r="I74" i="12"/>
  <c r="F74" i="12"/>
  <c r="AM74" i="12" s="1"/>
  <c r="I62" i="12"/>
  <c r="F62" i="12"/>
  <c r="W62" i="12"/>
  <c r="W42" i="12"/>
  <c r="F42" i="12"/>
  <c r="I42" i="12"/>
  <c r="I36" i="12"/>
  <c r="I14" i="12"/>
  <c r="Y228" i="12"/>
  <c r="AA228" i="12"/>
  <c r="I265" i="12"/>
  <c r="F265" i="12"/>
  <c r="F306" i="12"/>
  <c r="I49" i="12"/>
  <c r="F49" i="12"/>
  <c r="W49" i="12"/>
  <c r="AA49" i="12" s="1"/>
  <c r="F44" i="12"/>
  <c r="I44" i="12"/>
  <c r="I81" i="12"/>
  <c r="F81" i="12"/>
  <c r="G127" i="12"/>
  <c r="I127" i="12" s="1"/>
  <c r="AG138" i="12"/>
  <c r="G138" i="12" s="1"/>
  <c r="AG305" i="12"/>
  <c r="G305" i="12" s="1"/>
  <c r="AG344" i="12"/>
  <c r="G344" i="12" s="1"/>
  <c r="F344" i="12" s="1"/>
  <c r="AF86" i="12"/>
  <c r="AG86" i="12" s="1"/>
  <c r="G86" i="12"/>
  <c r="I86" i="12" s="1"/>
  <c r="AG91" i="12"/>
  <c r="G91" i="12" s="1"/>
  <c r="I91" i="12" s="1"/>
  <c r="AF96" i="12"/>
  <c r="AG96" i="12" s="1"/>
  <c r="G96" i="12" s="1"/>
  <c r="AG110" i="12"/>
  <c r="G110" i="12" s="1"/>
  <c r="I110" i="12" s="1"/>
  <c r="G115" i="12"/>
  <c r="F115" i="12" s="1"/>
  <c r="AG120" i="12"/>
  <c r="G120" i="12" s="1"/>
  <c r="F120" i="12" s="1"/>
  <c r="G136" i="12"/>
  <c r="I136" i="12" s="1"/>
  <c r="G146" i="12"/>
  <c r="G160" i="12"/>
  <c r="W160" i="12" s="1"/>
  <c r="AA160" i="12" s="1"/>
  <c r="AG198" i="12"/>
  <c r="G198" i="12"/>
  <c r="F198" i="12" s="1"/>
  <c r="AG343" i="12"/>
  <c r="G343" i="12" s="1"/>
  <c r="F343" i="12" s="1"/>
  <c r="AF379" i="12"/>
  <c r="AG379" i="12"/>
  <c r="G379" i="12" s="1"/>
  <c r="I379" i="12" s="1"/>
  <c r="AH407" i="12"/>
  <c r="AH426" i="12"/>
  <c r="AH428" i="12"/>
  <c r="AF419" i="12"/>
  <c r="AF421" i="12"/>
  <c r="AG421" i="12" s="1"/>
  <c r="G421" i="12" s="1"/>
  <c r="AF418" i="12"/>
  <c r="AG418" i="12"/>
  <c r="G418" i="12"/>
  <c r="F418" i="12" s="1"/>
  <c r="AM418" i="12" s="1"/>
  <c r="AG419" i="12"/>
  <c r="AF420" i="12"/>
  <c r="AF422" i="12"/>
  <c r="AG422" i="12"/>
  <c r="G422" i="12"/>
  <c r="G419" i="12"/>
  <c r="AH425" i="12"/>
  <c r="AH427" i="12"/>
  <c r="AF424" i="12"/>
  <c r="AF426" i="12"/>
  <c r="AF428" i="12"/>
  <c r="AG428" i="12"/>
  <c r="G428" i="12"/>
  <c r="W428" i="12" s="1"/>
  <c r="I428" i="12"/>
  <c r="AF425" i="12"/>
  <c r="AG425" i="12"/>
  <c r="G425" i="12" s="1"/>
  <c r="W425" i="12" s="1"/>
  <c r="AG426" i="12"/>
  <c r="G426" i="12" s="1"/>
  <c r="AF427" i="12"/>
  <c r="AG427" i="12" s="1"/>
  <c r="G427" i="12" s="1"/>
  <c r="AF404" i="12"/>
  <c r="AG404" i="12" s="1"/>
  <c r="G404" i="12" s="1"/>
  <c r="AF406" i="12"/>
  <c r="AG406" i="12" s="1"/>
  <c r="AF408" i="12"/>
  <c r="AG408" i="12" s="1"/>
  <c r="G408" i="12" s="1"/>
  <c r="AF405" i="12"/>
  <c r="G405" i="12"/>
  <c r="W405" i="12" s="1"/>
  <c r="Y405" i="12" s="1"/>
  <c r="AF407" i="12"/>
  <c r="AG407" i="12"/>
  <c r="G407" i="12"/>
  <c r="G406" i="12"/>
  <c r="I406" i="12" s="1"/>
  <c r="G438" i="12"/>
  <c r="I438" i="12" s="1"/>
  <c r="F439" i="12"/>
  <c r="AT439" i="12" s="1"/>
  <c r="W439" i="12"/>
  <c r="Y439" i="12" s="1"/>
  <c r="F436" i="12"/>
  <c r="AQ436" i="12" s="1"/>
  <c r="W436" i="12"/>
  <c r="AA436" i="12" s="1"/>
  <c r="I436" i="12"/>
  <c r="I66" i="12"/>
  <c r="I336" i="12"/>
  <c r="F336" i="12"/>
  <c r="AM336" i="12" s="1"/>
  <c r="W193" i="12"/>
  <c r="AA193" i="12" s="1"/>
  <c r="W253" i="12"/>
  <c r="AA253" i="12" s="1"/>
  <c r="F253" i="12"/>
  <c r="AM253" i="12"/>
  <c r="X215" i="12"/>
  <c r="Y215" i="12"/>
  <c r="AA215" i="12"/>
  <c r="I177" i="12"/>
  <c r="I335" i="12"/>
  <c r="F335" i="12"/>
  <c r="Y206" i="12"/>
  <c r="X206" i="12"/>
  <c r="I100" i="12"/>
  <c r="W79" i="12"/>
  <c r="X148" i="12"/>
  <c r="F415" i="12"/>
  <c r="AM415" i="12"/>
  <c r="W413" i="12"/>
  <c r="AM344" i="12"/>
  <c r="F160" i="12"/>
  <c r="AM160" i="12" s="1"/>
  <c r="W115" i="12"/>
  <c r="F138" i="12"/>
  <c r="AA44" i="12"/>
  <c r="X10" i="12"/>
  <c r="AA373" i="12"/>
  <c r="W198" i="12"/>
  <c r="I198" i="12"/>
  <c r="W120" i="12"/>
  <c r="AA120" i="12" s="1"/>
  <c r="W91" i="12"/>
  <c r="F91" i="12"/>
  <c r="AM91" i="12" s="1"/>
  <c r="Y81" i="12"/>
  <c r="AO306" i="12"/>
  <c r="AT306" i="12"/>
  <c r="X62" i="12"/>
  <c r="X74" i="12"/>
  <c r="AA37" i="12"/>
  <c r="Y37" i="12"/>
  <c r="F425" i="12"/>
  <c r="AM425" i="12" s="1"/>
  <c r="F428" i="12"/>
  <c r="AM428" i="12"/>
  <c r="I405" i="12"/>
  <c r="W406" i="12"/>
  <c r="AA406" i="12" s="1"/>
  <c r="AP436" i="12"/>
  <c r="AT436" i="12"/>
  <c r="AO439" i="12"/>
  <c r="Y436" i="12"/>
  <c r="X436" i="12"/>
  <c r="AA79" i="12"/>
  <c r="AA335" i="12"/>
  <c r="Y336" i="12"/>
  <c r="Y66" i="12"/>
  <c r="Y198" i="12"/>
  <c r="F56" i="26"/>
  <c r="P13" i="5"/>
  <c r="Q13" i="5"/>
  <c r="K13" i="5"/>
  <c r="E13" i="5" s="1"/>
  <c r="F111" i="12"/>
  <c r="AM111" i="12" s="1"/>
  <c r="W111" i="12"/>
  <c r="AA111" i="12" s="1"/>
  <c r="I111" i="12"/>
  <c r="W116" i="12"/>
  <c r="F116" i="12"/>
  <c r="AM116" i="12" s="1"/>
  <c r="I116" i="12"/>
  <c r="F126" i="12"/>
  <c r="I126" i="12"/>
  <c r="W126" i="12"/>
  <c r="X126" i="12" s="1"/>
  <c r="I131" i="12"/>
  <c r="F131" i="12"/>
  <c r="F274" i="12"/>
  <c r="AM274" i="12"/>
  <c r="W274" i="12"/>
  <c r="AA274" i="12" s="1"/>
  <c r="I274" i="12"/>
  <c r="F318" i="12"/>
  <c r="I350" i="12"/>
  <c r="W350" i="12"/>
  <c r="Y350" i="12"/>
  <c r="AQ318" i="12"/>
  <c r="AO318" i="12"/>
  <c r="Y131" i="12"/>
  <c r="Y126" i="12"/>
  <c r="AA126" i="12"/>
  <c r="X111" i="12"/>
  <c r="AE207" i="6" l="1"/>
  <c r="AF207" i="6" s="1"/>
  <c r="AR207" i="6" s="1"/>
  <c r="F207" i="6"/>
  <c r="E208" i="6"/>
  <c r="F208" i="6" s="1"/>
  <c r="X425" i="12"/>
  <c r="AA425" i="12"/>
  <c r="Y425" i="12"/>
  <c r="W440" i="12"/>
  <c r="F440" i="12"/>
  <c r="I440" i="12"/>
  <c r="X378" i="12"/>
  <c r="Y378" i="12"/>
  <c r="F45" i="12"/>
  <c r="I45" i="12"/>
  <c r="W45" i="12"/>
  <c r="F290" i="12"/>
  <c r="W290" i="12"/>
  <c r="Y290" i="12" s="1"/>
  <c r="I290" i="12"/>
  <c r="AF215" i="6"/>
  <c r="AR215" i="6" s="1"/>
  <c r="AJ215" i="6"/>
  <c r="N146" i="6"/>
  <c r="O146" i="6" s="1"/>
  <c r="W146" i="6"/>
  <c r="X146" i="6" s="1"/>
  <c r="AF221" i="6"/>
  <c r="AR221" i="6" s="1"/>
  <c r="AJ221" i="6"/>
  <c r="W29" i="12"/>
  <c r="I29" i="12"/>
  <c r="F29" i="12"/>
  <c r="AM29" i="12" s="1"/>
  <c r="W32" i="12"/>
  <c r="I32" i="12"/>
  <c r="I75" i="12"/>
  <c r="W75" i="12"/>
  <c r="I117" i="12"/>
  <c r="W117" i="12"/>
  <c r="X117" i="12" s="1"/>
  <c r="F236" i="12"/>
  <c r="W236" i="12"/>
  <c r="X236" i="12" s="1"/>
  <c r="I236" i="12"/>
  <c r="F441" i="12"/>
  <c r="I441" i="12"/>
  <c r="W441" i="12"/>
  <c r="F435" i="12"/>
  <c r="AM435" i="12" s="1"/>
  <c r="I435" i="12"/>
  <c r="W435" i="12"/>
  <c r="AM93" i="21"/>
  <c r="AO93" i="21"/>
  <c r="AT93" i="21"/>
  <c r="AQ93" i="21"/>
  <c r="I40" i="12"/>
  <c r="F40" i="12"/>
  <c r="W40" i="12"/>
  <c r="N216" i="6"/>
  <c r="O216" i="6" s="1"/>
  <c r="W216" i="6"/>
  <c r="X216" i="6" s="1"/>
  <c r="N132" i="6"/>
  <c r="O132" i="6" s="1"/>
  <c r="W132" i="6"/>
  <c r="X132" i="6" s="1"/>
  <c r="E142" i="11"/>
  <c r="F142" i="11"/>
  <c r="R142" i="11" s="1"/>
  <c r="S142" i="11" s="1"/>
  <c r="T142" i="11" s="1"/>
  <c r="U142" i="11" s="1"/>
  <c r="I442" i="12"/>
  <c r="W442" i="12"/>
  <c r="F442" i="12"/>
  <c r="X297" i="12"/>
  <c r="AA297" i="12"/>
  <c r="AO22" i="21"/>
  <c r="AT22" i="21"/>
  <c r="W214" i="6"/>
  <c r="X214" i="6" s="1"/>
  <c r="N214" i="6"/>
  <c r="O214" i="6" s="1"/>
  <c r="W141" i="6"/>
  <c r="X141" i="6" s="1"/>
  <c r="N141" i="6"/>
  <c r="O141" i="6" s="1"/>
  <c r="E175" i="11"/>
  <c r="F175" i="11" s="1"/>
  <c r="X428" i="12"/>
  <c r="AA428" i="12"/>
  <c r="Y428" i="12"/>
  <c r="W315" i="12"/>
  <c r="X315" i="12" s="1"/>
  <c r="I315" i="12"/>
  <c r="F315" i="12"/>
  <c r="AF203" i="6"/>
  <c r="AR203" i="6" s="1"/>
  <c r="AJ203" i="6"/>
  <c r="AJ176" i="6"/>
  <c r="AF176" i="6"/>
  <c r="AR176" i="6" s="1"/>
  <c r="V13" i="5"/>
  <c r="W13" i="5" s="1"/>
  <c r="M13" i="5"/>
  <c r="N13" i="5" s="1"/>
  <c r="AA57" i="12"/>
  <c r="Y57" i="12"/>
  <c r="X92" i="12"/>
  <c r="AA92" i="12"/>
  <c r="Y92" i="12"/>
  <c r="I219" i="12"/>
  <c r="F219" i="12"/>
  <c r="AM219" i="12" s="1"/>
  <c r="W227" i="6"/>
  <c r="X227" i="6" s="1"/>
  <c r="N227" i="6"/>
  <c r="O227" i="6" s="1"/>
  <c r="E229" i="6"/>
  <c r="AE229" i="6"/>
  <c r="F229" i="6"/>
  <c r="F408" i="12"/>
  <c r="W408" i="12"/>
  <c r="I408" i="12"/>
  <c r="W357" i="12"/>
  <c r="F357" i="12"/>
  <c r="AM357" i="12" s="1"/>
  <c r="I357" i="12"/>
  <c r="I59" i="12"/>
  <c r="W59" i="12"/>
  <c r="F59" i="12"/>
  <c r="N211" i="6"/>
  <c r="O211" i="6" s="1"/>
  <c r="W211" i="6"/>
  <c r="X211" i="6" s="1"/>
  <c r="F404" i="12"/>
  <c r="I404" i="12"/>
  <c r="W404" i="12"/>
  <c r="AP443" i="12"/>
  <c r="AQ443" i="12"/>
  <c r="AO443" i="12"/>
  <c r="AT443" i="12"/>
  <c r="Y24" i="12"/>
  <c r="X24" i="12"/>
  <c r="Y74" i="21"/>
  <c r="AA74" i="21"/>
  <c r="X74" i="21"/>
  <c r="Y31" i="12"/>
  <c r="X31" i="12"/>
  <c r="AF205" i="6"/>
  <c r="AR205" i="6" s="1"/>
  <c r="AJ205" i="6"/>
  <c r="F426" i="12"/>
  <c r="AM426" i="12" s="1"/>
  <c r="W426" i="12"/>
  <c r="I426" i="12"/>
  <c r="N223" i="6"/>
  <c r="O223" i="6" s="1"/>
  <c r="W223" i="6"/>
  <c r="X223" i="6" s="1"/>
  <c r="I421" i="12"/>
  <c r="W421" i="12"/>
  <c r="F421" i="12"/>
  <c r="F35" i="12"/>
  <c r="AM35" i="12" s="1"/>
  <c r="I35" i="12"/>
  <c r="W35" i="12"/>
  <c r="Y35" i="12" s="1"/>
  <c r="AA414" i="12"/>
  <c r="X414" i="12"/>
  <c r="Y414" i="12"/>
  <c r="F339" i="12"/>
  <c r="I339" i="12"/>
  <c r="W339" i="12"/>
  <c r="X339" i="12" s="1"/>
  <c r="AL223" i="6"/>
  <c r="AK223" i="6"/>
  <c r="N130" i="6"/>
  <c r="O130" i="6" s="1"/>
  <c r="W130" i="6"/>
  <c r="X130" i="6" s="1"/>
  <c r="Y413" i="12"/>
  <c r="AA413" i="12"/>
  <c r="F407" i="12"/>
  <c r="I407" i="12"/>
  <c r="AK250" i="6"/>
  <c r="AL250" i="6"/>
  <c r="E133" i="11"/>
  <c r="F133" i="11"/>
  <c r="R133" i="11" s="1"/>
  <c r="S133" i="11" s="1"/>
  <c r="T133" i="11" s="1"/>
  <c r="U133" i="11" s="1"/>
  <c r="F137" i="11"/>
  <c r="R137" i="11" s="1"/>
  <c r="S137" i="11" s="1"/>
  <c r="T137" i="11" s="1"/>
  <c r="U137" i="11" s="1"/>
  <c r="E137" i="11"/>
  <c r="E122" i="11"/>
  <c r="F122" i="11"/>
  <c r="E73" i="11"/>
  <c r="F73" i="11" s="1"/>
  <c r="W419" i="12"/>
  <c r="F419" i="12"/>
  <c r="I419" i="12"/>
  <c r="Y34" i="12"/>
  <c r="AM328" i="12"/>
  <c r="F356" i="12"/>
  <c r="AM356" i="12" s="1"/>
  <c r="W356" i="12"/>
  <c r="N207" i="6"/>
  <c r="O207" i="6" s="1"/>
  <c r="W207" i="6"/>
  <c r="X207" i="6" s="1"/>
  <c r="AJ36" i="5"/>
  <c r="AO36" i="5" s="1"/>
  <c r="AE66" i="6"/>
  <c r="E66" i="6"/>
  <c r="F66" i="6" s="1"/>
  <c r="E169" i="11"/>
  <c r="F169" i="11"/>
  <c r="AG125" i="12"/>
  <c r="G125" i="12" s="1"/>
  <c r="F125" i="12" s="1"/>
  <c r="AQ439" i="12"/>
  <c r="W407" i="12"/>
  <c r="F422" i="12"/>
  <c r="I422" i="12"/>
  <c r="W83" i="12"/>
  <c r="I159" i="12"/>
  <c r="F159" i="12"/>
  <c r="AM159" i="12" s="1"/>
  <c r="AL191" i="6"/>
  <c r="AK67" i="8"/>
  <c r="AL67" i="8"/>
  <c r="E32" i="11"/>
  <c r="F32" i="11"/>
  <c r="I418" i="12"/>
  <c r="W343" i="12"/>
  <c r="F65" i="12"/>
  <c r="AT103" i="21"/>
  <c r="AQ103" i="21"/>
  <c r="AO103" i="21"/>
  <c r="W153" i="6"/>
  <c r="X153" i="6" s="1"/>
  <c r="AL32" i="6"/>
  <c r="AK43" i="6"/>
  <c r="E238" i="11"/>
  <c r="F238" i="11" s="1"/>
  <c r="F13" i="8"/>
  <c r="AE13" i="8"/>
  <c r="AE62" i="8"/>
  <c r="E62" i="8"/>
  <c r="F62" i="8" s="1"/>
  <c r="E49" i="8"/>
  <c r="F49" i="8" s="1"/>
  <c r="AE49" i="8"/>
  <c r="E23" i="8"/>
  <c r="F23" i="8"/>
  <c r="AE23" i="8"/>
  <c r="AA202" i="12"/>
  <c r="I425" i="12"/>
  <c r="I343" i="12"/>
  <c r="I414" i="12"/>
  <c r="F66" i="12"/>
  <c r="W65" i="12"/>
  <c r="AA65" i="12" s="1"/>
  <c r="I307" i="12"/>
  <c r="F184" i="12"/>
  <c r="F24" i="12"/>
  <c r="AM24" i="12" s="1"/>
  <c r="I9" i="12"/>
  <c r="I103" i="21"/>
  <c r="W367" i="12"/>
  <c r="I367" i="12"/>
  <c r="Y75" i="21"/>
  <c r="X75" i="21"/>
  <c r="AG123" i="21"/>
  <c r="G123" i="21" s="1"/>
  <c r="AL227" i="6"/>
  <c r="AK220" i="6"/>
  <c r="AJ204" i="6"/>
  <c r="E203" i="6"/>
  <c r="AL209" i="6"/>
  <c r="AL147" i="6"/>
  <c r="AL145" i="6"/>
  <c r="N149" i="6"/>
  <c r="O149" i="6" s="1"/>
  <c r="W148" i="6"/>
  <c r="X148" i="6" s="1"/>
  <c r="N145" i="6"/>
  <c r="O145" i="6" s="1"/>
  <c r="AF153" i="6"/>
  <c r="AR153" i="6" s="1"/>
  <c r="AJ153" i="6"/>
  <c r="AL255" i="6"/>
  <c r="AL239" i="6"/>
  <c r="AK105" i="6"/>
  <c r="AL48" i="5"/>
  <c r="AL166" i="6"/>
  <c r="AL267" i="8"/>
  <c r="AK267" i="8"/>
  <c r="V82" i="5"/>
  <c r="W82" i="5" s="1"/>
  <c r="M82" i="5"/>
  <c r="AL194" i="8"/>
  <c r="AK194" i="8"/>
  <c r="W246" i="6"/>
  <c r="X246" i="6" s="1"/>
  <c r="N246" i="6"/>
  <c r="O246" i="6" s="1"/>
  <c r="AK172" i="6"/>
  <c r="AL172" i="6"/>
  <c r="E189" i="11"/>
  <c r="F189" i="11"/>
  <c r="AJ46" i="6"/>
  <c r="AF46" i="6"/>
  <c r="AR46" i="6" s="1"/>
  <c r="N113" i="6"/>
  <c r="O113" i="6" s="1"/>
  <c r="W113" i="6"/>
  <c r="X113" i="6" s="1"/>
  <c r="F251" i="6"/>
  <c r="AE251" i="6"/>
  <c r="AD76" i="5"/>
  <c r="E76" i="5"/>
  <c r="F127" i="12"/>
  <c r="W127" i="12"/>
  <c r="W70" i="12"/>
  <c r="F70" i="12"/>
  <c r="AF137" i="6"/>
  <c r="AR137" i="6" s="1"/>
  <c r="AJ137" i="6"/>
  <c r="N209" i="8"/>
  <c r="O209" i="8" s="1"/>
  <c r="W209" i="8"/>
  <c r="X209" i="8" s="1"/>
  <c r="E242" i="6"/>
  <c r="F242" i="6"/>
  <c r="AE242" i="6"/>
  <c r="E226" i="11"/>
  <c r="F226" i="11" s="1"/>
  <c r="E113" i="11"/>
  <c r="F113" i="11"/>
  <c r="E103" i="11"/>
  <c r="F103" i="11" s="1"/>
  <c r="AM227" i="12"/>
  <c r="AK211" i="6"/>
  <c r="AL211" i="6"/>
  <c r="AL33" i="8"/>
  <c r="F183" i="11"/>
  <c r="E167" i="11"/>
  <c r="F167" i="11" s="1"/>
  <c r="Y406" i="12"/>
  <c r="X182" i="12"/>
  <c r="I366" i="12"/>
  <c r="F366" i="12"/>
  <c r="AM366" i="12" s="1"/>
  <c r="AF219" i="6"/>
  <c r="AR219" i="6" s="1"/>
  <c r="O147" i="11"/>
  <c r="Q147" i="11" s="1"/>
  <c r="AJ71" i="8"/>
  <c r="AF71" i="8"/>
  <c r="AR71" i="8" s="1"/>
  <c r="X413" i="12"/>
  <c r="F83" i="12"/>
  <c r="AM83" i="12" s="1"/>
  <c r="W416" i="12"/>
  <c r="F416" i="12"/>
  <c r="I416" i="12"/>
  <c r="F74" i="21"/>
  <c r="I74" i="21"/>
  <c r="I134" i="12"/>
  <c r="I300" i="12"/>
  <c r="W300" i="12"/>
  <c r="Y300" i="12" s="1"/>
  <c r="AL154" i="6"/>
  <c r="E213" i="6"/>
  <c r="F213" i="6" s="1"/>
  <c r="AE213" i="6"/>
  <c r="AL264" i="6"/>
  <c r="AK264" i="6"/>
  <c r="AL79" i="6"/>
  <c r="E253" i="11"/>
  <c r="F253" i="11" s="1"/>
  <c r="W22" i="21"/>
  <c r="X22" i="21" s="1"/>
  <c r="AA405" i="12"/>
  <c r="F405" i="12"/>
  <c r="W418" i="12"/>
  <c r="W443" i="12"/>
  <c r="I70" i="12"/>
  <c r="F31" i="12"/>
  <c r="AM31" i="12" s="1"/>
  <c r="I182" i="12"/>
  <c r="W366" i="12"/>
  <c r="I24" i="12"/>
  <c r="W159" i="12"/>
  <c r="W103" i="21"/>
  <c r="X103" i="21" s="1"/>
  <c r="F228" i="12"/>
  <c r="AM86" i="21"/>
  <c r="AM65" i="12"/>
  <c r="AG237" i="12"/>
  <c r="G237" i="12" s="1"/>
  <c r="F237" i="12" s="1"/>
  <c r="AM237" i="12" s="1"/>
  <c r="AB4" i="20"/>
  <c r="T4" i="20"/>
  <c r="X4" i="20"/>
  <c r="Y4" i="20" s="1"/>
  <c r="AF223" i="6"/>
  <c r="AR223" i="6" s="1"/>
  <c r="N157" i="6"/>
  <c r="O157" i="6" s="1"/>
  <c r="AJ143" i="6"/>
  <c r="F221" i="6"/>
  <c r="AJ221" i="8"/>
  <c r="R151" i="11"/>
  <c r="S151" i="11" s="1"/>
  <c r="T151" i="11" s="1"/>
  <c r="U151" i="11" s="1"/>
  <c r="N213" i="8"/>
  <c r="O213" i="8" s="1"/>
  <c r="W213" i="8"/>
  <c r="X213" i="8" s="1"/>
  <c r="M30" i="5"/>
  <c r="N30" i="5" s="1"/>
  <c r="V30" i="5"/>
  <c r="W30" i="5" s="1"/>
  <c r="AL259" i="6"/>
  <c r="AK259" i="6"/>
  <c r="E96" i="11"/>
  <c r="F96" i="11"/>
  <c r="K77" i="5"/>
  <c r="AA439" i="12"/>
  <c r="X439" i="12"/>
  <c r="AM370" i="12"/>
  <c r="W277" i="12"/>
  <c r="Y277" i="12" s="1"/>
  <c r="F277" i="12"/>
  <c r="AM277" i="12" s="1"/>
  <c r="W376" i="12"/>
  <c r="I376" i="12"/>
  <c r="E219" i="6"/>
  <c r="F219" i="6"/>
  <c r="N152" i="6"/>
  <c r="O152" i="6" s="1"/>
  <c r="W152" i="6"/>
  <c r="X152" i="6" s="1"/>
  <c r="AK84" i="6"/>
  <c r="AL84" i="6"/>
  <c r="E248" i="6"/>
  <c r="F248" i="6"/>
  <c r="AE248" i="6"/>
  <c r="AJ56" i="5"/>
  <c r="AO56" i="5" s="1"/>
  <c r="AM56" i="5"/>
  <c r="E132" i="11"/>
  <c r="F132" i="11"/>
  <c r="R132" i="11" s="1"/>
  <c r="S132" i="11" s="1"/>
  <c r="T132" i="11" s="1"/>
  <c r="U132" i="11" s="1"/>
  <c r="F43" i="11"/>
  <c r="E43" i="11"/>
  <c r="X406" i="12"/>
  <c r="AM422" i="12"/>
  <c r="X71" i="12"/>
  <c r="AA71" i="12"/>
  <c r="F203" i="6"/>
  <c r="AL206" i="8"/>
  <c r="AK206" i="8"/>
  <c r="H144" i="11"/>
  <c r="I144" i="11" s="1"/>
  <c r="L144" i="11" s="1"/>
  <c r="I76" i="12"/>
  <c r="W76" i="12"/>
  <c r="X76" i="12" s="1"/>
  <c r="AG437" i="12"/>
  <c r="G437" i="12" s="1"/>
  <c r="X34" i="12"/>
  <c r="F62" i="21"/>
  <c r="W62" i="21"/>
  <c r="X81" i="12"/>
  <c r="AA81" i="12"/>
  <c r="AG28" i="12"/>
  <c r="G28" i="12" s="1"/>
  <c r="AL31" i="8"/>
  <c r="AK31" i="8"/>
  <c r="E261" i="6"/>
  <c r="F261" i="6" s="1"/>
  <c r="AE261" i="6"/>
  <c r="Y116" i="12"/>
  <c r="X116" i="12"/>
  <c r="Y91" i="12"/>
  <c r="X91" i="12"/>
  <c r="W184" i="12"/>
  <c r="Y184" i="12" s="1"/>
  <c r="I22" i="21"/>
  <c r="AA91" i="12"/>
  <c r="I413" i="12"/>
  <c r="F76" i="12"/>
  <c r="I31" i="12"/>
  <c r="F182" i="12"/>
  <c r="I415" i="12"/>
  <c r="W415" i="12"/>
  <c r="I7" i="12"/>
  <c r="I34" i="12"/>
  <c r="AM158" i="12"/>
  <c r="AM64" i="21"/>
  <c r="AM184" i="12"/>
  <c r="AM131" i="12"/>
  <c r="Y44" i="12"/>
  <c r="X44" i="12"/>
  <c r="F317" i="12"/>
  <c r="I317" i="12"/>
  <c r="W317" i="12"/>
  <c r="AG223" i="12"/>
  <c r="G223" i="12" s="1"/>
  <c r="I223" i="12" s="1"/>
  <c r="AL222" i="6"/>
  <c r="AE208" i="6"/>
  <c r="E205" i="6"/>
  <c r="F205" i="6" s="1"/>
  <c r="F222" i="6"/>
  <c r="AK149" i="6"/>
  <c r="AL138" i="6"/>
  <c r="AJ142" i="6"/>
  <c r="AF147" i="6"/>
  <c r="AR147" i="6" s="1"/>
  <c r="AF140" i="6"/>
  <c r="AR140" i="6" s="1"/>
  <c r="AJ140" i="6"/>
  <c r="AL268" i="6"/>
  <c r="AK268" i="6"/>
  <c r="AM30" i="5"/>
  <c r="AJ30" i="5"/>
  <c r="AO30" i="5" s="1"/>
  <c r="AK131" i="8"/>
  <c r="AL13" i="6"/>
  <c r="N219" i="8"/>
  <c r="O219" i="8" s="1"/>
  <c r="W219" i="8"/>
  <c r="X219" i="8" s="1"/>
  <c r="AL147" i="8"/>
  <c r="AK147" i="8"/>
  <c r="E83" i="11"/>
  <c r="F83" i="11"/>
  <c r="E245" i="11"/>
  <c r="F245" i="11" s="1"/>
  <c r="E249" i="11"/>
  <c r="F249" i="11" s="1"/>
  <c r="E153" i="11"/>
  <c r="F153" i="11"/>
  <c r="R153" i="11" s="1"/>
  <c r="S153" i="11" s="1"/>
  <c r="T153" i="11" s="1"/>
  <c r="U153" i="11" s="1"/>
  <c r="W35" i="6"/>
  <c r="X35" i="6" s="1"/>
  <c r="N35" i="6"/>
  <c r="O35" i="6" s="1"/>
  <c r="AN51" i="5"/>
  <c r="AL51" i="5"/>
  <c r="E50" i="5"/>
  <c r="M50" i="5" s="1"/>
  <c r="N50" i="5" s="1"/>
  <c r="AD50" i="5"/>
  <c r="Z230" i="8"/>
  <c r="AA230" i="8" s="1"/>
  <c r="Q230" i="8"/>
  <c r="R230" i="8" s="1"/>
  <c r="L230" i="8"/>
  <c r="AM413" i="12"/>
  <c r="AK219" i="6"/>
  <c r="AL219" i="6"/>
  <c r="E168" i="11"/>
  <c r="F168" i="11" s="1"/>
  <c r="P52" i="5"/>
  <c r="Q52" i="5" s="1"/>
  <c r="K52" i="5"/>
  <c r="E110" i="11"/>
  <c r="F110" i="11" s="1"/>
  <c r="E81" i="11"/>
  <c r="F81" i="11" s="1"/>
  <c r="W438" i="12"/>
  <c r="Y182" i="12"/>
  <c r="F206" i="6"/>
  <c r="AE206" i="6"/>
  <c r="E12" i="11"/>
  <c r="F12" i="11" s="1"/>
  <c r="E35" i="8"/>
  <c r="F35" i="8"/>
  <c r="N35" i="8" s="1"/>
  <c r="O35" i="8" s="1"/>
  <c r="AE35" i="8"/>
  <c r="E176" i="6"/>
  <c r="F176" i="6" s="1"/>
  <c r="E256" i="11"/>
  <c r="F256" i="11"/>
  <c r="E173" i="11"/>
  <c r="F173" i="11" s="1"/>
  <c r="E108" i="11"/>
  <c r="F108" i="11"/>
  <c r="AA148" i="12"/>
  <c r="W427" i="12"/>
  <c r="F427" i="12"/>
  <c r="AM427" i="12" s="1"/>
  <c r="I427" i="12"/>
  <c r="F55" i="12"/>
  <c r="I55" i="12"/>
  <c r="V36" i="5"/>
  <c r="W36" i="5" s="1"/>
  <c r="E61" i="6"/>
  <c r="F61" i="6" s="1"/>
  <c r="AE61" i="6"/>
  <c r="E266" i="6"/>
  <c r="F266" i="6"/>
  <c r="AE266" i="6"/>
  <c r="AP439" i="12"/>
  <c r="AK216" i="6"/>
  <c r="AJ130" i="6"/>
  <c r="AE228" i="6"/>
  <c r="E228" i="6"/>
  <c r="F228" i="6" s="1"/>
  <c r="AF250" i="6"/>
  <c r="AR250" i="6" s="1"/>
  <c r="W71" i="8"/>
  <c r="X71" i="8" s="1"/>
  <c r="N71" i="8"/>
  <c r="O71" i="8" s="1"/>
  <c r="E188" i="11"/>
  <c r="F188" i="11"/>
  <c r="F219" i="11"/>
  <c r="E219" i="11"/>
  <c r="W102" i="6"/>
  <c r="X102" i="6" s="1"/>
  <c r="N102" i="6"/>
  <c r="O102" i="6" s="1"/>
  <c r="AF38" i="8"/>
  <c r="AR38" i="8" s="1"/>
  <c r="AJ38" i="8"/>
  <c r="W113" i="8"/>
  <c r="X113" i="8" s="1"/>
  <c r="N113" i="8"/>
  <c r="O113" i="8" s="1"/>
  <c r="E51" i="5"/>
  <c r="V51" i="5" s="1"/>
  <c r="W51" i="5" s="1"/>
  <c r="AD51" i="5"/>
  <c r="AE30" i="8"/>
  <c r="E30" i="8"/>
  <c r="F30" i="8" s="1"/>
  <c r="AD13" i="5"/>
  <c r="X405" i="12"/>
  <c r="W422" i="12"/>
  <c r="F414" i="12"/>
  <c r="AM414" i="12" s="1"/>
  <c r="X193" i="12"/>
  <c r="Y193" i="12"/>
  <c r="AA116" i="12"/>
  <c r="F406" i="12"/>
  <c r="I277" i="12"/>
  <c r="AO436" i="12"/>
  <c r="AM436" i="12"/>
  <c r="F438" i="12"/>
  <c r="AM407" i="12"/>
  <c r="AA62" i="12"/>
  <c r="Y62" i="12"/>
  <c r="I210" i="12"/>
  <c r="Y151" i="12"/>
  <c r="AA151" i="12"/>
  <c r="AM9" i="12"/>
  <c r="AM62" i="21"/>
  <c r="AM154" i="12"/>
  <c r="W14" i="12"/>
  <c r="F14" i="12"/>
  <c r="AM14" i="12" s="1"/>
  <c r="W36" i="12"/>
  <c r="F36" i="12"/>
  <c r="I306" i="12"/>
  <c r="W306" i="12"/>
  <c r="AA306" i="12" s="1"/>
  <c r="AG233" i="12"/>
  <c r="G233" i="12" s="1"/>
  <c r="E222" i="6"/>
  <c r="E215" i="6"/>
  <c r="F215" i="6"/>
  <c r="E226" i="6"/>
  <c r="F226" i="6" s="1"/>
  <c r="AE226" i="6"/>
  <c r="W225" i="6"/>
  <c r="X225" i="6" s="1"/>
  <c r="F142" i="6"/>
  <c r="AK240" i="8"/>
  <c r="AK111" i="6"/>
  <c r="N174" i="6"/>
  <c r="O174" i="6" s="1"/>
  <c r="AJ229" i="8"/>
  <c r="AF229" i="8"/>
  <c r="AR229" i="8" s="1"/>
  <c r="AJ180" i="8"/>
  <c r="E183" i="11"/>
  <c r="F212" i="11"/>
  <c r="E212" i="11"/>
  <c r="E241" i="11"/>
  <c r="F241" i="11" s="1"/>
  <c r="R154" i="11"/>
  <c r="S154" i="11" s="1"/>
  <c r="T154" i="11" s="1"/>
  <c r="U154" i="11" s="1"/>
  <c r="M154" i="11"/>
  <c r="AF36" i="6"/>
  <c r="AR36" i="6" s="1"/>
  <c r="AJ36" i="6"/>
  <c r="N76" i="6"/>
  <c r="O76" i="6" s="1"/>
  <c r="W76" i="6"/>
  <c r="X76" i="6" s="1"/>
  <c r="E247" i="6"/>
  <c r="F247" i="6"/>
  <c r="AE247" i="6"/>
  <c r="AL251" i="8"/>
  <c r="AK251" i="8"/>
  <c r="AF223" i="8"/>
  <c r="AR223" i="8" s="1"/>
  <c r="AJ223" i="8"/>
  <c r="AL217" i="8"/>
  <c r="AK217" i="8"/>
  <c r="E180" i="11"/>
  <c r="F180" i="11"/>
  <c r="E185" i="11"/>
  <c r="F185" i="11"/>
  <c r="L230" i="6"/>
  <c r="AL243" i="6"/>
  <c r="AK243" i="6"/>
  <c r="AF44" i="8"/>
  <c r="AR44" i="8" s="1"/>
  <c r="AJ44" i="8"/>
  <c r="W51" i="8"/>
  <c r="X51" i="8" s="1"/>
  <c r="N51" i="8"/>
  <c r="O51" i="8" s="1"/>
  <c r="K79" i="5"/>
  <c r="AL240" i="6"/>
  <c r="AK240" i="6"/>
  <c r="N227" i="8"/>
  <c r="O227" i="8" s="1"/>
  <c r="W227" i="8"/>
  <c r="X227" i="8" s="1"/>
  <c r="N215" i="8"/>
  <c r="O215" i="8" s="1"/>
  <c r="W215" i="8"/>
  <c r="X215" i="8" s="1"/>
  <c r="AL155" i="8"/>
  <c r="AK155" i="8"/>
  <c r="AL118" i="8"/>
  <c r="AK118" i="8"/>
  <c r="AF59" i="6"/>
  <c r="AR59" i="6" s="1"/>
  <c r="AJ59" i="6"/>
  <c r="E149" i="11"/>
  <c r="F149" i="11" s="1"/>
  <c r="R149" i="11" s="1"/>
  <c r="S149" i="11" s="1"/>
  <c r="T149" i="11" s="1"/>
  <c r="U149" i="11" s="1"/>
  <c r="F191" i="11"/>
  <c r="E213" i="11"/>
  <c r="F213" i="11" s="1"/>
  <c r="E228" i="11"/>
  <c r="F228" i="11"/>
  <c r="F250" i="11"/>
  <c r="W47" i="6"/>
  <c r="X47" i="6" s="1"/>
  <c r="N47" i="6"/>
  <c r="O47" i="6" s="1"/>
  <c r="W50" i="6"/>
  <c r="X50" i="6" s="1"/>
  <c r="N50" i="6"/>
  <c r="O50" i="6" s="1"/>
  <c r="E257" i="6"/>
  <c r="F257" i="6" s="1"/>
  <c r="E262" i="6"/>
  <c r="F262" i="6"/>
  <c r="AE262" i="6"/>
  <c r="AE249" i="8"/>
  <c r="E249" i="8"/>
  <c r="F249" i="8"/>
  <c r="AE246" i="8"/>
  <c r="E246" i="8"/>
  <c r="F246" i="8"/>
  <c r="E157" i="8"/>
  <c r="F157" i="8" s="1"/>
  <c r="AE157" i="8"/>
  <c r="AJ33" i="5"/>
  <c r="AO33" i="5" s="1"/>
  <c r="AM33" i="5"/>
  <c r="F131" i="11"/>
  <c r="R131" i="11" s="1"/>
  <c r="S131" i="11" s="1"/>
  <c r="T131" i="11" s="1"/>
  <c r="U131" i="11" s="1"/>
  <c r="E131" i="11"/>
  <c r="M136" i="11"/>
  <c r="R136" i="11"/>
  <c r="S136" i="11" s="1"/>
  <c r="T136" i="11" s="1"/>
  <c r="U136" i="11" s="1"/>
  <c r="E192" i="11"/>
  <c r="F192" i="11" s="1"/>
  <c r="E242" i="11"/>
  <c r="F242" i="11" s="1"/>
  <c r="E246" i="11"/>
  <c r="F246" i="11" s="1"/>
  <c r="E251" i="11"/>
  <c r="F251" i="11" s="1"/>
  <c r="W46" i="8"/>
  <c r="X46" i="8" s="1"/>
  <c r="N46" i="8"/>
  <c r="O46" i="8" s="1"/>
  <c r="E258" i="6"/>
  <c r="F258" i="6"/>
  <c r="AE258" i="6"/>
  <c r="E142" i="8"/>
  <c r="F142" i="8"/>
  <c r="AE142" i="8"/>
  <c r="F138" i="8"/>
  <c r="AE138" i="8"/>
  <c r="E138" i="8"/>
  <c r="AK63" i="8"/>
  <c r="AL63" i="8"/>
  <c r="AL81" i="8"/>
  <c r="AK81" i="8"/>
  <c r="E250" i="11"/>
  <c r="W50" i="8"/>
  <c r="X50" i="8" s="1"/>
  <c r="N50" i="8"/>
  <c r="O50" i="8" s="1"/>
  <c r="AE241" i="6"/>
  <c r="E241" i="6"/>
  <c r="F241" i="6" s="1"/>
  <c r="E63" i="8"/>
  <c r="F63" i="8"/>
  <c r="N266" i="8"/>
  <c r="O266" i="8" s="1"/>
  <c r="E259" i="8"/>
  <c r="F259" i="8" s="1"/>
  <c r="AE259" i="8"/>
  <c r="AF31" i="6"/>
  <c r="AR31" i="6" s="1"/>
  <c r="AJ31" i="6"/>
  <c r="N32" i="8"/>
  <c r="O32" i="8" s="1"/>
  <c r="W32" i="8"/>
  <c r="X32" i="8" s="1"/>
  <c r="AE252" i="6"/>
  <c r="F252" i="6"/>
  <c r="AJ258" i="8"/>
  <c r="AF258" i="8"/>
  <c r="AR258" i="8" s="1"/>
  <c r="AI61" i="5"/>
  <c r="AE61" i="5"/>
  <c r="AU61" i="5" s="1"/>
  <c r="AN83" i="5"/>
  <c r="AL83" i="5"/>
  <c r="AD53" i="5"/>
  <c r="E53" i="5"/>
  <c r="V53" i="5" s="1"/>
  <c r="W53" i="5" s="1"/>
  <c r="K47" i="5"/>
  <c r="Y47" i="5"/>
  <c r="Z47" i="5" s="1"/>
  <c r="V37" i="5"/>
  <c r="W37" i="5" s="1"/>
  <c r="L48" i="8"/>
  <c r="E263" i="11"/>
  <c r="F263" i="11" s="1"/>
  <c r="M156" i="11"/>
  <c r="X37" i="20"/>
  <c r="Y33" i="20"/>
  <c r="AG54" i="12"/>
  <c r="G54" i="12" s="1"/>
  <c r="Y74" i="12"/>
  <c r="AA74" i="12"/>
  <c r="AM188" i="12"/>
  <c r="AG424" i="12"/>
  <c r="G424" i="12" s="1"/>
  <c r="AM419" i="12"/>
  <c r="AG420" i="12"/>
  <c r="G420" i="12" s="1"/>
  <c r="AG412" i="12"/>
  <c r="G412" i="12" s="1"/>
  <c r="AK179" i="6"/>
  <c r="AL179" i="6"/>
  <c r="E139" i="11"/>
  <c r="F139" i="11"/>
  <c r="R139" i="11" s="1"/>
  <c r="S139" i="11" s="1"/>
  <c r="T139" i="11" s="1"/>
  <c r="U139" i="11" s="1"/>
  <c r="F186" i="11"/>
  <c r="E216" i="11"/>
  <c r="F216" i="11"/>
  <c r="W155" i="11"/>
  <c r="X155" i="11" s="1"/>
  <c r="M155" i="11"/>
  <c r="N188" i="6"/>
  <c r="O188" i="6" s="1"/>
  <c r="E238" i="6"/>
  <c r="F238" i="6" s="1"/>
  <c r="AE238" i="6"/>
  <c r="N85" i="6"/>
  <c r="O85" i="6" s="1"/>
  <c r="W85" i="6"/>
  <c r="X85" i="6" s="1"/>
  <c r="W116" i="6"/>
  <c r="X116" i="6" s="1"/>
  <c r="N116" i="6"/>
  <c r="O116" i="6" s="1"/>
  <c r="W31" i="8"/>
  <c r="X31" i="8" s="1"/>
  <c r="N31" i="8"/>
  <c r="O31" i="8" s="1"/>
  <c r="AJ266" i="8"/>
  <c r="AF266" i="8"/>
  <c r="AR266" i="8" s="1"/>
  <c r="E211" i="8"/>
  <c r="F211" i="8" s="1"/>
  <c r="AE211" i="8"/>
  <c r="Q139" i="8"/>
  <c r="R139" i="8" s="1"/>
  <c r="Z139" i="8"/>
  <c r="AA139" i="8" s="1"/>
  <c r="F202" i="11"/>
  <c r="E157" i="11"/>
  <c r="F157" i="11"/>
  <c r="R157" i="11" s="1"/>
  <c r="S157" i="11" s="1"/>
  <c r="T157" i="11" s="1"/>
  <c r="U157" i="11" s="1"/>
  <c r="N169" i="6"/>
  <c r="O169" i="6" s="1"/>
  <c r="W169" i="6"/>
  <c r="X169" i="6" s="1"/>
  <c r="W177" i="6"/>
  <c r="X177" i="6" s="1"/>
  <c r="N177" i="6"/>
  <c r="O177" i="6" s="1"/>
  <c r="AF185" i="6"/>
  <c r="AR185" i="6" s="1"/>
  <c r="AJ185" i="6"/>
  <c r="AF116" i="8"/>
  <c r="AR116" i="8" s="1"/>
  <c r="AJ116" i="8"/>
  <c r="AL77" i="5"/>
  <c r="AN77" i="5"/>
  <c r="P73" i="5"/>
  <c r="Q73" i="5" s="1"/>
  <c r="E62" i="5"/>
  <c r="AD62" i="5"/>
  <c r="E57" i="5"/>
  <c r="M57" i="5" s="1"/>
  <c r="N57" i="5" s="1"/>
  <c r="AD57" i="5"/>
  <c r="P26" i="5"/>
  <c r="Q26" i="5" s="1"/>
  <c r="K26" i="5"/>
  <c r="E181" i="8"/>
  <c r="AE181" i="8"/>
  <c r="F181" i="8"/>
  <c r="E167" i="8"/>
  <c r="F167" i="8" s="1"/>
  <c r="AE167" i="8"/>
  <c r="N59" i="6"/>
  <c r="O59" i="6" s="1"/>
  <c r="W59" i="6"/>
  <c r="X59" i="6" s="1"/>
  <c r="F225" i="11"/>
  <c r="F26" i="11"/>
  <c r="E71" i="11"/>
  <c r="F71" i="11" s="1"/>
  <c r="F106" i="11"/>
  <c r="E217" i="11"/>
  <c r="F217" i="11"/>
  <c r="W23" i="6"/>
  <c r="X23" i="6" s="1"/>
  <c r="N23" i="6"/>
  <c r="O23" i="6" s="1"/>
  <c r="AF72" i="6"/>
  <c r="AR72" i="6" s="1"/>
  <c r="AJ72" i="6"/>
  <c r="N188" i="8"/>
  <c r="O188" i="8" s="1"/>
  <c r="W188" i="8"/>
  <c r="X188" i="8" s="1"/>
  <c r="F217" i="8"/>
  <c r="M73" i="5"/>
  <c r="Y34" i="5"/>
  <c r="Z34" i="5" s="1"/>
  <c r="K34" i="5"/>
  <c r="AE262" i="8"/>
  <c r="E262" i="8"/>
  <c r="F262" i="8"/>
  <c r="E189" i="8"/>
  <c r="F189" i="8"/>
  <c r="N189" i="8" s="1"/>
  <c r="O189" i="8" s="1"/>
  <c r="AE189" i="8"/>
  <c r="E97" i="6"/>
  <c r="F97" i="6" s="1"/>
  <c r="E95" i="6"/>
  <c r="F95" i="6" s="1"/>
  <c r="AE95" i="6"/>
  <c r="AE86" i="6"/>
  <c r="E86" i="6"/>
  <c r="F86" i="6"/>
  <c r="H171" i="11"/>
  <c r="I171" i="11" s="1"/>
  <c r="L171" i="11" s="1"/>
  <c r="F5" i="15"/>
  <c r="AD72" i="6"/>
  <c r="AD143" i="6"/>
  <c r="AD252" i="6"/>
  <c r="AD144" i="6"/>
  <c r="AA178" i="8"/>
  <c r="AD107" i="6"/>
  <c r="AA142" i="8"/>
  <c r="AD181" i="8"/>
  <c r="AD180" i="6"/>
  <c r="Z36" i="5"/>
  <c r="AD69" i="6"/>
  <c r="AD70" i="6"/>
  <c r="AD106" i="6"/>
  <c r="AD139" i="6"/>
  <c r="AD248" i="6"/>
  <c r="AD71" i="8"/>
  <c r="AD214" i="6"/>
  <c r="AD35" i="8"/>
  <c r="AD211" i="6"/>
  <c r="AA30" i="8"/>
  <c r="AD68" i="8"/>
  <c r="AA212" i="8"/>
  <c r="AD250" i="8"/>
  <c r="AA105" i="8"/>
  <c r="AD143" i="8"/>
  <c r="AD142" i="8"/>
  <c r="AA210" i="8"/>
  <c r="AD141" i="6"/>
  <c r="Z31" i="5"/>
  <c r="AD215" i="8"/>
  <c r="AA247" i="8"/>
  <c r="AD249" i="8"/>
  <c r="AD34" i="6"/>
  <c r="Z32" i="5"/>
  <c r="AD59" i="6"/>
  <c r="AA62" i="6"/>
  <c r="AD96" i="6"/>
  <c r="AD97" i="6"/>
  <c r="AD98" i="6"/>
  <c r="AD102" i="6"/>
  <c r="AA138" i="6"/>
  <c r="AA60" i="6"/>
  <c r="AD135" i="6"/>
  <c r="AA171" i="6"/>
  <c r="AD208" i="6"/>
  <c r="AD62" i="6"/>
  <c r="AD131" i="6"/>
  <c r="AD203" i="6"/>
  <c r="AA242" i="6"/>
  <c r="AD26" i="8"/>
  <c r="AD62" i="8"/>
  <c r="AD101" i="8"/>
  <c r="AD24" i="6"/>
  <c r="AA133" i="6"/>
  <c r="AD14" i="8"/>
  <c r="AD132" i="8"/>
  <c r="AD205" i="8"/>
  <c r="AD211" i="8"/>
  <c r="AC27" i="5"/>
  <c r="AD172" i="8"/>
  <c r="AD209" i="8"/>
  <c r="AD240" i="8"/>
  <c r="AD243" i="8"/>
  <c r="AD246" i="8"/>
  <c r="AC24" i="5"/>
  <c r="AA207" i="8"/>
  <c r="AD60" i="8"/>
  <c r="AD242" i="8"/>
  <c r="AA99" i="8"/>
  <c r="AD206" i="8"/>
  <c r="AA170" i="8"/>
  <c r="AA133" i="8"/>
  <c r="X43" i="8"/>
  <c r="AD23" i="8"/>
  <c r="Z23" i="5"/>
  <c r="AA130" i="6"/>
  <c r="AC23" i="5"/>
  <c r="AG244" i="12"/>
  <c r="G244" i="12" s="1"/>
  <c r="AE99" i="6"/>
  <c r="E99" i="6"/>
  <c r="F99" i="6"/>
  <c r="AM12" i="21"/>
  <c r="AG96" i="21"/>
  <c r="G96" i="21" s="1"/>
  <c r="AM78" i="12"/>
  <c r="AG261" i="12"/>
  <c r="G261" i="12" s="1"/>
  <c r="F261" i="12" s="1"/>
  <c r="AM261" i="12" s="1"/>
  <c r="X52" i="20"/>
  <c r="Y52" i="20" s="1"/>
  <c r="AI31" i="5"/>
  <c r="N76" i="8"/>
  <c r="O76" i="8" s="1"/>
  <c r="X62" i="6"/>
  <c r="X40" i="8"/>
  <c r="X42" i="6"/>
  <c r="X26" i="6"/>
  <c r="F135" i="11"/>
  <c r="R135" i="11" s="1"/>
  <c r="S135" i="11" s="1"/>
  <c r="T135" i="11" s="1"/>
  <c r="U135" i="11" s="1"/>
  <c r="E177" i="11"/>
  <c r="F177" i="11"/>
  <c r="E208" i="11"/>
  <c r="F208" i="11" s="1"/>
  <c r="E247" i="11"/>
  <c r="F247" i="11"/>
  <c r="X73" i="6"/>
  <c r="N180" i="6"/>
  <c r="O180" i="6" s="1"/>
  <c r="E263" i="6"/>
  <c r="F263" i="6"/>
  <c r="F96" i="8"/>
  <c r="AA98" i="8"/>
  <c r="W179" i="6"/>
  <c r="X179" i="6" s="1"/>
  <c r="N179" i="6"/>
  <c r="O179" i="6" s="1"/>
  <c r="AN82" i="5"/>
  <c r="AL82" i="5"/>
  <c r="AN81" i="5"/>
  <c r="AL81" i="5"/>
  <c r="AC79" i="5"/>
  <c r="K78" i="5"/>
  <c r="J77" i="5"/>
  <c r="Y77" i="5" s="1"/>
  <c r="Z77" i="5" s="1"/>
  <c r="AB77" i="5"/>
  <c r="AC77" i="5" s="1"/>
  <c r="AD59" i="5"/>
  <c r="E59" i="5"/>
  <c r="AC33" i="5"/>
  <c r="AD27" i="5"/>
  <c r="E27" i="5"/>
  <c r="AD23" i="5"/>
  <c r="E23" i="5"/>
  <c r="M23" i="5" s="1"/>
  <c r="N23" i="5" s="1"/>
  <c r="AC14" i="5"/>
  <c r="AE247" i="8"/>
  <c r="E247" i="8"/>
  <c r="F247" i="8" s="1"/>
  <c r="AA243" i="8"/>
  <c r="E243" i="8"/>
  <c r="F243" i="8" s="1"/>
  <c r="AE218" i="8"/>
  <c r="F218" i="8"/>
  <c r="AD213" i="8"/>
  <c r="AD176" i="8"/>
  <c r="L172" i="8"/>
  <c r="AA171" i="8"/>
  <c r="R158" i="11"/>
  <c r="S158" i="11" s="1"/>
  <c r="T158" i="11" s="1"/>
  <c r="U158" i="11" s="1"/>
  <c r="M158" i="11"/>
  <c r="AE97" i="6"/>
  <c r="N110" i="6"/>
  <c r="O110" i="6" s="1"/>
  <c r="W110" i="6"/>
  <c r="X110" i="6" s="1"/>
  <c r="AE244" i="6"/>
  <c r="E244" i="6"/>
  <c r="Y79" i="5"/>
  <c r="Z79" i="5" s="1"/>
  <c r="V57" i="5"/>
  <c r="W57" i="5" s="1"/>
  <c r="AN28" i="5"/>
  <c r="AL28" i="5"/>
  <c r="Z27" i="5"/>
  <c r="AE239" i="8"/>
  <c r="E239" i="8"/>
  <c r="F239" i="8" s="1"/>
  <c r="AA208" i="8"/>
  <c r="AD177" i="8"/>
  <c r="AD168" i="8"/>
  <c r="W136" i="12"/>
  <c r="F18" i="12"/>
  <c r="AG205" i="12"/>
  <c r="G205" i="12" s="1"/>
  <c r="AG129" i="21"/>
  <c r="G129" i="21" s="1"/>
  <c r="W129" i="21" s="1"/>
  <c r="AM300" i="12"/>
  <c r="AG270" i="12"/>
  <c r="G270" i="12" s="1"/>
  <c r="W270" i="12" s="1"/>
  <c r="AA203" i="6"/>
  <c r="AA215" i="6"/>
  <c r="X75" i="8"/>
  <c r="X83" i="8"/>
  <c r="AF243" i="8"/>
  <c r="AR243" i="8" s="1"/>
  <c r="F244" i="6"/>
  <c r="F261" i="11"/>
  <c r="N97" i="8"/>
  <c r="O97" i="8" s="1"/>
  <c r="W69" i="8"/>
  <c r="X69" i="8" s="1"/>
  <c r="X118" i="8"/>
  <c r="X36" i="8"/>
  <c r="X38" i="6"/>
  <c r="F146" i="11"/>
  <c r="F178" i="11"/>
  <c r="L182" i="11"/>
  <c r="F205" i="11"/>
  <c r="F223" i="11"/>
  <c r="E227" i="11"/>
  <c r="F227" i="11" s="1"/>
  <c r="E239" i="11"/>
  <c r="F239" i="11"/>
  <c r="X64" i="6"/>
  <c r="N31" i="6"/>
  <c r="O31" i="6" s="1"/>
  <c r="W31" i="6"/>
  <c r="X31" i="6" s="1"/>
  <c r="N24" i="8"/>
  <c r="O24" i="8" s="1"/>
  <c r="W24" i="8"/>
  <c r="X24" i="8" s="1"/>
  <c r="F192" i="6"/>
  <c r="AA101" i="8"/>
  <c r="E31" i="5"/>
  <c r="L231" i="8"/>
  <c r="AL76" i="5"/>
  <c r="P60" i="5"/>
  <c r="Q60" i="5" s="1"/>
  <c r="K60" i="5"/>
  <c r="M55" i="5"/>
  <c r="N55" i="5" s="1"/>
  <c r="E54" i="5"/>
  <c r="AD54" i="5"/>
  <c r="K49" i="5"/>
  <c r="Z35" i="5"/>
  <c r="AC26" i="5"/>
  <c r="Z226" i="8"/>
  <c r="AA226" i="8" s="1"/>
  <c r="Q226" i="8"/>
  <c r="R226" i="8" s="1"/>
  <c r="AD210" i="8"/>
  <c r="AE179" i="8"/>
  <c r="E179" i="8"/>
  <c r="F179" i="8" s="1"/>
  <c r="AA177" i="8"/>
  <c r="AE144" i="8"/>
  <c r="E144" i="8"/>
  <c r="F144" i="8" s="1"/>
  <c r="AD133" i="8"/>
  <c r="Z95" i="8"/>
  <c r="AA95" i="8" s="1"/>
  <c r="L95" i="8"/>
  <c r="E81" i="8"/>
  <c r="F81" i="8"/>
  <c r="AE78" i="8"/>
  <c r="E78" i="8"/>
  <c r="F78" i="8" s="1"/>
  <c r="AD70" i="8"/>
  <c r="AA65" i="8"/>
  <c r="AE65" i="8"/>
  <c r="E65" i="8"/>
  <c r="F65" i="8" s="1"/>
  <c r="AD133" i="6"/>
  <c r="AD105" i="6"/>
  <c r="F166" i="11"/>
  <c r="F222" i="11"/>
  <c r="W25" i="6"/>
  <c r="X25" i="6" s="1"/>
  <c r="N25" i="6"/>
  <c r="O25" i="6" s="1"/>
  <c r="W14" i="8"/>
  <c r="X14" i="8" s="1"/>
  <c r="N14" i="8"/>
  <c r="O14" i="8" s="1"/>
  <c r="F259" i="6"/>
  <c r="E259" i="6"/>
  <c r="W60" i="8"/>
  <c r="X60" i="8" s="1"/>
  <c r="N60" i="8"/>
  <c r="O60" i="8" s="1"/>
  <c r="M51" i="5"/>
  <c r="N51" i="5" s="1"/>
  <c r="AC32" i="5"/>
  <c r="AC30" i="5"/>
  <c r="Z14" i="5"/>
  <c r="AE207" i="8"/>
  <c r="E207" i="8"/>
  <c r="F207" i="8"/>
  <c r="E80" i="8"/>
  <c r="F80" i="8" s="1"/>
  <c r="AE80" i="8"/>
  <c r="AE194" i="6"/>
  <c r="F194" i="6"/>
  <c r="E189" i="6"/>
  <c r="AE189" i="6"/>
  <c r="F189" i="6"/>
  <c r="N187" i="6"/>
  <c r="O187" i="6" s="1"/>
  <c r="F136" i="12"/>
  <c r="AM120" i="12"/>
  <c r="W163" i="12"/>
  <c r="X163" i="12" s="1"/>
  <c r="AM163" i="12"/>
  <c r="AG172" i="12"/>
  <c r="G172" i="12" s="1"/>
  <c r="U42" i="20"/>
  <c r="U26" i="20"/>
  <c r="Y42" i="20"/>
  <c r="Y26" i="20"/>
  <c r="X72" i="6"/>
  <c r="AJ192" i="6"/>
  <c r="E243" i="6"/>
  <c r="F243" i="6" s="1"/>
  <c r="W136" i="8"/>
  <c r="X136" i="8" s="1"/>
  <c r="F172" i="11"/>
  <c r="L174" i="11"/>
  <c r="F190" i="11"/>
  <c r="X39" i="6"/>
  <c r="F152" i="11"/>
  <c r="W152" i="11"/>
  <c r="X152" i="11" s="1"/>
  <c r="W186" i="6"/>
  <c r="X186" i="6" s="1"/>
  <c r="F245" i="6"/>
  <c r="E265" i="6"/>
  <c r="F265" i="6" s="1"/>
  <c r="AJ36" i="8"/>
  <c r="AF36" i="8"/>
  <c r="AR36" i="8" s="1"/>
  <c r="AA102" i="8"/>
  <c r="AJ97" i="8"/>
  <c r="AF97" i="8"/>
  <c r="AR97" i="8" s="1"/>
  <c r="Y83" i="5"/>
  <c r="Z83" i="5" s="1"/>
  <c r="K83" i="5"/>
  <c r="S77" i="5"/>
  <c r="T77" i="5" s="1"/>
  <c r="AC58" i="5"/>
  <c r="AD58" i="5"/>
  <c r="E58" i="5"/>
  <c r="M58" i="5" s="1"/>
  <c r="N58" i="5" s="1"/>
  <c r="AC55" i="5"/>
  <c r="L257" i="8"/>
  <c r="H255" i="8"/>
  <c r="L255" i="8" s="1"/>
  <c r="E253" i="8"/>
  <c r="F253" i="8"/>
  <c r="L226" i="8"/>
  <c r="AA211" i="8"/>
  <c r="F185" i="8"/>
  <c r="E178" i="8"/>
  <c r="F178" i="8"/>
  <c r="AE178" i="8"/>
  <c r="F151" i="8"/>
  <c r="AE151" i="8"/>
  <c r="E151" i="8"/>
  <c r="AA137" i="8"/>
  <c r="E137" i="8"/>
  <c r="F137" i="8" s="1"/>
  <c r="AE137" i="8"/>
  <c r="AD108" i="8"/>
  <c r="AD99" i="8"/>
  <c r="H99" i="8"/>
  <c r="L99" i="8" s="1"/>
  <c r="E203" i="11"/>
  <c r="F203" i="11"/>
  <c r="F207" i="11"/>
  <c r="F211" i="11"/>
  <c r="X67" i="6"/>
  <c r="X114" i="6"/>
  <c r="X59" i="8"/>
  <c r="W79" i="6"/>
  <c r="X79" i="6" s="1"/>
  <c r="N79" i="6"/>
  <c r="O79" i="6" s="1"/>
  <c r="E250" i="6"/>
  <c r="F250" i="6"/>
  <c r="W100" i="6"/>
  <c r="X100" i="6" s="1"/>
  <c r="N100" i="6"/>
  <c r="O100" i="6" s="1"/>
  <c r="N181" i="6"/>
  <c r="O181" i="6" s="1"/>
  <c r="W181" i="6"/>
  <c r="X181" i="6" s="1"/>
  <c r="N191" i="6"/>
  <c r="O191" i="6" s="1"/>
  <c r="W191" i="6"/>
  <c r="X191" i="6" s="1"/>
  <c r="K81" i="5"/>
  <c r="E81" i="5" s="1"/>
  <c r="P78" i="5"/>
  <c r="Q78" i="5" s="1"/>
  <c r="S73" i="5"/>
  <c r="T73" i="5" s="1"/>
  <c r="Y60" i="5"/>
  <c r="Z60" i="5" s="1"/>
  <c r="Y52" i="5"/>
  <c r="Z52" i="5" s="1"/>
  <c r="AN27" i="5"/>
  <c r="AL27" i="5"/>
  <c r="Y26" i="5"/>
  <c r="Z26" i="5" s="1"/>
  <c r="AE263" i="8"/>
  <c r="E263" i="8"/>
  <c r="F263" i="8" s="1"/>
  <c r="AE256" i="8"/>
  <c r="F256" i="8"/>
  <c r="AD244" i="8"/>
  <c r="L242" i="8"/>
  <c r="AE203" i="8"/>
  <c r="E203" i="8"/>
  <c r="F203" i="8"/>
  <c r="E192" i="8"/>
  <c r="F192" i="8" s="1"/>
  <c r="AE192" i="8"/>
  <c r="H187" i="8"/>
  <c r="L187" i="8" s="1"/>
  <c r="F180" i="8"/>
  <c r="H150" i="8"/>
  <c r="L150" i="8" s="1"/>
  <c r="E149" i="8"/>
  <c r="F149" i="8"/>
  <c r="W149" i="8" s="1"/>
  <c r="X149" i="8" s="1"/>
  <c r="AD107" i="8"/>
  <c r="AD96" i="8"/>
  <c r="E84" i="8"/>
  <c r="F84" i="8"/>
  <c r="AE84" i="8"/>
  <c r="Q81" i="8"/>
  <c r="R81" i="8" s="1"/>
  <c r="Z81" i="8"/>
  <c r="AA81" i="8" s="1"/>
  <c r="Z79" i="8"/>
  <c r="AA79" i="8" s="1"/>
  <c r="L79" i="8"/>
  <c r="AE68" i="8"/>
  <c r="E68" i="8"/>
  <c r="F68" i="8" s="1"/>
  <c r="Q119" i="6"/>
  <c r="R119" i="6" s="1"/>
  <c r="L119" i="6"/>
  <c r="F40" i="6"/>
  <c r="AE40" i="6"/>
  <c r="AA35" i="6"/>
  <c r="AA34" i="6"/>
  <c r="AD32" i="6"/>
  <c r="E84" i="11"/>
  <c r="F84" i="11"/>
  <c r="E264" i="8"/>
  <c r="F264" i="8"/>
  <c r="Z257" i="8"/>
  <c r="AA257" i="8" s="1"/>
  <c r="AD253" i="8"/>
  <c r="Z218" i="8"/>
  <c r="AA218" i="8" s="1"/>
  <c r="Q218" i="8"/>
  <c r="R218" i="8" s="1"/>
  <c r="E212" i="8"/>
  <c r="AE212" i="8"/>
  <c r="F212" i="8"/>
  <c r="AA205" i="8"/>
  <c r="E194" i="8"/>
  <c r="F194" i="8"/>
  <c r="F193" i="8"/>
  <c r="AE193" i="8"/>
  <c r="F66" i="8"/>
  <c r="AE66" i="8"/>
  <c r="AD34" i="8"/>
  <c r="AA33" i="8"/>
  <c r="AD247" i="6"/>
  <c r="AC75" i="5"/>
  <c r="AD248" i="8"/>
  <c r="AA214" i="8"/>
  <c r="AE205" i="8"/>
  <c r="E205" i="8"/>
  <c r="F205" i="8" s="1"/>
  <c r="F183" i="8"/>
  <c r="E183" i="8"/>
  <c r="AE182" i="8"/>
  <c r="E182" i="8"/>
  <c r="F182" i="8" s="1"/>
  <c r="N176" i="8"/>
  <c r="O176" i="8" s="1"/>
  <c r="AD171" i="8"/>
  <c r="AD144" i="8"/>
  <c r="AD141" i="8"/>
  <c r="AA34" i="8"/>
  <c r="AD30" i="8"/>
  <c r="X116" i="8"/>
  <c r="X44" i="8"/>
  <c r="L176" i="11"/>
  <c r="E193" i="11"/>
  <c r="F193" i="11"/>
  <c r="E224" i="11"/>
  <c r="F224" i="11"/>
  <c r="N60" i="6"/>
  <c r="O60" i="6" s="1"/>
  <c r="W60" i="6"/>
  <c r="X60" i="6" s="1"/>
  <c r="X45" i="6"/>
  <c r="F73" i="8"/>
  <c r="P84" i="5"/>
  <c r="Q84" i="5" s="1"/>
  <c r="AD81" i="5"/>
  <c r="J73" i="5"/>
  <c r="AD38" i="5"/>
  <c r="E38" i="5"/>
  <c r="M38" i="5" s="1"/>
  <c r="N38" i="5" s="1"/>
  <c r="P36" i="5"/>
  <c r="Q36" i="5" s="1"/>
  <c r="AC29" i="5"/>
  <c r="K25" i="5"/>
  <c r="Z266" i="8"/>
  <c r="AA266" i="8" s="1"/>
  <c r="H254" i="8"/>
  <c r="L254" i="8" s="1"/>
  <c r="AD247" i="8"/>
  <c r="AA244" i="8"/>
  <c r="Z242" i="8"/>
  <c r="AA242" i="8" s="1"/>
  <c r="H228" i="8"/>
  <c r="L228" i="8" s="1"/>
  <c r="H210" i="8"/>
  <c r="L210" i="8" s="1"/>
  <c r="AD204" i="8"/>
  <c r="H190" i="8"/>
  <c r="L190" i="8" s="1"/>
  <c r="AD178" i="8"/>
  <c r="AD173" i="8"/>
  <c r="E145" i="8"/>
  <c r="F145" i="8" s="1"/>
  <c r="AE145" i="8"/>
  <c r="AD137" i="8"/>
  <c r="AA106" i="8"/>
  <c r="H103" i="8"/>
  <c r="L103" i="8" s="1"/>
  <c r="AD100" i="8"/>
  <c r="AA70" i="8"/>
  <c r="AD69" i="8"/>
  <c r="H256" i="6"/>
  <c r="I256" i="6" s="1"/>
  <c r="L256" i="6" s="1"/>
  <c r="AA252" i="6"/>
  <c r="F168" i="6"/>
  <c r="AE120" i="6"/>
  <c r="E120" i="6"/>
  <c r="F120" i="6"/>
  <c r="Z119" i="6"/>
  <c r="AA119" i="6" s="1"/>
  <c r="E112" i="6"/>
  <c r="F112" i="6" s="1"/>
  <c r="AE112" i="6"/>
  <c r="F75" i="11"/>
  <c r="F98" i="11"/>
  <c r="N43" i="6"/>
  <c r="O43" i="6" s="1"/>
  <c r="X94" i="6"/>
  <c r="P76" i="5"/>
  <c r="Q76" i="5" s="1"/>
  <c r="P59" i="5"/>
  <c r="Q59" i="5" s="1"/>
  <c r="AC56" i="5"/>
  <c r="AC53" i="5"/>
  <c r="M53" i="5"/>
  <c r="N53" i="5" s="1"/>
  <c r="P51" i="5"/>
  <c r="Q51" i="5" s="1"/>
  <c r="AC48" i="5"/>
  <c r="M48" i="5"/>
  <c r="N48" i="5" s="1"/>
  <c r="AD35" i="5"/>
  <c r="E35" i="5"/>
  <c r="P34" i="5"/>
  <c r="Q34" i="5" s="1"/>
  <c r="P27" i="5"/>
  <c r="Q27" i="5" s="1"/>
  <c r="AL25" i="5"/>
  <c r="AE260" i="8"/>
  <c r="E260" i="8"/>
  <c r="F260" i="8"/>
  <c r="H248" i="8"/>
  <c r="L248" i="8" s="1"/>
  <c r="H245" i="8"/>
  <c r="L245" i="8" s="1"/>
  <c r="AA241" i="8"/>
  <c r="Z224" i="8"/>
  <c r="AA224" i="8" s="1"/>
  <c r="Q224" i="8"/>
  <c r="R224" i="8" s="1"/>
  <c r="AA174" i="8"/>
  <c r="Z172" i="8"/>
  <c r="AA172" i="8" s="1"/>
  <c r="Z140" i="8"/>
  <c r="AA140" i="8" s="1"/>
  <c r="Q140" i="8"/>
  <c r="R140" i="8" s="1"/>
  <c r="AD134" i="8"/>
  <c r="F123" i="8"/>
  <c r="AA178" i="6"/>
  <c r="AE178" i="6"/>
  <c r="F178" i="6"/>
  <c r="AD177" i="6"/>
  <c r="AD176" i="6"/>
  <c r="F172" i="6"/>
  <c r="AA143" i="6"/>
  <c r="AA142" i="6"/>
  <c r="AA141" i="6"/>
  <c r="F46" i="11"/>
  <c r="F257" i="11"/>
  <c r="X182" i="6"/>
  <c r="N65" i="6"/>
  <c r="O65" i="6" s="1"/>
  <c r="W65" i="6"/>
  <c r="X65" i="6" s="1"/>
  <c r="Y81" i="5"/>
  <c r="Z81" i="5" s="1"/>
  <c r="S75" i="5"/>
  <c r="T75" i="5" s="1"/>
  <c r="J75" i="5"/>
  <c r="Y75" i="5" s="1"/>
  <c r="Z75" i="5" s="1"/>
  <c r="Y73" i="5"/>
  <c r="Z73" i="5" s="1"/>
  <c r="W29" i="5"/>
  <c r="Y28" i="5"/>
  <c r="Z28" i="5" s="1"/>
  <c r="K28" i="5"/>
  <c r="Z24" i="5"/>
  <c r="H261" i="8"/>
  <c r="L261" i="8" s="1"/>
  <c r="F258" i="8"/>
  <c r="AD251" i="8"/>
  <c r="AA245" i="8"/>
  <c r="H224" i="8"/>
  <c r="L224" i="8" s="1"/>
  <c r="L222" i="8"/>
  <c r="AD207" i="8"/>
  <c r="Z191" i="8"/>
  <c r="AA191" i="8" s="1"/>
  <c r="L191" i="8"/>
  <c r="AD179" i="8"/>
  <c r="E173" i="8"/>
  <c r="F173" i="8" s="1"/>
  <c r="AE173" i="8"/>
  <c r="E158" i="8"/>
  <c r="AE158" i="8"/>
  <c r="F158" i="8"/>
  <c r="N158" i="8" s="1"/>
  <c r="O158" i="8" s="1"/>
  <c r="AE148" i="8"/>
  <c r="E148" i="8"/>
  <c r="F148" i="8" s="1"/>
  <c r="AA138" i="8"/>
  <c r="Q104" i="8"/>
  <c r="R104" i="8" s="1"/>
  <c r="Z104" i="8"/>
  <c r="AA104" i="8" s="1"/>
  <c r="E101" i="8"/>
  <c r="AE101" i="8"/>
  <c r="F101" i="8"/>
  <c r="Z42" i="8"/>
  <c r="AA42" i="8" s="1"/>
  <c r="Q42" i="8"/>
  <c r="R42" i="8" s="1"/>
  <c r="F38" i="8"/>
  <c r="AD244" i="6"/>
  <c r="AD140" i="6"/>
  <c r="N83" i="6"/>
  <c r="O83" i="6" s="1"/>
  <c r="E55" i="5"/>
  <c r="V55" i="5" s="1"/>
  <c r="W55" i="5" s="1"/>
  <c r="AC84" i="5"/>
  <c r="Y78" i="5"/>
  <c r="Z78" i="5" s="1"/>
  <c r="AN55" i="5"/>
  <c r="V38" i="5"/>
  <c r="W38" i="5" s="1"/>
  <c r="P29" i="5"/>
  <c r="Q29" i="5" s="1"/>
  <c r="AD245" i="8"/>
  <c r="Q243" i="8"/>
  <c r="R243" i="8" s="1"/>
  <c r="AE241" i="8"/>
  <c r="F241" i="8"/>
  <c r="Z240" i="8"/>
  <c r="AA240" i="8" s="1"/>
  <c r="AA239" i="8"/>
  <c r="Q222" i="8"/>
  <c r="R222" i="8" s="1"/>
  <c r="AA213" i="8"/>
  <c r="AD208" i="8"/>
  <c r="Q203" i="8"/>
  <c r="R203" i="8" s="1"/>
  <c r="L186" i="8"/>
  <c r="AA176" i="8"/>
  <c r="E176" i="8"/>
  <c r="F176" i="8" s="1"/>
  <c r="W176" i="8" s="1"/>
  <c r="X176" i="8" s="1"/>
  <c r="AE176" i="8"/>
  <c r="H169" i="8"/>
  <c r="L169" i="8" s="1"/>
  <c r="AD135" i="8"/>
  <c r="AD104" i="8"/>
  <c r="L100" i="8"/>
  <c r="Z47" i="8"/>
  <c r="AA47" i="8" s="1"/>
  <c r="L47" i="8"/>
  <c r="AA72" i="6"/>
  <c r="AA69" i="6"/>
  <c r="AD60" i="6"/>
  <c r="F36" i="6"/>
  <c r="F34" i="6"/>
  <c r="Z30" i="5"/>
  <c r="Y84" i="5"/>
  <c r="Z84" i="5" s="1"/>
  <c r="AC82" i="5"/>
  <c r="S81" i="5"/>
  <c r="T81" i="5" s="1"/>
  <c r="V61" i="5"/>
  <c r="W61" i="5" s="1"/>
  <c r="AC57" i="5"/>
  <c r="P57" i="5"/>
  <c r="Q57" i="5" s="1"/>
  <c r="Y56" i="5"/>
  <c r="Z56" i="5" s="1"/>
  <c r="AC49" i="5"/>
  <c r="P49" i="5"/>
  <c r="Q49" i="5" s="1"/>
  <c r="Y48" i="5"/>
  <c r="Z48" i="5" s="1"/>
  <c r="AD252" i="8"/>
  <c r="L214" i="8"/>
  <c r="AA209" i="8"/>
  <c r="H170" i="8"/>
  <c r="L170" i="8" s="1"/>
  <c r="H152" i="8"/>
  <c r="L152" i="8" s="1"/>
  <c r="AA141" i="8"/>
  <c r="L139" i="8"/>
  <c r="Z136" i="8"/>
  <c r="AA136" i="8" s="1"/>
  <c r="Q136" i="8"/>
  <c r="R136" i="8" s="1"/>
  <c r="Q112" i="8"/>
  <c r="R112" i="8" s="1"/>
  <c r="L112" i="8"/>
  <c r="AD105" i="8"/>
  <c r="L104" i="8"/>
  <c r="AD72" i="8"/>
  <c r="H72" i="8"/>
  <c r="L72" i="8" s="1"/>
  <c r="AA31" i="8"/>
  <c r="AA244" i="6"/>
  <c r="AA239" i="6"/>
  <c r="AD215" i="6"/>
  <c r="Q77" i="6"/>
  <c r="R77" i="6" s="1"/>
  <c r="Z77" i="6"/>
  <c r="AA77" i="6" s="1"/>
  <c r="F48" i="6"/>
  <c r="AC83" i="5"/>
  <c r="Y82" i="5"/>
  <c r="Z82" i="5" s="1"/>
  <c r="S78" i="5"/>
  <c r="T78" i="5" s="1"/>
  <c r="AB73" i="5"/>
  <c r="AC73" i="5" s="1"/>
  <c r="K73" i="5"/>
  <c r="E73" i="5" s="1"/>
  <c r="V73" i="5" s="1"/>
  <c r="W73" i="5" s="1"/>
  <c r="AC59" i="5"/>
  <c r="AC51" i="5"/>
  <c r="H265" i="8"/>
  <c r="L265" i="8" s="1"/>
  <c r="Z259" i="8"/>
  <c r="AA259" i="8" s="1"/>
  <c r="Q259" i="8"/>
  <c r="R259" i="8" s="1"/>
  <c r="H252" i="8"/>
  <c r="L252" i="8" s="1"/>
  <c r="AA203" i="8"/>
  <c r="AE195" i="8"/>
  <c r="E195" i="8"/>
  <c r="F195" i="8" s="1"/>
  <c r="AD180" i="8"/>
  <c r="Q172" i="8"/>
  <c r="R172" i="8" s="1"/>
  <c r="Z148" i="8"/>
  <c r="AA148" i="8" s="1"/>
  <c r="Q144" i="8"/>
  <c r="R144" i="8" s="1"/>
  <c r="AD136" i="8"/>
  <c r="F120" i="8"/>
  <c r="AE120" i="8"/>
  <c r="Q115" i="8"/>
  <c r="R115" i="8" s="1"/>
  <c r="Q107" i="8"/>
  <c r="R107" i="8" s="1"/>
  <c r="AD106" i="8"/>
  <c r="AE70" i="8"/>
  <c r="E70" i="8"/>
  <c r="F70" i="8" s="1"/>
  <c r="AD64" i="8"/>
  <c r="AD61" i="8"/>
  <c r="AD29" i="8"/>
  <c r="AD245" i="6"/>
  <c r="AD243" i="6"/>
  <c r="AD209" i="6"/>
  <c r="F193" i="6"/>
  <c r="F184" i="6"/>
  <c r="AA167" i="6"/>
  <c r="AA96" i="6"/>
  <c r="AD217" i="8"/>
  <c r="AA204" i="8"/>
  <c r="Z189" i="8"/>
  <c r="AA189" i="8" s="1"/>
  <c r="Z183" i="8"/>
  <c r="AA183" i="8" s="1"/>
  <c r="Z180" i="8"/>
  <c r="AA180" i="8" s="1"/>
  <c r="Z179" i="8"/>
  <c r="AA179" i="8" s="1"/>
  <c r="AA168" i="8"/>
  <c r="H159" i="8"/>
  <c r="L159" i="8" s="1"/>
  <c r="H146" i="8"/>
  <c r="L146" i="8" s="1"/>
  <c r="Q138" i="8"/>
  <c r="R138" i="8" s="1"/>
  <c r="L106" i="8"/>
  <c r="L29" i="8"/>
  <c r="AA28" i="8"/>
  <c r="Z245" i="6"/>
  <c r="AA245" i="6" s="1"/>
  <c r="AA98" i="6"/>
  <c r="AD94" i="6"/>
  <c r="AD65" i="6"/>
  <c r="AN32" i="5"/>
  <c r="Y62" i="5"/>
  <c r="Z62" i="5" s="1"/>
  <c r="Y58" i="5"/>
  <c r="Z58" i="5" s="1"/>
  <c r="Y54" i="5"/>
  <c r="Z54" i="5" s="1"/>
  <c r="Y50" i="5"/>
  <c r="Z50" i="5" s="1"/>
  <c r="AN37" i="5"/>
  <c r="Z248" i="8"/>
  <c r="AA248" i="8" s="1"/>
  <c r="H220" i="8"/>
  <c r="L220" i="8" s="1"/>
  <c r="L208" i="8"/>
  <c r="AD203" i="8"/>
  <c r="H171" i="8"/>
  <c r="L171" i="8" s="1"/>
  <c r="AD167" i="8"/>
  <c r="Q158" i="8"/>
  <c r="R158" i="8" s="1"/>
  <c r="Q145" i="8"/>
  <c r="R145" i="8" s="1"/>
  <c r="AD140" i="8"/>
  <c r="H132" i="8"/>
  <c r="L132" i="8" s="1"/>
  <c r="Q111" i="8"/>
  <c r="R111" i="8" s="1"/>
  <c r="AD109" i="8"/>
  <c r="AD102" i="8"/>
  <c r="AA69" i="8"/>
  <c r="AD66" i="8"/>
  <c r="AA63" i="8"/>
  <c r="Z61" i="8"/>
  <c r="AA61" i="8" s="1"/>
  <c r="AA60" i="8"/>
  <c r="Z29" i="8"/>
  <c r="AA29" i="8" s="1"/>
  <c r="H26" i="8"/>
  <c r="L26" i="8" s="1"/>
  <c r="H25" i="8"/>
  <c r="L25" i="8" s="1"/>
  <c r="AA24" i="8"/>
  <c r="AA250" i="6"/>
  <c r="Z246" i="6"/>
  <c r="AA246" i="6" s="1"/>
  <c r="Z183" i="6"/>
  <c r="AA183" i="6" s="1"/>
  <c r="L183" i="6"/>
  <c r="AD33" i="6"/>
  <c r="AD30" i="6"/>
  <c r="AC25" i="5"/>
  <c r="Q190" i="8"/>
  <c r="R190" i="8" s="1"/>
  <c r="AD174" i="8"/>
  <c r="AA173" i="8"/>
  <c r="AD169" i="8"/>
  <c r="Q151" i="8"/>
  <c r="R151" i="8" s="1"/>
  <c r="Z134" i="8"/>
  <c r="AA134" i="8" s="1"/>
  <c r="L134" i="8"/>
  <c r="Z112" i="8"/>
  <c r="AA112" i="8" s="1"/>
  <c r="AD103" i="8"/>
  <c r="L61" i="8"/>
  <c r="AA59" i="8"/>
  <c r="AD37" i="8"/>
  <c r="AD36" i="8"/>
  <c r="AD32" i="8"/>
  <c r="AA27" i="8"/>
  <c r="Z259" i="6"/>
  <c r="AA259" i="6" s="1"/>
  <c r="Z247" i="6"/>
  <c r="AA247" i="6" s="1"/>
  <c r="L150" i="6"/>
  <c r="AA136" i="6"/>
  <c r="Q115" i="6"/>
  <c r="R115" i="6" s="1"/>
  <c r="L115" i="6"/>
  <c r="Z108" i="6"/>
  <c r="AA108" i="6" s="1"/>
  <c r="Q108" i="6"/>
  <c r="R108" i="6" s="1"/>
  <c r="AD84" i="5"/>
  <c r="M76" i="5"/>
  <c r="AA249" i="8"/>
  <c r="L216" i="8"/>
  <c r="Z215" i="8"/>
  <c r="AA215" i="8" s="1"/>
  <c r="AD214" i="8"/>
  <c r="Z175" i="8"/>
  <c r="AA175" i="8" s="1"/>
  <c r="Z169" i="8"/>
  <c r="AA169" i="8" s="1"/>
  <c r="L153" i="8"/>
  <c r="H143" i="8"/>
  <c r="L143" i="8" s="1"/>
  <c r="AD139" i="8"/>
  <c r="Q133" i="8"/>
  <c r="R133" i="8" s="1"/>
  <c r="L121" i="8"/>
  <c r="L110" i="8"/>
  <c r="Q106" i="8"/>
  <c r="R106" i="8" s="1"/>
  <c r="AA67" i="8"/>
  <c r="L37" i="8"/>
  <c r="AA13" i="8"/>
  <c r="Q244" i="6"/>
  <c r="R244" i="6" s="1"/>
  <c r="AD240" i="6"/>
  <c r="AD175" i="6"/>
  <c r="Q155" i="6"/>
  <c r="R155" i="6" s="1"/>
  <c r="Z155" i="6"/>
  <c r="AA155" i="6" s="1"/>
  <c r="Z115" i="6"/>
  <c r="AA115" i="6" s="1"/>
  <c r="AD108" i="6"/>
  <c r="V76" i="5"/>
  <c r="W76" i="5" s="1"/>
  <c r="AC47" i="5"/>
  <c r="Z256" i="8"/>
  <c r="AA256" i="8" s="1"/>
  <c r="H244" i="8"/>
  <c r="L244" i="8" s="1"/>
  <c r="Z228" i="8"/>
  <c r="AA228" i="8" s="1"/>
  <c r="Q208" i="8"/>
  <c r="R208" i="8" s="1"/>
  <c r="AA206" i="8"/>
  <c r="Q184" i="8"/>
  <c r="R184" i="8" s="1"/>
  <c r="H174" i="8"/>
  <c r="L174" i="8" s="1"/>
  <c r="H122" i="8"/>
  <c r="L122" i="8" s="1"/>
  <c r="Q79" i="8"/>
  <c r="R79" i="8" s="1"/>
  <c r="Q64" i="8"/>
  <c r="R64" i="8" s="1"/>
  <c r="Z37" i="8"/>
  <c r="AA37" i="8" s="1"/>
  <c r="AA32" i="8"/>
  <c r="AD31" i="8"/>
  <c r="AA14" i="8"/>
  <c r="AD242" i="6"/>
  <c r="AA240" i="6"/>
  <c r="AA177" i="6"/>
  <c r="AD174" i="6"/>
  <c r="AA174" i="6"/>
  <c r="AA166" i="6"/>
  <c r="H158" i="6"/>
  <c r="I158" i="6" s="1"/>
  <c r="L158" i="6" s="1"/>
  <c r="Q192" i="8"/>
  <c r="R192" i="8" s="1"/>
  <c r="Z181" i="8"/>
  <c r="AA181" i="8" s="1"/>
  <c r="Q176" i="8"/>
  <c r="R176" i="8" s="1"/>
  <c r="H135" i="8"/>
  <c r="L135" i="8" s="1"/>
  <c r="Q123" i="8"/>
  <c r="R123" i="8" s="1"/>
  <c r="Q122" i="8"/>
  <c r="R122" i="8" s="1"/>
  <c r="Z118" i="8"/>
  <c r="AA118" i="8" s="1"/>
  <c r="H115" i="8"/>
  <c r="L115" i="8" s="1"/>
  <c r="Q113" i="8"/>
  <c r="R113" i="8" s="1"/>
  <c r="Z110" i="8"/>
  <c r="AA110" i="8" s="1"/>
  <c r="H107" i="8"/>
  <c r="L107" i="8" s="1"/>
  <c r="Q103" i="8"/>
  <c r="R103" i="8" s="1"/>
  <c r="AD97" i="8"/>
  <c r="Q73" i="8"/>
  <c r="R73" i="8" s="1"/>
  <c r="Q62" i="8"/>
  <c r="R62" i="8" s="1"/>
  <c r="Z48" i="8"/>
  <c r="AA48" i="8" s="1"/>
  <c r="H45" i="8"/>
  <c r="L45" i="8" s="1"/>
  <c r="AA241" i="6"/>
  <c r="AD210" i="6"/>
  <c r="L175" i="6"/>
  <c r="AD169" i="6"/>
  <c r="Q158" i="6"/>
  <c r="R158" i="6" s="1"/>
  <c r="Z139" i="6"/>
  <c r="AA139" i="6" s="1"/>
  <c r="AD138" i="6"/>
  <c r="H131" i="6"/>
  <c r="I131" i="6" s="1"/>
  <c r="L131" i="6" s="1"/>
  <c r="Z106" i="6"/>
  <c r="AA106" i="6" s="1"/>
  <c r="AD101" i="6"/>
  <c r="AD68" i="6"/>
  <c r="AA25" i="6"/>
  <c r="L111" i="8"/>
  <c r="AD98" i="8"/>
  <c r="H87" i="8"/>
  <c r="L87" i="8" s="1"/>
  <c r="L82" i="8"/>
  <c r="AA66" i="8"/>
  <c r="Q65" i="8"/>
  <c r="R65" i="8" s="1"/>
  <c r="L64" i="8"/>
  <c r="L41" i="8"/>
  <c r="AA23" i="8"/>
  <c r="AD250" i="6"/>
  <c r="AD241" i="6"/>
  <c r="AD212" i="6"/>
  <c r="AD206" i="6"/>
  <c r="AD204" i="6"/>
  <c r="AD202" i="6"/>
  <c r="AA173" i="6"/>
  <c r="AD172" i="6"/>
  <c r="AA169" i="6"/>
  <c r="AD168" i="6"/>
  <c r="AD132" i="6"/>
  <c r="L107" i="6"/>
  <c r="L106" i="6"/>
  <c r="AD104" i="6"/>
  <c r="AA102" i="6"/>
  <c r="L82" i="6"/>
  <c r="AA27" i="6"/>
  <c r="AD26" i="6"/>
  <c r="Q135" i="8"/>
  <c r="R135" i="8" s="1"/>
  <c r="Z132" i="8"/>
  <c r="AA132" i="8" s="1"/>
  <c r="AD131" i="8"/>
  <c r="H114" i="8"/>
  <c r="L114" i="8" s="1"/>
  <c r="Q109" i="8"/>
  <c r="R109" i="8" s="1"/>
  <c r="Q100" i="8"/>
  <c r="R100" i="8" s="1"/>
  <c r="Q99" i="8"/>
  <c r="R99" i="8" s="1"/>
  <c r="H86" i="8"/>
  <c r="L86" i="8" s="1"/>
  <c r="Q83" i="8"/>
  <c r="R83" i="8" s="1"/>
  <c r="Q77" i="8"/>
  <c r="R77" i="8" s="1"/>
  <c r="AD73" i="8"/>
  <c r="Q72" i="8"/>
  <c r="R72" i="8" s="1"/>
  <c r="AD65" i="8"/>
  <c r="Q49" i="8"/>
  <c r="R49" i="8" s="1"/>
  <c r="AD24" i="8"/>
  <c r="AD13" i="8"/>
  <c r="H202" i="6"/>
  <c r="I202" i="6" s="1"/>
  <c r="L202" i="6" s="1"/>
  <c r="AA179" i="6"/>
  <c r="AD171" i="6"/>
  <c r="AA170" i="6"/>
  <c r="H170" i="6"/>
  <c r="I170" i="6" s="1"/>
  <c r="L170" i="6" s="1"/>
  <c r="AA168" i="6"/>
  <c r="AD167" i="6"/>
  <c r="H155" i="6"/>
  <c r="I155" i="6" s="1"/>
  <c r="L155" i="6" s="1"/>
  <c r="Z152" i="6"/>
  <c r="AA152" i="6" s="1"/>
  <c r="L139" i="6"/>
  <c r="AD137" i="6"/>
  <c r="Z135" i="6"/>
  <c r="AA135" i="6" s="1"/>
  <c r="Z132" i="6"/>
  <c r="AA132" i="6" s="1"/>
  <c r="AA101" i="6"/>
  <c r="AA26" i="6"/>
  <c r="H184" i="8"/>
  <c r="L184" i="8" s="1"/>
  <c r="H168" i="8"/>
  <c r="L168" i="8" s="1"/>
  <c r="Z167" i="8"/>
  <c r="AA167" i="8" s="1"/>
  <c r="H156" i="8"/>
  <c r="L156" i="8" s="1"/>
  <c r="H140" i="8"/>
  <c r="L140" i="8" s="1"/>
  <c r="H133" i="8"/>
  <c r="L133" i="8" s="1"/>
  <c r="Z131" i="8"/>
  <c r="AA131" i="8" s="1"/>
  <c r="AD95" i="8"/>
  <c r="H74" i="8"/>
  <c r="L74" i="8" s="1"/>
  <c r="AD59" i="8"/>
  <c r="AD33" i="8"/>
  <c r="Q33" i="8"/>
  <c r="R33" i="8" s="1"/>
  <c r="H27" i="8"/>
  <c r="L27" i="8" s="1"/>
  <c r="AA26" i="8"/>
  <c r="AD25" i="8"/>
  <c r="Q259" i="6"/>
  <c r="R259" i="6" s="1"/>
  <c r="Q254" i="6"/>
  <c r="R254" i="6" s="1"/>
  <c r="Q248" i="6"/>
  <c r="R248" i="6" s="1"/>
  <c r="AD239" i="6"/>
  <c r="AD216" i="6"/>
  <c r="Z157" i="6"/>
  <c r="AA157" i="6" s="1"/>
  <c r="Q157" i="6"/>
  <c r="R157" i="6" s="1"/>
  <c r="AD136" i="6"/>
  <c r="AD134" i="6"/>
  <c r="AD100" i="6"/>
  <c r="AA70" i="6"/>
  <c r="AD66" i="6"/>
  <c r="Q47" i="8"/>
  <c r="R47" i="8" s="1"/>
  <c r="Q28" i="8"/>
  <c r="R28" i="8" s="1"/>
  <c r="Z261" i="6"/>
  <c r="AA261" i="6" s="1"/>
  <c r="AD246" i="6"/>
  <c r="H218" i="6"/>
  <c r="I218" i="6" s="1"/>
  <c r="L218" i="6" s="1"/>
  <c r="H217" i="6"/>
  <c r="I217" i="6" s="1"/>
  <c r="L217" i="6" s="1"/>
  <c r="AD213" i="6"/>
  <c r="H210" i="6"/>
  <c r="I210" i="6" s="1"/>
  <c r="L210" i="6" s="1"/>
  <c r="AD179" i="6"/>
  <c r="H173" i="6"/>
  <c r="I173" i="6" s="1"/>
  <c r="L173" i="6" s="1"/>
  <c r="Q142" i="6"/>
  <c r="R142" i="6" s="1"/>
  <c r="AA105" i="6"/>
  <c r="Q104" i="6"/>
  <c r="R104" i="6" s="1"/>
  <c r="Z83" i="6"/>
  <c r="AA83" i="6" s="1"/>
  <c r="L81" i="6"/>
  <c r="Z71" i="6"/>
  <c r="AA71" i="6" s="1"/>
  <c r="L68" i="6"/>
  <c r="AD61" i="6"/>
  <c r="Q38" i="6"/>
  <c r="R38" i="6" s="1"/>
  <c r="H102" i="8"/>
  <c r="L102" i="8" s="1"/>
  <c r="Q95" i="8"/>
  <c r="R95" i="8" s="1"/>
  <c r="Z68" i="8"/>
  <c r="AA68" i="8" s="1"/>
  <c r="Q39" i="8"/>
  <c r="R39" i="8" s="1"/>
  <c r="Q31" i="8"/>
  <c r="R31" i="8" s="1"/>
  <c r="AD28" i="8"/>
  <c r="Q260" i="6"/>
  <c r="R260" i="6" s="1"/>
  <c r="AA251" i="6"/>
  <c r="Q243" i="6"/>
  <c r="R243" i="6" s="1"/>
  <c r="Q238" i="6"/>
  <c r="R238" i="6" s="1"/>
  <c r="AA134" i="6"/>
  <c r="L122" i="6"/>
  <c r="L71" i="6"/>
  <c r="L69" i="6"/>
  <c r="AA68" i="6"/>
  <c r="AD64" i="6"/>
  <c r="Z48" i="6"/>
  <c r="AA48" i="6" s="1"/>
  <c r="AD36" i="6"/>
  <c r="AA32" i="6"/>
  <c r="AD238" i="6"/>
  <c r="Q194" i="6"/>
  <c r="R194" i="6" s="1"/>
  <c r="Q186" i="6"/>
  <c r="R186" i="6" s="1"/>
  <c r="Q178" i="6"/>
  <c r="R178" i="6" s="1"/>
  <c r="Q173" i="6"/>
  <c r="R173" i="6" s="1"/>
  <c r="AD170" i="6"/>
  <c r="Q150" i="6"/>
  <c r="R150" i="6" s="1"/>
  <c r="AA140" i="6"/>
  <c r="AA137" i="6"/>
  <c r="AA131" i="6"/>
  <c r="AA104" i="6"/>
  <c r="AD103" i="6"/>
  <c r="AA100" i="6"/>
  <c r="L70" i="6"/>
  <c r="AA61" i="6"/>
  <c r="L44" i="6"/>
  <c r="AA31" i="6"/>
  <c r="AD29" i="6"/>
  <c r="AA23" i="6"/>
  <c r="H105" i="8"/>
  <c r="L105" i="8" s="1"/>
  <c r="H42" i="8"/>
  <c r="L42" i="8" s="1"/>
  <c r="H34" i="8"/>
  <c r="L34" i="8" s="1"/>
  <c r="AD27" i="8"/>
  <c r="Q13" i="8"/>
  <c r="R13" i="8" s="1"/>
  <c r="Q262" i="6"/>
  <c r="R262" i="6" s="1"/>
  <c r="Q252" i="6"/>
  <c r="R252" i="6" s="1"/>
  <c r="AA243" i="6"/>
  <c r="AA238" i="6"/>
  <c r="AD207" i="6"/>
  <c r="AD205" i="6"/>
  <c r="AD178" i="6"/>
  <c r="AD173" i="6"/>
  <c r="Q149" i="6"/>
  <c r="R149" i="6" s="1"/>
  <c r="L144" i="6"/>
  <c r="AD142" i="6"/>
  <c r="AD99" i="6"/>
  <c r="Q83" i="6"/>
  <c r="R83" i="6" s="1"/>
  <c r="AA64" i="6"/>
  <c r="AA63" i="6"/>
  <c r="AA36" i="6"/>
  <c r="Z172" i="6"/>
  <c r="AA172" i="6" s="1"/>
  <c r="Q169" i="6"/>
  <c r="R169" i="6" s="1"/>
  <c r="Z144" i="6"/>
  <c r="AA144" i="6" s="1"/>
  <c r="L78" i="6"/>
  <c r="Q76" i="6"/>
  <c r="R76" i="6" s="1"/>
  <c r="L75" i="6"/>
  <c r="AD67" i="6"/>
  <c r="Q58" i="6"/>
  <c r="R58" i="6" s="1"/>
  <c r="AA29" i="6"/>
  <c r="AA28" i="6"/>
  <c r="Q23" i="6"/>
  <c r="R23" i="6" s="1"/>
  <c r="L101" i="11"/>
  <c r="AD40" i="6"/>
  <c r="AD76" i="6"/>
  <c r="Z192" i="6"/>
  <c r="AA192" i="6" s="1"/>
  <c r="Z188" i="6"/>
  <c r="AA188" i="6" s="1"/>
  <c r="Z184" i="6"/>
  <c r="AA184" i="6" s="1"/>
  <c r="Z180" i="6"/>
  <c r="AA180" i="6" s="1"/>
  <c r="Z176" i="6"/>
  <c r="AA176" i="6" s="1"/>
  <c r="AD166" i="6"/>
  <c r="Z148" i="6"/>
  <c r="AA148" i="6" s="1"/>
  <c r="H108" i="6"/>
  <c r="I108" i="6" s="1"/>
  <c r="L108" i="6" s="1"/>
  <c r="Z107" i="6"/>
  <c r="AA107" i="6" s="1"/>
  <c r="AD95" i="6"/>
  <c r="Z79" i="6"/>
  <c r="AA79" i="6" s="1"/>
  <c r="AD27" i="6"/>
  <c r="H104" i="6"/>
  <c r="I104" i="6" s="1"/>
  <c r="L104" i="6" s="1"/>
  <c r="AA103" i="6"/>
  <c r="L96" i="6"/>
  <c r="Z86" i="6"/>
  <c r="AA86" i="6" s="1"/>
  <c r="Q86" i="6"/>
  <c r="R86" i="6" s="1"/>
  <c r="Z82" i="6"/>
  <c r="AA82" i="6" s="1"/>
  <c r="Q75" i="6"/>
  <c r="R75" i="6" s="1"/>
  <c r="Q70" i="6"/>
  <c r="R70" i="6" s="1"/>
  <c r="AA67" i="6"/>
  <c r="Z38" i="6"/>
  <c r="AA38" i="6" s="1"/>
  <c r="Q31" i="6"/>
  <c r="R31" i="6" s="1"/>
  <c r="AD23" i="6"/>
  <c r="H50" i="11"/>
  <c r="I50" i="11" s="1"/>
  <c r="L50" i="11" s="1"/>
  <c r="Z156" i="6"/>
  <c r="AA156" i="6" s="1"/>
  <c r="Z99" i="6"/>
  <c r="AA99" i="6" s="1"/>
  <c r="Z84" i="6"/>
  <c r="AA84" i="6" s="1"/>
  <c r="Q78" i="6"/>
  <c r="R78" i="6" s="1"/>
  <c r="L77" i="6"/>
  <c r="Q63" i="6"/>
  <c r="R63" i="6" s="1"/>
  <c r="Z59" i="6"/>
  <c r="AA59" i="6" s="1"/>
  <c r="Z45" i="6"/>
  <c r="AA45" i="6" s="1"/>
  <c r="Q30" i="6"/>
  <c r="R30" i="6" s="1"/>
  <c r="H28" i="6"/>
  <c r="I28" i="6" s="1"/>
  <c r="L28" i="6" s="1"/>
  <c r="AD25" i="6"/>
  <c r="AD22" i="6"/>
  <c r="H12" i="6"/>
  <c r="I12" i="6" s="1"/>
  <c r="L12" i="6" s="1"/>
  <c r="L117" i="11"/>
  <c r="AD58" i="6"/>
  <c r="Q44" i="6"/>
  <c r="R44" i="6" s="1"/>
  <c r="H37" i="6"/>
  <c r="I37" i="6" s="1"/>
  <c r="L37" i="6" s="1"/>
  <c r="Q35" i="6"/>
  <c r="R35" i="6" s="1"/>
  <c r="Q33" i="6"/>
  <c r="R33" i="6" s="1"/>
  <c r="Z30" i="6"/>
  <c r="AA30" i="6" s="1"/>
  <c r="AD28" i="6"/>
  <c r="L62" i="11"/>
  <c r="H48" i="11"/>
  <c r="I48" i="11" s="1"/>
  <c r="L48" i="11" s="1"/>
  <c r="Q96" i="6"/>
  <c r="R96" i="6" s="1"/>
  <c r="AA65" i="6"/>
  <c r="U32" i="6"/>
  <c r="L30" i="6"/>
  <c r="L27" i="6"/>
  <c r="U23" i="6"/>
  <c r="AD12" i="6"/>
  <c r="H254" i="11"/>
  <c r="I254" i="11" s="1"/>
  <c r="L254" i="11" s="1"/>
  <c r="L150" i="11"/>
  <c r="L80" i="11"/>
  <c r="H30" i="11"/>
  <c r="I30" i="11" s="1"/>
  <c r="L30" i="11" s="1"/>
  <c r="AA94" i="6"/>
  <c r="H80" i="6"/>
  <c r="I80" i="6" s="1"/>
  <c r="L80" i="6" s="1"/>
  <c r="AD71" i="6"/>
  <c r="AD63" i="6"/>
  <c r="AD35" i="6"/>
  <c r="AA33" i="6"/>
  <c r="AD31" i="6"/>
  <c r="U30" i="6"/>
  <c r="AA24" i="6"/>
  <c r="Z12" i="6"/>
  <c r="AA12" i="6" s="1"/>
  <c r="L252" i="11"/>
  <c r="L76" i="11"/>
  <c r="AD130" i="6"/>
  <c r="Q97" i="6"/>
  <c r="R97" i="6" s="1"/>
  <c r="Z66" i="6"/>
  <c r="AA66" i="6" s="1"/>
  <c r="U61" i="6"/>
  <c r="Q34" i="6"/>
  <c r="R34" i="6" s="1"/>
  <c r="H29" i="6"/>
  <c r="I29" i="6" s="1"/>
  <c r="L29" i="6" s="1"/>
  <c r="Q27" i="6"/>
  <c r="R27" i="6" s="1"/>
  <c r="Q25" i="6"/>
  <c r="R25" i="6" s="1"/>
  <c r="L22" i="6"/>
  <c r="Z13" i="6"/>
  <c r="AA13" i="6" s="1"/>
  <c r="L74" i="11"/>
  <c r="H37" i="11"/>
  <c r="I37" i="11" s="1"/>
  <c r="L37" i="11" s="1"/>
  <c r="L33" i="11"/>
  <c r="Q47" i="6"/>
  <c r="R47" i="6" s="1"/>
  <c r="Z22" i="6"/>
  <c r="AA22" i="6" s="1"/>
  <c r="AD13" i="6"/>
  <c r="H68" i="11"/>
  <c r="I68" i="11" s="1"/>
  <c r="L68" i="11" s="1"/>
  <c r="H58" i="11"/>
  <c r="I58" i="11" s="1"/>
  <c r="L58" i="11" s="1"/>
  <c r="L31" i="11"/>
  <c r="AG243" i="12"/>
  <c r="G243" i="12" s="1"/>
  <c r="I243" i="12" s="1"/>
  <c r="L107" i="11"/>
  <c r="L66" i="11"/>
  <c r="L64" i="11"/>
  <c r="L29" i="11"/>
  <c r="AG209" i="12"/>
  <c r="G209" i="12" s="1"/>
  <c r="AG251" i="12"/>
  <c r="G251" i="12" s="1"/>
  <c r="AG260" i="12"/>
  <c r="G260" i="12" s="1"/>
  <c r="I260" i="12" s="1"/>
  <c r="AG126" i="21"/>
  <c r="G126" i="21" s="1"/>
  <c r="H265" i="11"/>
  <c r="I265" i="11" s="1"/>
  <c r="L265" i="11" s="1"/>
  <c r="H143" i="11"/>
  <c r="I143" i="11" s="1"/>
  <c r="L143" i="11" s="1"/>
  <c r="T20" i="19"/>
  <c r="U20" i="19" s="1"/>
  <c r="Z268" i="6"/>
  <c r="AA268" i="6" s="1"/>
  <c r="AF82" i="12"/>
  <c r="AG82" i="12" s="1"/>
  <c r="G82" i="12" s="1"/>
  <c r="Q43" i="6"/>
  <c r="R43" i="6" s="1"/>
  <c r="AG150" i="12"/>
  <c r="G150" i="12" s="1"/>
  <c r="F150" i="12" s="1"/>
  <c r="AG33" i="21"/>
  <c r="G33" i="21" s="1"/>
  <c r="H259" i="11"/>
  <c r="I259" i="11" s="1"/>
  <c r="L259" i="11" s="1"/>
  <c r="H120" i="11"/>
  <c r="I120" i="11" s="1"/>
  <c r="L120" i="11" s="1"/>
  <c r="H22" i="11"/>
  <c r="I22" i="11" s="1"/>
  <c r="L22" i="11" s="1"/>
  <c r="F22" i="11" s="1"/>
  <c r="U268" i="6"/>
  <c r="S21" i="20"/>
  <c r="S37" i="20"/>
  <c r="S46" i="20"/>
  <c r="S24" i="20"/>
  <c r="X24" i="20" s="1"/>
  <c r="S40" i="20"/>
  <c r="AF102" i="12"/>
  <c r="AG102" i="12" s="1"/>
  <c r="G102" i="12" s="1"/>
  <c r="H141" i="11"/>
  <c r="I141" i="11" s="1"/>
  <c r="L141" i="11" s="1"/>
  <c r="F141" i="11" s="1"/>
  <c r="H111" i="11"/>
  <c r="I111" i="11" s="1"/>
  <c r="L111" i="11" s="1"/>
  <c r="H72" i="11"/>
  <c r="I72" i="11" s="1"/>
  <c r="L72" i="11" s="1"/>
  <c r="H63" i="11"/>
  <c r="I63" i="11" s="1"/>
  <c r="L63" i="11" s="1"/>
  <c r="AF93" i="12"/>
  <c r="AG93" i="12" s="1"/>
  <c r="AG153" i="12"/>
  <c r="G153" i="12" s="1"/>
  <c r="F153" i="12" s="1"/>
  <c r="AM153" i="12" s="1"/>
  <c r="AG174" i="12"/>
  <c r="AG217" i="12"/>
  <c r="G217" i="12" s="1"/>
  <c r="AF258" i="12"/>
  <c r="AG258" i="12" s="1"/>
  <c r="G258" i="12" s="1"/>
  <c r="Z58" i="6"/>
  <c r="AA58" i="6" s="1"/>
  <c r="H69" i="11"/>
  <c r="I69" i="11" s="1"/>
  <c r="L69" i="11" s="1"/>
  <c r="H25" i="11"/>
  <c r="I25" i="11" s="1"/>
  <c r="L25" i="11" s="1"/>
  <c r="H23" i="11"/>
  <c r="I23" i="11" s="1"/>
  <c r="L23" i="11" s="1"/>
  <c r="F23" i="11" s="1"/>
  <c r="F5" i="16"/>
  <c r="S29" i="20"/>
  <c r="S56" i="20"/>
  <c r="AF16" i="12"/>
  <c r="AG16" i="12" s="1"/>
  <c r="G16" i="12" s="1"/>
  <c r="G93" i="12"/>
  <c r="AG121" i="12"/>
  <c r="G121" i="12" s="1"/>
  <c r="AF133" i="12"/>
  <c r="AG133" i="12" s="1"/>
  <c r="G133" i="12" s="1"/>
  <c r="AF137" i="12"/>
  <c r="AG137" i="12" s="1"/>
  <c r="G137" i="12" s="1"/>
  <c r="AF168" i="12"/>
  <c r="AG168" i="12" s="1"/>
  <c r="G168" i="12" s="1"/>
  <c r="S47" i="20"/>
  <c r="AF121" i="12"/>
  <c r="AF199" i="12"/>
  <c r="AG199" i="12" s="1"/>
  <c r="G199" i="12" s="1"/>
  <c r="AF257" i="12"/>
  <c r="AG257" i="12" s="1"/>
  <c r="G257" i="12" s="1"/>
  <c r="AF349" i="12"/>
  <c r="AG349" i="12" s="1"/>
  <c r="G349" i="12" s="1"/>
  <c r="AH129" i="21"/>
  <c r="AH361" i="12"/>
  <c r="AM361" i="12" s="1"/>
  <c r="AH318" i="12"/>
  <c r="AM318" i="12" s="1"/>
  <c r="AF8" i="12"/>
  <c r="AG8" i="12" s="1"/>
  <c r="G8" i="12" s="1"/>
  <c r="I8" i="12" s="1"/>
  <c r="AG88" i="12"/>
  <c r="G88" i="12" s="1"/>
  <c r="G174" i="12"/>
  <c r="AG278" i="12"/>
  <c r="G278" i="12" s="1"/>
  <c r="AF294" i="12"/>
  <c r="AG294" i="12" s="1"/>
  <c r="G294" i="12" s="1"/>
  <c r="W294" i="12" s="1"/>
  <c r="AF304" i="12"/>
  <c r="AG304" i="12" s="1"/>
  <c r="G304" i="12" s="1"/>
  <c r="I304" i="12" s="1"/>
  <c r="S53" i="20"/>
  <c r="AF60" i="12"/>
  <c r="AG60" i="12" s="1"/>
  <c r="G60" i="12" s="1"/>
  <c r="AF109" i="12"/>
  <c r="AG109" i="12" s="1"/>
  <c r="G109" i="12" s="1"/>
  <c r="I109" i="12" s="1"/>
  <c r="AF125" i="12"/>
  <c r="AF197" i="12"/>
  <c r="AG197" i="12" s="1"/>
  <c r="G197" i="12" s="1"/>
  <c r="W197" i="12" s="1"/>
  <c r="AA197" i="12" s="1"/>
  <c r="AF222" i="12"/>
  <c r="AG222" i="12" s="1"/>
  <c r="G222" i="12" s="1"/>
  <c r="AF226" i="12"/>
  <c r="AG226" i="12" s="1"/>
  <c r="G226" i="12" s="1"/>
  <c r="AF245" i="12"/>
  <c r="AG245" i="12" s="1"/>
  <c r="G245" i="12" s="1"/>
  <c r="AF256" i="12"/>
  <c r="AG256" i="12" s="1"/>
  <c r="G256" i="12" s="1"/>
  <c r="W256" i="12" s="1"/>
  <c r="AG35" i="21"/>
  <c r="G35" i="21" s="1"/>
  <c r="AH59" i="21"/>
  <c r="AF26" i="12"/>
  <c r="AG26" i="12" s="1"/>
  <c r="G26" i="12" s="1"/>
  <c r="AF58" i="12"/>
  <c r="AG58" i="12" s="1"/>
  <c r="G58" i="12" s="1"/>
  <c r="AF97" i="12"/>
  <c r="AG97" i="12" s="1"/>
  <c r="G97" i="12" s="1"/>
  <c r="AF155" i="12"/>
  <c r="AG155" i="12" s="1"/>
  <c r="G155" i="12" s="1"/>
  <c r="AF171" i="12"/>
  <c r="AG171" i="12" s="1"/>
  <c r="G171" i="12" s="1"/>
  <c r="AF221" i="12"/>
  <c r="AG221" i="12" s="1"/>
  <c r="G221" i="12" s="1"/>
  <c r="AF224" i="12"/>
  <c r="AG224" i="12" s="1"/>
  <c r="G224" i="12" s="1"/>
  <c r="I224" i="12" s="1"/>
  <c r="AF255" i="12"/>
  <c r="AG255" i="12" s="1"/>
  <c r="G255" i="12" s="1"/>
  <c r="AF262" i="12"/>
  <c r="AG262" i="12" s="1"/>
  <c r="G262" i="12" s="1"/>
  <c r="AF313" i="12"/>
  <c r="AG313" i="12" s="1"/>
  <c r="G313" i="12" s="1"/>
  <c r="AH328" i="12"/>
  <c r="AF332" i="12"/>
  <c r="AG332" i="12" s="1"/>
  <c r="G332" i="12" s="1"/>
  <c r="AH346" i="12"/>
  <c r="AH351" i="12"/>
  <c r="AF337" i="12"/>
  <c r="AG337" i="12" s="1"/>
  <c r="G337" i="12" s="1"/>
  <c r="AH19" i="21"/>
  <c r="AF49" i="21"/>
  <c r="AG49" i="21" s="1"/>
  <c r="G49" i="21" s="1"/>
  <c r="AH404" i="12"/>
  <c r="AH438" i="12"/>
  <c r="AF25" i="12"/>
  <c r="AG25" i="12" s="1"/>
  <c r="G25" i="12" s="1"/>
  <c r="W25" i="12" s="1"/>
  <c r="AF50" i="12"/>
  <c r="AG50" i="12" s="1"/>
  <c r="G50" i="12" s="1"/>
  <c r="AF89" i="12"/>
  <c r="AG89" i="12" s="1"/>
  <c r="G89" i="12" s="1"/>
  <c r="I89" i="12" s="1"/>
  <c r="AF108" i="12"/>
  <c r="AG108" i="12" s="1"/>
  <c r="G108" i="12" s="1"/>
  <c r="AF113" i="12"/>
  <c r="AG113" i="12" s="1"/>
  <c r="G113" i="12" s="1"/>
  <c r="AF130" i="12"/>
  <c r="AG130" i="12" s="1"/>
  <c r="G130" i="12" s="1"/>
  <c r="F130" i="12" s="1"/>
  <c r="AM130" i="12" s="1"/>
  <c r="AF169" i="12"/>
  <c r="AG169" i="12" s="1"/>
  <c r="G169" i="12" s="1"/>
  <c r="AF200" i="12"/>
  <c r="AG200" i="12" s="1"/>
  <c r="G200" i="12" s="1"/>
  <c r="I200" i="12" s="1"/>
  <c r="AF211" i="12"/>
  <c r="AG211" i="12" s="1"/>
  <c r="G211" i="12" s="1"/>
  <c r="AF301" i="12"/>
  <c r="AG301" i="12" s="1"/>
  <c r="G301" i="12" s="1"/>
  <c r="AF351" i="12"/>
  <c r="AG351" i="12" s="1"/>
  <c r="G351" i="12" s="1"/>
  <c r="AF14" i="21"/>
  <c r="AG14" i="21" s="1"/>
  <c r="G14" i="21" s="1"/>
  <c r="AF63" i="21"/>
  <c r="AG63" i="21" s="1"/>
  <c r="G63" i="21" s="1"/>
  <c r="F63" i="21" s="1"/>
  <c r="AM63" i="21" s="1"/>
  <c r="AH86" i="21"/>
  <c r="AF78" i="12"/>
  <c r="AG78" i="12" s="1"/>
  <c r="G78" i="12" s="1"/>
  <c r="F78" i="12" s="1"/>
  <c r="AF105" i="12"/>
  <c r="AG105" i="12" s="1"/>
  <c r="G105" i="12" s="1"/>
  <c r="AF185" i="12"/>
  <c r="AG185" i="12" s="1"/>
  <c r="G185" i="12" s="1"/>
  <c r="I185" i="12" s="1"/>
  <c r="AF216" i="12"/>
  <c r="AG216" i="12" s="1"/>
  <c r="G216" i="12" s="1"/>
  <c r="AF249" i="12"/>
  <c r="AG249" i="12" s="1"/>
  <c r="G249" i="12" s="1"/>
  <c r="AF273" i="12"/>
  <c r="AG273" i="12" s="1"/>
  <c r="G273" i="12" s="1"/>
  <c r="AF325" i="12"/>
  <c r="AG325" i="12" s="1"/>
  <c r="G325" i="12" s="1"/>
  <c r="AH52" i="21"/>
  <c r="AF77" i="12"/>
  <c r="AG77" i="12" s="1"/>
  <c r="G77" i="12" s="1"/>
  <c r="AF104" i="12"/>
  <c r="AG104" i="12" s="1"/>
  <c r="G104" i="12" s="1"/>
  <c r="W104" i="12" s="1"/>
  <c r="AF128" i="12"/>
  <c r="AG128" i="12" s="1"/>
  <c r="G128" i="12" s="1"/>
  <c r="F128" i="12" s="1"/>
  <c r="AM128" i="12" s="1"/>
  <c r="AG232" i="12"/>
  <c r="G232" i="12" s="1"/>
  <c r="AF248" i="12"/>
  <c r="AG248" i="12" s="1"/>
  <c r="G248" i="12" s="1"/>
  <c r="W248" i="12" s="1"/>
  <c r="AA248" i="12" s="1"/>
  <c r="AF266" i="12"/>
  <c r="AG266" i="12" s="1"/>
  <c r="G266" i="12" s="1"/>
  <c r="F266" i="12" s="1"/>
  <c r="AM266" i="12" s="1"/>
  <c r="AH291" i="12"/>
  <c r="AH304" i="12"/>
  <c r="AH315" i="12"/>
  <c r="AH252" i="12"/>
  <c r="AH262" i="12"/>
  <c r="AH216" i="12"/>
  <c r="AH226" i="12"/>
  <c r="AH236" i="12"/>
  <c r="AM236" i="12" s="1"/>
  <c r="AH189" i="12"/>
  <c r="AH199" i="12"/>
  <c r="AH210" i="12"/>
  <c r="AM210" i="12" s="1"/>
  <c r="AH153" i="12"/>
  <c r="AH174" i="12"/>
  <c r="AH112" i="12"/>
  <c r="AH122" i="12"/>
  <c r="AH125" i="12"/>
  <c r="AH133" i="12"/>
  <c r="AH76" i="12"/>
  <c r="AM76" i="12" s="1"/>
  <c r="AH86" i="12"/>
  <c r="AM86" i="12" s="1"/>
  <c r="AH40" i="12"/>
  <c r="AH42" i="12"/>
  <c r="AM42" i="12" s="1"/>
  <c r="AH49" i="12"/>
  <c r="AM49" i="12" s="1"/>
  <c r="AH52" i="12"/>
  <c r="AH59" i="12"/>
  <c r="AM59" i="12" s="1"/>
  <c r="AH70" i="12"/>
  <c r="AH13" i="12"/>
  <c r="AH23" i="12"/>
  <c r="AH340" i="12"/>
  <c r="AH47" i="21"/>
  <c r="AM47" i="21" s="1"/>
  <c r="AF310" i="12"/>
  <c r="AG310" i="12" s="1"/>
  <c r="G310" i="12" s="1"/>
  <c r="AF47" i="12"/>
  <c r="AG47" i="12" s="1"/>
  <c r="G47" i="12" s="1"/>
  <c r="AF68" i="12"/>
  <c r="AG68" i="12" s="1"/>
  <c r="G68" i="12" s="1"/>
  <c r="AF99" i="12"/>
  <c r="AG99" i="12" s="1"/>
  <c r="G99" i="12" s="1"/>
  <c r="F99" i="12" s="1"/>
  <c r="AF122" i="12"/>
  <c r="AG122" i="12" s="1"/>
  <c r="G122" i="12" s="1"/>
  <c r="AF165" i="12"/>
  <c r="AG165" i="12" s="1"/>
  <c r="G165" i="12" s="1"/>
  <c r="AF183" i="12"/>
  <c r="AG183" i="12" s="1"/>
  <c r="G183" i="12" s="1"/>
  <c r="W183" i="12" s="1"/>
  <c r="AF203" i="12"/>
  <c r="AG203" i="12" s="1"/>
  <c r="G203" i="12" s="1"/>
  <c r="F203" i="12" s="1"/>
  <c r="AM203" i="12" s="1"/>
  <c r="AF252" i="12"/>
  <c r="AG252" i="12" s="1"/>
  <c r="G252" i="12" s="1"/>
  <c r="AF263" i="12"/>
  <c r="AG263" i="12" s="1"/>
  <c r="G263" i="12" s="1"/>
  <c r="AF291" i="12"/>
  <c r="AG291" i="12" s="1"/>
  <c r="G291" i="12" s="1"/>
  <c r="F291" i="12" s="1"/>
  <c r="AF333" i="12"/>
  <c r="AG333" i="12" s="1"/>
  <c r="G333" i="12" s="1"/>
  <c r="AH343" i="12"/>
  <c r="AH9" i="21"/>
  <c r="AF67" i="21"/>
  <c r="AG67" i="21" s="1"/>
  <c r="G67" i="21" s="1"/>
  <c r="I67" i="21" s="1"/>
  <c r="AH365" i="12"/>
  <c r="AH406" i="12"/>
  <c r="AM406" i="12" s="1"/>
  <c r="AF112" i="12"/>
  <c r="AG112" i="12" s="1"/>
  <c r="G112" i="12" s="1"/>
  <c r="W112" i="12" s="1"/>
  <c r="AF147" i="12"/>
  <c r="AG147" i="12" s="1"/>
  <c r="G147" i="12" s="1"/>
  <c r="F147" i="12" s="1"/>
  <c r="AF208" i="12"/>
  <c r="AG208" i="12" s="1"/>
  <c r="G208" i="12" s="1"/>
  <c r="AF242" i="12"/>
  <c r="AG242" i="12" s="1"/>
  <c r="G242" i="12" s="1"/>
  <c r="AF250" i="12"/>
  <c r="AG250" i="12" s="1"/>
  <c r="G250" i="12" s="1"/>
  <c r="AF261" i="12"/>
  <c r="AF324" i="12"/>
  <c r="AG324" i="12" s="1"/>
  <c r="G324" i="12" s="1"/>
  <c r="F324" i="12" s="1"/>
  <c r="AM324" i="12" s="1"/>
  <c r="AF52" i="21"/>
  <c r="AG52" i="21" s="1"/>
  <c r="G52" i="21" s="1"/>
  <c r="AH123" i="21"/>
  <c r="AF218" i="12"/>
  <c r="AG218" i="12" s="1"/>
  <c r="G218" i="12" s="1"/>
  <c r="W218" i="12" s="1"/>
  <c r="AF288" i="12"/>
  <c r="AG288" i="12" s="1"/>
  <c r="G288" i="12" s="1"/>
  <c r="I288" i="12" s="1"/>
  <c r="AF296" i="12"/>
  <c r="AG296" i="12" s="1"/>
  <c r="G296" i="12" s="1"/>
  <c r="AF316" i="12"/>
  <c r="AG316" i="12" s="1"/>
  <c r="G316" i="12" s="1"/>
  <c r="F316" i="12" s="1"/>
  <c r="AH290" i="12"/>
  <c r="AM290" i="12" s="1"/>
  <c r="AH231" i="12"/>
  <c r="AH205" i="12"/>
  <c r="AG327" i="12"/>
  <c r="G327" i="12" s="1"/>
  <c r="AH67" i="21"/>
  <c r="AH360" i="12"/>
  <c r="AH372" i="12"/>
  <c r="AH441" i="12"/>
  <c r="AM441" i="12" s="1"/>
  <c r="AF434" i="12"/>
  <c r="AG434" i="12" s="1"/>
  <c r="G434" i="12" s="1"/>
  <c r="AH232" i="12"/>
  <c r="AH243" i="12"/>
  <c r="AH185" i="12"/>
  <c r="AH195" i="12"/>
  <c r="AH203" i="12"/>
  <c r="AH206" i="12"/>
  <c r="AM206" i="12" s="1"/>
  <c r="AH147" i="12"/>
  <c r="AH156" i="12"/>
  <c r="AM156" i="12" s="1"/>
  <c r="AH159" i="12"/>
  <c r="AH166" i="12"/>
  <c r="AH177" i="12"/>
  <c r="AH109" i="12"/>
  <c r="AH126" i="12"/>
  <c r="AM126" i="12" s="1"/>
  <c r="AH137" i="12"/>
  <c r="AH139" i="12"/>
  <c r="AM139" i="12" s="1"/>
  <c r="AH82" i="12"/>
  <c r="AH89" i="12"/>
  <c r="AH103" i="12"/>
  <c r="AM103" i="12" s="1"/>
  <c r="AH43" i="12"/>
  <c r="AH45" i="12"/>
  <c r="AM45" i="12" s="1"/>
  <c r="AH53" i="12"/>
  <c r="AH55" i="12"/>
  <c r="AH63" i="12"/>
  <c r="AH66" i="12"/>
  <c r="AM66" i="12" s="1"/>
  <c r="AH16" i="12"/>
  <c r="AH19" i="12"/>
  <c r="AH26" i="12"/>
  <c r="AH29" i="12"/>
  <c r="AH350" i="12"/>
  <c r="AM350" i="12" s="1"/>
  <c r="AH335" i="12"/>
  <c r="AM335" i="12" s="1"/>
  <c r="AH342" i="12"/>
  <c r="AF6" i="21"/>
  <c r="AG6" i="21" s="1"/>
  <c r="G6" i="21" s="1"/>
  <c r="I6" i="21" s="1"/>
  <c r="AF19" i="21"/>
  <c r="AG19" i="21" s="1"/>
  <c r="G19" i="21" s="1"/>
  <c r="AF60" i="21"/>
  <c r="AG60" i="21" s="1"/>
  <c r="G60" i="21" s="1"/>
  <c r="F60" i="21" s="1"/>
  <c r="AM60" i="21" s="1"/>
  <c r="AF72" i="21"/>
  <c r="AG72" i="21" s="1"/>
  <c r="G72" i="21" s="1"/>
  <c r="I72" i="21" s="1"/>
  <c r="AF41" i="21"/>
  <c r="AG41" i="21" s="1"/>
  <c r="G41" i="21" s="1"/>
  <c r="AF31" i="21"/>
  <c r="AG31" i="21" s="1"/>
  <c r="G31" i="21" s="1"/>
  <c r="F31" i="21" s="1"/>
  <c r="AH373" i="12"/>
  <c r="AH416" i="12"/>
  <c r="AM416" i="12" s="1"/>
  <c r="AH439" i="12"/>
  <c r="AM439" i="12" s="1"/>
  <c r="AF375" i="12"/>
  <c r="AG375" i="12" s="1"/>
  <c r="G375" i="12" s="1"/>
  <c r="AH443" i="12"/>
  <c r="AM443" i="12" s="1"/>
  <c r="AF323" i="12"/>
  <c r="AG323" i="12" s="1"/>
  <c r="G323" i="12" s="1"/>
  <c r="W323" i="12" s="1"/>
  <c r="AH333" i="12"/>
  <c r="AF120" i="21"/>
  <c r="AG120" i="21" s="1"/>
  <c r="G120" i="21" s="1"/>
  <c r="AH370" i="12"/>
  <c r="AH374" i="12"/>
  <c r="AH424" i="12"/>
  <c r="AH421" i="12"/>
  <c r="AM440" i="12"/>
  <c r="AF377" i="12"/>
  <c r="AG377" i="12" s="1"/>
  <c r="G377" i="12" s="1"/>
  <c r="F377" i="12" s="1"/>
  <c r="AM377" i="12" s="1"/>
  <c r="AF326" i="12"/>
  <c r="AG326" i="12" s="1"/>
  <c r="G326" i="12" s="1"/>
  <c r="W326" i="12" s="1"/>
  <c r="AH327" i="12"/>
  <c r="AH348" i="12"/>
  <c r="AF334" i="12"/>
  <c r="AG334" i="12" s="1"/>
  <c r="G334" i="12" s="1"/>
  <c r="F334" i="12" s="1"/>
  <c r="AM334" i="12" s="1"/>
  <c r="AF345" i="12"/>
  <c r="AG345" i="12" s="1"/>
  <c r="G345" i="12" s="1"/>
  <c r="I345" i="12" s="1"/>
  <c r="AH6" i="21"/>
  <c r="AF16" i="21"/>
  <c r="AG16" i="21" s="1"/>
  <c r="G16" i="21" s="1"/>
  <c r="AH38" i="21"/>
  <c r="AI39" i="21" s="1"/>
  <c r="AF66" i="21"/>
  <c r="AG66" i="21" s="1"/>
  <c r="G66" i="21" s="1"/>
  <c r="F66" i="21" s="1"/>
  <c r="AF70" i="21"/>
  <c r="AG70" i="21" s="1"/>
  <c r="G70" i="21" s="1"/>
  <c r="AH77" i="21"/>
  <c r="AF109" i="21"/>
  <c r="AG109" i="21" s="1"/>
  <c r="G109" i="21" s="1"/>
  <c r="I109" i="21" s="1"/>
  <c r="AH405" i="12"/>
  <c r="AM405" i="12" s="1"/>
  <c r="AH434" i="12"/>
  <c r="AF309" i="12"/>
  <c r="AG309" i="12" s="1"/>
  <c r="G309" i="12" s="1"/>
  <c r="W43" i="12"/>
  <c r="I43" i="12"/>
  <c r="F43" i="12"/>
  <c r="I341" i="12"/>
  <c r="W341" i="12"/>
  <c r="F341" i="12"/>
  <c r="AM341" i="12" s="1"/>
  <c r="F214" i="12"/>
  <c r="AM214" i="12" s="1"/>
  <c r="W214" i="12"/>
  <c r="I214" i="12"/>
  <c r="X265" i="12"/>
  <c r="Y265" i="12"/>
  <c r="AA265" i="12"/>
  <c r="W69" i="12"/>
  <c r="F69" i="12"/>
  <c r="AM69" i="12" s="1"/>
  <c r="I69" i="12"/>
  <c r="I58" i="12"/>
  <c r="F58" i="12"/>
  <c r="W58" i="12"/>
  <c r="I305" i="12"/>
  <c r="W305" i="12"/>
  <c r="F305" i="12"/>
  <c r="I194" i="12"/>
  <c r="F194" i="12"/>
  <c r="W194" i="12"/>
  <c r="F288" i="12"/>
  <c r="X160" i="12"/>
  <c r="Y160" i="12"/>
  <c r="I122" i="12"/>
  <c r="F122" i="12"/>
  <c r="AM122" i="12" s="1"/>
  <c r="AO289" i="12"/>
  <c r="AM289" i="12"/>
  <c r="AP289" i="12"/>
  <c r="AQ289" i="12"/>
  <c r="AT289" i="12"/>
  <c r="AQ306" i="12"/>
  <c r="AP306" i="12"/>
  <c r="AA361" i="12"/>
  <c r="X361" i="12"/>
  <c r="X277" i="12"/>
  <c r="F202" i="12"/>
  <c r="I202" i="12"/>
  <c r="F63" i="12"/>
  <c r="AM63" i="12" s="1"/>
  <c r="W63" i="12"/>
  <c r="I63" i="12"/>
  <c r="X353" i="12"/>
  <c r="AA353" i="12"/>
  <c r="Y353" i="12"/>
  <c r="I378" i="12"/>
  <c r="F378" i="12"/>
  <c r="AM378" i="12" s="1"/>
  <c r="F362" i="12"/>
  <c r="AM362" i="12" s="1"/>
  <c r="I362" i="12"/>
  <c r="W362" i="12"/>
  <c r="F72" i="21"/>
  <c r="AM72" i="21" s="1"/>
  <c r="I9" i="21"/>
  <c r="F9" i="21"/>
  <c r="AM9" i="21" s="1"/>
  <c r="W9" i="21"/>
  <c r="F57" i="21"/>
  <c r="AM57" i="21" s="1"/>
  <c r="I57" i="21"/>
  <c r="F94" i="12"/>
  <c r="AM94" i="12" s="1"/>
  <c r="I94" i="12"/>
  <c r="W94" i="12"/>
  <c r="W276" i="12"/>
  <c r="I276" i="12"/>
  <c r="F276" i="12"/>
  <c r="W318" i="12"/>
  <c r="I318" i="12"/>
  <c r="I326" i="12"/>
  <c r="AI110" i="21"/>
  <c r="Y111" i="12"/>
  <c r="X274" i="12"/>
  <c r="Y49" i="12"/>
  <c r="W344" i="12"/>
  <c r="F268" i="12"/>
  <c r="AM268" i="12" s="1"/>
  <c r="F352" i="12"/>
  <c r="AM352" i="12" s="1"/>
  <c r="AH296" i="12"/>
  <c r="AM52" i="12"/>
  <c r="X371" i="12"/>
  <c r="AA371" i="12"/>
  <c r="F340" i="12"/>
  <c r="W340" i="12"/>
  <c r="I84" i="12"/>
  <c r="F84" i="12"/>
  <c r="AM84" i="12" s="1"/>
  <c r="W84" i="12"/>
  <c r="F368" i="12"/>
  <c r="I368" i="12"/>
  <c r="W368" i="12"/>
  <c r="I104" i="12"/>
  <c r="F104" i="12"/>
  <c r="AM104" i="12" s="1"/>
  <c r="X42" i="12"/>
  <c r="Y42" i="12"/>
  <c r="AA42" i="12"/>
  <c r="AQ22" i="21"/>
  <c r="AP22" i="21"/>
  <c r="Y202" i="12"/>
  <c r="X202" i="12"/>
  <c r="AA326" i="12"/>
  <c r="Y326" i="12"/>
  <c r="X326" i="12"/>
  <c r="AA76" i="12"/>
  <c r="X306" i="12"/>
  <c r="AA372" i="12"/>
  <c r="X372" i="12"/>
  <c r="Y372" i="12"/>
  <c r="W279" i="12"/>
  <c r="I279" i="12"/>
  <c r="F279" i="12"/>
  <c r="AM279" i="12" s="1"/>
  <c r="W180" i="12"/>
  <c r="F180" i="12"/>
  <c r="AM180" i="12" s="1"/>
  <c r="W338" i="12"/>
  <c r="F338" i="12"/>
  <c r="AM338" i="12" s="1"/>
  <c r="I338" i="12"/>
  <c r="W137" i="12"/>
  <c r="F137" i="12"/>
  <c r="AM137" i="12" s="1"/>
  <c r="F365" i="12"/>
  <c r="AM365" i="12" s="1"/>
  <c r="I365" i="12"/>
  <c r="W365" i="12"/>
  <c r="W316" i="12"/>
  <c r="I316" i="12"/>
  <c r="Y32" i="12"/>
  <c r="AA32" i="12"/>
  <c r="X32" i="12"/>
  <c r="I218" i="12"/>
  <c r="F218" i="12"/>
  <c r="X57" i="21"/>
  <c r="Y57" i="21"/>
  <c r="F73" i="21"/>
  <c r="AM73" i="21" s="1"/>
  <c r="I73" i="21"/>
  <c r="W73" i="21"/>
  <c r="F166" i="12"/>
  <c r="AM166" i="12" s="1"/>
  <c r="I166" i="12"/>
  <c r="W166" i="12"/>
  <c r="F231" i="12"/>
  <c r="AM231" i="12" s="1"/>
  <c r="W231" i="12"/>
  <c r="I231" i="12"/>
  <c r="AA350" i="12"/>
  <c r="X350" i="12"/>
  <c r="AA10" i="12"/>
  <c r="Y10" i="12"/>
  <c r="W187" i="12"/>
  <c r="F187" i="12"/>
  <c r="AM187" i="12" s="1"/>
  <c r="W53" i="12"/>
  <c r="F53" i="12"/>
  <c r="AM53" i="12" s="1"/>
  <c r="I53" i="12"/>
  <c r="Y112" i="21"/>
  <c r="X112" i="21"/>
  <c r="AA112" i="21"/>
  <c r="W370" i="12"/>
  <c r="I370" i="12"/>
  <c r="F299" i="12"/>
  <c r="W299" i="12"/>
  <c r="I299" i="12"/>
  <c r="X292" i="12"/>
  <c r="Y292" i="12"/>
  <c r="F15" i="12"/>
  <c r="I15" i="12"/>
  <c r="W15" i="12"/>
  <c r="AA71" i="21"/>
  <c r="X71" i="21"/>
  <c r="Y71" i="21"/>
  <c r="W56" i="21"/>
  <c r="I56" i="21"/>
  <c r="F56" i="21"/>
  <c r="AM56" i="21" s="1"/>
  <c r="F70" i="21"/>
  <c r="AM70" i="21" s="1"/>
  <c r="W70" i="21"/>
  <c r="I70" i="21"/>
  <c r="W25" i="21"/>
  <c r="I25" i="21"/>
  <c r="F25" i="21"/>
  <c r="F84" i="21"/>
  <c r="AM84" i="21" s="1"/>
  <c r="W84" i="21"/>
  <c r="I84" i="21"/>
  <c r="F50" i="21"/>
  <c r="AM50" i="21" s="1"/>
  <c r="W50" i="21"/>
  <c r="I50" i="21"/>
  <c r="I54" i="12"/>
  <c r="F54" i="12"/>
  <c r="W54" i="12"/>
  <c r="I302" i="12"/>
  <c r="F302" i="12"/>
  <c r="W302" i="12"/>
  <c r="I153" i="12"/>
  <c r="W153" i="12"/>
  <c r="Y371" i="12"/>
  <c r="X356" i="12"/>
  <c r="W55" i="12"/>
  <c r="I340" i="12"/>
  <c r="Y274" i="12"/>
  <c r="AA339" i="12"/>
  <c r="Y120" i="12"/>
  <c r="Y253" i="12"/>
  <c r="W352" i="12"/>
  <c r="AM368" i="12"/>
  <c r="AM22" i="21"/>
  <c r="Y339" i="12"/>
  <c r="X120" i="12"/>
  <c r="X253" i="12"/>
  <c r="W133" i="12"/>
  <c r="I115" i="12"/>
  <c r="I180" i="12"/>
  <c r="AA57" i="21"/>
  <c r="Y117" i="12"/>
  <c r="AA117" i="12"/>
  <c r="W146" i="12"/>
  <c r="I146" i="12"/>
  <c r="F146" i="12"/>
  <c r="F267" i="12"/>
  <c r="W267" i="12"/>
  <c r="I271" i="12"/>
  <c r="F271" i="12"/>
  <c r="W271" i="12"/>
  <c r="F192" i="12"/>
  <c r="I192" i="12"/>
  <c r="W192" i="12"/>
  <c r="X86" i="21"/>
  <c r="Y86" i="21"/>
  <c r="AA86" i="21"/>
  <c r="I52" i="21"/>
  <c r="W52" i="21"/>
  <c r="X234" i="12"/>
  <c r="Y234" i="12"/>
  <c r="AA234" i="12"/>
  <c r="AA22" i="21"/>
  <c r="X115" i="12"/>
  <c r="Y115" i="12"/>
  <c r="AA115" i="12"/>
  <c r="Y343" i="12"/>
  <c r="AA343" i="12"/>
  <c r="I130" i="12"/>
  <c r="W130" i="12"/>
  <c r="W86" i="12"/>
  <c r="F86" i="12"/>
  <c r="AA270" i="12"/>
  <c r="Y270" i="12"/>
  <c r="X270" i="12"/>
  <c r="AA312" i="12"/>
  <c r="X312" i="12"/>
  <c r="Y312" i="12"/>
  <c r="I342" i="12"/>
  <c r="F342" i="12"/>
  <c r="AM342" i="12" s="1"/>
  <c r="W342" i="12"/>
  <c r="F151" i="12"/>
  <c r="AM151" i="12" s="1"/>
  <c r="I151" i="12"/>
  <c r="F41" i="12"/>
  <c r="AM41" i="12" s="1"/>
  <c r="I41" i="12"/>
  <c r="Y48" i="12"/>
  <c r="X48" i="12"/>
  <c r="F19" i="12"/>
  <c r="AM19" i="12" s="1"/>
  <c r="W19" i="12"/>
  <c r="I19" i="12"/>
  <c r="F297" i="12"/>
  <c r="AM297" i="12" s="1"/>
  <c r="I297" i="12"/>
  <c r="F77" i="21"/>
  <c r="AM77" i="21" s="1"/>
  <c r="I77" i="21"/>
  <c r="W77" i="21"/>
  <c r="I51" i="21"/>
  <c r="F51" i="21"/>
  <c r="AM51" i="21" s="1"/>
  <c r="W51" i="21"/>
  <c r="I49" i="21"/>
  <c r="F49" i="21"/>
  <c r="W49" i="21"/>
  <c r="I99" i="21"/>
  <c r="W99" i="21"/>
  <c r="F99" i="21"/>
  <c r="I38" i="21"/>
  <c r="W38" i="21"/>
  <c r="AA181" i="12"/>
  <c r="Y181" i="12"/>
  <c r="X181" i="12"/>
  <c r="F348" i="12"/>
  <c r="AM348" i="12" s="1"/>
  <c r="I348" i="12"/>
  <c r="W348" i="12"/>
  <c r="I57" i="12"/>
  <c r="F57" i="12"/>
  <c r="AM57" i="12" s="1"/>
  <c r="W287" i="12"/>
  <c r="F287" i="12"/>
  <c r="I287" i="12"/>
  <c r="AA198" i="12"/>
  <c r="X198" i="12"/>
  <c r="W138" i="12"/>
  <c r="I138" i="12"/>
  <c r="X103" i="12"/>
  <c r="Y103" i="12"/>
  <c r="AA103" i="12"/>
  <c r="F371" i="12"/>
  <c r="AM371" i="12" s="1"/>
  <c r="I371" i="12"/>
  <c r="I189" i="12"/>
  <c r="W189" i="12"/>
  <c r="F189" i="12"/>
  <c r="AM189" i="12" s="1"/>
  <c r="AO31" i="21"/>
  <c r="AT31" i="21"/>
  <c r="AQ31" i="21"/>
  <c r="AP31" i="21"/>
  <c r="AA229" i="12"/>
  <c r="Y229" i="12"/>
  <c r="X229" i="12"/>
  <c r="Y175" i="12"/>
  <c r="AA175" i="12"/>
  <c r="X175" i="12"/>
  <c r="F129" i="21"/>
  <c r="AM129" i="21" s="1"/>
  <c r="I129" i="21"/>
  <c r="W289" i="12"/>
  <c r="I289" i="12"/>
  <c r="X131" i="12"/>
  <c r="AA131" i="12"/>
  <c r="Y197" i="12"/>
  <c r="W60" i="12"/>
  <c r="W288" i="12"/>
  <c r="AM287" i="12"/>
  <c r="X343" i="12"/>
  <c r="X151" i="12"/>
  <c r="AA378" i="12"/>
  <c r="X197" i="12"/>
  <c r="AA48" i="12"/>
  <c r="Y297" i="12"/>
  <c r="W122" i="12"/>
  <c r="I120" i="12"/>
  <c r="X373" i="12"/>
  <c r="X57" i="12"/>
  <c r="F117" i="12"/>
  <c r="AM117" i="12" s="1"/>
  <c r="I137" i="12"/>
  <c r="W219" i="12"/>
  <c r="W347" i="12"/>
  <c r="W41" i="12"/>
  <c r="I96" i="12"/>
  <c r="F96" i="12"/>
  <c r="AM96" i="12" s="1"/>
  <c r="W96" i="12"/>
  <c r="AA35" i="12"/>
  <c r="X35" i="12"/>
  <c r="AA218" i="12"/>
  <c r="X218" i="12"/>
  <c r="Y218" i="12"/>
  <c r="I21" i="12"/>
  <c r="F21" i="12"/>
  <c r="AM21" i="12" s="1"/>
  <c r="W21" i="12"/>
  <c r="AP38" i="21"/>
  <c r="AQ38" i="21"/>
  <c r="AO38" i="21"/>
  <c r="AT38" i="21"/>
  <c r="W87" i="21"/>
  <c r="I87" i="21"/>
  <c r="F87" i="21"/>
  <c r="AM87" i="21" s="1"/>
  <c r="F323" i="12"/>
  <c r="X307" i="12"/>
  <c r="Y307" i="12"/>
  <c r="AA307" i="12"/>
  <c r="W150" i="12"/>
  <c r="I150" i="12"/>
  <c r="I176" i="12"/>
  <c r="W176" i="12"/>
  <c r="F176" i="12"/>
  <c r="AM176" i="12" s="1"/>
  <c r="W100" i="12"/>
  <c r="F100" i="12"/>
  <c r="AM100" i="12" s="1"/>
  <c r="AI121" i="21"/>
  <c r="F359" i="12"/>
  <c r="AM359" i="12" s="1"/>
  <c r="W359" i="12"/>
  <c r="I359" i="12"/>
  <c r="W28" i="12"/>
  <c r="I28" i="12"/>
  <c r="F28" i="12"/>
  <c r="AM28" i="12" s="1"/>
  <c r="I221" i="12"/>
  <c r="F221" i="12"/>
  <c r="W221" i="12"/>
  <c r="AP318" i="12"/>
  <c r="AT318" i="12"/>
  <c r="X79" i="12"/>
  <c r="Y79" i="12"/>
  <c r="W110" i="12"/>
  <c r="F110" i="12"/>
  <c r="AM110" i="12" s="1"/>
  <c r="Y335" i="12"/>
  <c r="X335" i="12"/>
  <c r="X18" i="12"/>
  <c r="AA18" i="12"/>
  <c r="Y18" i="12"/>
  <c r="W123" i="12"/>
  <c r="F123" i="12"/>
  <c r="AM123" i="12" s="1"/>
  <c r="I123" i="12"/>
  <c r="I270" i="12"/>
  <c r="F270" i="12"/>
  <c r="AM270" i="12" s="1"/>
  <c r="I79" i="12"/>
  <c r="F79" i="12"/>
  <c r="AM79" i="12" s="1"/>
  <c r="W169" i="12"/>
  <c r="I169" i="12"/>
  <c r="F169" i="12"/>
  <c r="AM169" i="12" s="1"/>
  <c r="W177" i="12"/>
  <c r="F177" i="12"/>
  <c r="F185" i="12"/>
  <c r="AM185" i="12" s="1"/>
  <c r="I197" i="12"/>
  <c r="F197" i="12"/>
  <c r="AM197" i="12" s="1"/>
  <c r="W261" i="12"/>
  <c r="I278" i="12"/>
  <c r="F278" i="12"/>
  <c r="AM278" i="12" s="1"/>
  <c r="W278" i="12"/>
  <c r="I313" i="12"/>
  <c r="F313" i="12"/>
  <c r="W313" i="12"/>
  <c r="AA184" i="12"/>
  <c r="W379" i="12"/>
  <c r="I356" i="12"/>
  <c r="F52" i="21"/>
  <c r="Y22" i="21"/>
  <c r="X184" i="12"/>
  <c r="X49" i="12"/>
  <c r="I344" i="12"/>
  <c r="W268" i="12"/>
  <c r="F379" i="12"/>
  <c r="AM379" i="12" s="1"/>
  <c r="AA58" i="21"/>
  <c r="X58" i="21"/>
  <c r="W6" i="21"/>
  <c r="X139" i="12"/>
  <c r="Y139" i="12"/>
  <c r="F52" i="12"/>
  <c r="W52" i="12"/>
  <c r="I52" i="12"/>
  <c r="W295" i="12"/>
  <c r="F295" i="12"/>
  <c r="I164" i="12"/>
  <c r="W164" i="12"/>
  <c r="F164" i="12"/>
  <c r="AM164" i="12" s="1"/>
  <c r="W233" i="12"/>
  <c r="I233" i="12"/>
  <c r="F243" i="12"/>
  <c r="AM243" i="12" s="1"/>
  <c r="W243" i="12"/>
  <c r="F312" i="12"/>
  <c r="I312" i="12"/>
  <c r="I58" i="21"/>
  <c r="F58" i="21"/>
  <c r="AM58" i="21" s="1"/>
  <c r="F109" i="21"/>
  <c r="W109" i="21"/>
  <c r="W90" i="21"/>
  <c r="I90" i="21"/>
  <c r="X134" i="12"/>
  <c r="Y134" i="12"/>
  <c r="AA134" i="12"/>
  <c r="I292" i="12"/>
  <c r="F292" i="12"/>
  <c r="W239" i="12"/>
  <c r="I239" i="12"/>
  <c r="F239" i="12"/>
  <c r="W106" i="21"/>
  <c r="F106" i="21"/>
  <c r="AA66" i="12"/>
  <c r="AA31" i="12"/>
  <c r="I160" i="12"/>
  <c r="W208" i="12"/>
  <c r="F260" i="12"/>
  <c r="AM260" i="12" s="1"/>
  <c r="W210" i="12"/>
  <c r="F37" i="12"/>
  <c r="AM37" i="12" s="1"/>
  <c r="F372" i="12"/>
  <c r="AM372" i="12" s="1"/>
  <c r="Y9" i="12"/>
  <c r="I295" i="12"/>
  <c r="W240" i="12"/>
  <c r="AM48" i="21"/>
  <c r="I88" i="21"/>
  <c r="F88" i="21"/>
  <c r="AM88" i="21" s="1"/>
  <c r="W76" i="21"/>
  <c r="F76" i="21"/>
  <c r="AM76" i="21" s="1"/>
  <c r="F346" i="12"/>
  <c r="W346" i="12"/>
  <c r="I346" i="12"/>
  <c r="I23" i="12"/>
  <c r="F23" i="12"/>
  <c r="AM23" i="12" s="1"/>
  <c r="I11" i="12"/>
  <c r="W11" i="12"/>
  <c r="F87" i="12"/>
  <c r="AM87" i="12" s="1"/>
  <c r="W87" i="12"/>
  <c r="I87" i="12"/>
  <c r="I256" i="12"/>
  <c r="F256" i="12"/>
  <c r="AM256" i="12" s="1"/>
  <c r="F229" i="12"/>
  <c r="I229" i="12"/>
  <c r="I181" i="12"/>
  <c r="F181" i="12"/>
  <c r="AM181" i="12" s="1"/>
  <c r="W374" i="12"/>
  <c r="F374" i="12"/>
  <c r="AM374" i="12" s="1"/>
  <c r="W8" i="12"/>
  <c r="F8" i="12"/>
  <c r="AM8" i="12" s="1"/>
  <c r="W85" i="21"/>
  <c r="I85" i="21"/>
  <c r="I69" i="21"/>
  <c r="W69" i="21"/>
  <c r="W48" i="21"/>
  <c r="I48" i="21"/>
  <c r="I227" i="12"/>
  <c r="W227" i="12"/>
  <c r="X9" i="12"/>
  <c r="AM49" i="21"/>
  <c r="AM271" i="12"/>
  <c r="AH353" i="12"/>
  <c r="AM353" i="12" s="1"/>
  <c r="AH437" i="12"/>
  <c r="AA336" i="12"/>
  <c r="AA24" i="12"/>
  <c r="Y40" i="12"/>
  <c r="Y7" i="12"/>
  <c r="F325" i="12"/>
  <c r="AM325" i="12" s="1"/>
  <c r="F193" i="12"/>
  <c r="AM193" i="12" s="1"/>
  <c r="W260" i="12"/>
  <c r="W6" i="12"/>
  <c r="F32" i="12"/>
  <c r="AM32" i="12" s="1"/>
  <c r="F48" i="12"/>
  <c r="F373" i="12"/>
  <c r="AM373" i="12" s="1"/>
  <c r="F360" i="12"/>
  <c r="AM360" i="12" s="1"/>
  <c r="I222" i="12"/>
  <c r="W158" i="12"/>
  <c r="X328" i="12"/>
  <c r="AM150" i="12"/>
  <c r="AM58" i="12"/>
  <c r="W23" i="12"/>
  <c r="W64" i="21"/>
  <c r="I64" i="21"/>
  <c r="I93" i="21"/>
  <c r="W93" i="21"/>
  <c r="F96" i="21"/>
  <c r="I96" i="21"/>
  <c r="AT300" i="12"/>
  <c r="AQ300" i="12"/>
  <c r="AO300" i="12"/>
  <c r="I234" i="12"/>
  <c r="F234" i="12"/>
  <c r="AM234" i="12" s="1"/>
  <c r="W89" i="12"/>
  <c r="F89" i="12"/>
  <c r="AM89" i="12" s="1"/>
  <c r="I190" i="12"/>
  <c r="W190" i="12"/>
  <c r="I161" i="12"/>
  <c r="W161" i="12"/>
  <c r="F161" i="12"/>
  <c r="AM161" i="12" s="1"/>
  <c r="F71" i="12"/>
  <c r="AM71" i="12" s="1"/>
  <c r="I71" i="12"/>
  <c r="X47" i="21"/>
  <c r="Y47" i="21"/>
  <c r="X290" i="12"/>
  <c r="AA290" i="12"/>
  <c r="AA28" i="21"/>
  <c r="X28" i="21"/>
  <c r="W68" i="21"/>
  <c r="I68" i="21"/>
  <c r="F68" i="21"/>
  <c r="AM68" i="21" s="1"/>
  <c r="F41" i="21"/>
  <c r="I41" i="21"/>
  <c r="W41" i="21"/>
  <c r="X300" i="12"/>
  <c r="I333" i="12"/>
  <c r="F333" i="12"/>
  <c r="AM333" i="12" s="1"/>
  <c r="W333" i="12"/>
  <c r="F13" i="12"/>
  <c r="AM13" i="12" s="1"/>
  <c r="I13" i="12"/>
  <c r="W13" i="12"/>
  <c r="F195" i="12"/>
  <c r="W195" i="12"/>
  <c r="I195" i="12"/>
  <c r="F149" i="12"/>
  <c r="AM149" i="12" s="1"/>
  <c r="W149" i="12"/>
  <c r="AA315" i="12"/>
  <c r="Y315" i="12"/>
  <c r="W99" i="12"/>
  <c r="I99" i="12"/>
  <c r="X7" i="12"/>
  <c r="Y256" i="12"/>
  <c r="W78" i="12"/>
  <c r="F307" i="12"/>
  <c r="F6" i="12"/>
  <c r="I353" i="12"/>
  <c r="Y103" i="21"/>
  <c r="AM90" i="21"/>
  <c r="AA139" i="12"/>
  <c r="AM190" i="12"/>
  <c r="Y71" i="12"/>
  <c r="F75" i="12"/>
  <c r="AM75" i="12" s="1"/>
  <c r="F376" i="12"/>
  <c r="I78" i="12"/>
  <c r="W360" i="12"/>
  <c r="F7" i="12"/>
  <c r="AM7" i="12" s="1"/>
  <c r="W209" i="12"/>
  <c r="AA103" i="21"/>
  <c r="I309" i="12"/>
  <c r="I226" i="12"/>
  <c r="W88" i="21"/>
  <c r="I86" i="21"/>
  <c r="W96" i="21"/>
  <c r="F233" i="12"/>
  <c r="AM233" i="12" s="1"/>
  <c r="I217" i="12"/>
  <c r="AM71" i="21"/>
  <c r="AM323" i="12"/>
  <c r="I232" i="12"/>
  <c r="F232" i="12"/>
  <c r="AM232" i="12" s="1"/>
  <c r="W232" i="12"/>
  <c r="I183" i="12"/>
  <c r="F183" i="12"/>
  <c r="AM183" i="12" s="1"/>
  <c r="W31" i="21"/>
  <c r="I31" i="21"/>
  <c r="I28" i="21"/>
  <c r="F28" i="21"/>
  <c r="AH306" i="12"/>
  <c r="AM306" i="12" s="1"/>
  <c r="AH317" i="12"/>
  <c r="AM317" i="12" s="1"/>
  <c r="AH255" i="12"/>
  <c r="AH265" i="12"/>
  <c r="AM265" i="12" s="1"/>
  <c r="AH276" i="12"/>
  <c r="AM276" i="12" s="1"/>
  <c r="AH218" i="12"/>
  <c r="AM218" i="12" s="1"/>
  <c r="AH228" i="12"/>
  <c r="AH239" i="12"/>
  <c r="AM239" i="12" s="1"/>
  <c r="AH182" i="12"/>
  <c r="AH192" i="12"/>
  <c r="AH202" i="12"/>
  <c r="AM202" i="12" s="1"/>
  <c r="AH146" i="12"/>
  <c r="AH155" i="12"/>
  <c r="AH165" i="12"/>
  <c r="AH115" i="12"/>
  <c r="AM115" i="12" s="1"/>
  <c r="AH136" i="12"/>
  <c r="AH88" i="12"/>
  <c r="AH99" i="12"/>
  <c r="AM99" i="12" s="1"/>
  <c r="AH62" i="12"/>
  <c r="AM62" i="12" s="1"/>
  <c r="AH6" i="12"/>
  <c r="AM6" i="12" s="1"/>
  <c r="AH15" i="12"/>
  <c r="AM15" i="12" s="1"/>
  <c r="AH25" i="12"/>
  <c r="AH36" i="12"/>
  <c r="AM343" i="12"/>
  <c r="AH28" i="21"/>
  <c r="AM28" i="21" s="1"/>
  <c r="AH376" i="12"/>
  <c r="I66" i="21"/>
  <c r="W66" i="21"/>
  <c r="F112" i="21"/>
  <c r="I112" i="21"/>
  <c r="F61" i="21"/>
  <c r="AM61" i="21" s="1"/>
  <c r="W61" i="21"/>
  <c r="I118" i="12"/>
  <c r="W118" i="12"/>
  <c r="F224" i="12"/>
  <c r="AM224" i="12" s="1"/>
  <c r="I156" i="12"/>
  <c r="W156" i="12"/>
  <c r="AM48" i="12"/>
  <c r="AM229" i="12"/>
  <c r="W59" i="21"/>
  <c r="F59" i="21"/>
  <c r="W65" i="21"/>
  <c r="F65" i="21"/>
  <c r="AM65" i="21" s="1"/>
  <c r="F175" i="12"/>
  <c r="AM175" i="12" s="1"/>
  <c r="I175" i="12"/>
  <c r="W188" i="12"/>
  <c r="I188" i="12"/>
  <c r="I123" i="21"/>
  <c r="AM85" i="21"/>
  <c r="AM52" i="21"/>
  <c r="AM66" i="21"/>
  <c r="AH112" i="21"/>
  <c r="W20" i="12"/>
  <c r="F20" i="12"/>
  <c r="AM20" i="12" s="1"/>
  <c r="W154" i="12"/>
  <c r="I154" i="12"/>
  <c r="AH345" i="12"/>
  <c r="AH25" i="21"/>
  <c r="AH74" i="21"/>
  <c r="AH31" i="21"/>
  <c r="AM31" i="21" s="1"/>
  <c r="AH408" i="12"/>
  <c r="AM195" i="12"/>
  <c r="W60" i="21"/>
  <c r="AI42" i="21"/>
  <c r="AM41" i="21"/>
  <c r="I92" i="12"/>
  <c r="F92" i="12"/>
  <c r="AM92" i="12" s="1"/>
  <c r="AH339" i="12"/>
  <c r="AM339" i="12" s="1"/>
  <c r="W200" i="12"/>
  <c r="F200" i="12"/>
  <c r="AM200" i="12" s="1"/>
  <c r="AH299" i="12"/>
  <c r="AM299" i="12" s="1"/>
  <c r="AH309" i="12"/>
  <c r="AH267" i="12"/>
  <c r="AH221" i="12"/>
  <c r="AH242" i="12"/>
  <c r="AH194" i="12"/>
  <c r="AM194" i="12" s="1"/>
  <c r="AH148" i="12"/>
  <c r="AM148" i="12" s="1"/>
  <c r="AH168" i="12"/>
  <c r="AH108" i="12"/>
  <c r="AH127" i="12"/>
  <c r="AM127" i="12" s="1"/>
  <c r="AH138" i="12"/>
  <c r="AM138" i="12" s="1"/>
  <c r="AH81" i="12"/>
  <c r="AM81" i="12" s="1"/>
  <c r="AH102" i="12"/>
  <c r="AH44" i="12"/>
  <c r="AM44" i="12" s="1"/>
  <c r="AH54" i="12"/>
  <c r="AM54" i="12" s="1"/>
  <c r="AH18" i="12"/>
  <c r="AH442" i="12"/>
  <c r="AM442" i="12" s="1"/>
  <c r="AJ207" i="6" l="1"/>
  <c r="W208" i="6"/>
  <c r="X208" i="6" s="1"/>
  <c r="N208" i="6"/>
  <c r="O208" i="6" s="1"/>
  <c r="W173" i="8"/>
  <c r="X173" i="8" s="1"/>
  <c r="N173" i="8"/>
  <c r="O173" i="8" s="1"/>
  <c r="N145" i="8"/>
  <c r="O145" i="8" s="1"/>
  <c r="W145" i="8"/>
  <c r="X145" i="8" s="1"/>
  <c r="W61" i="6"/>
  <c r="X61" i="6" s="1"/>
  <c r="N61" i="6"/>
  <c r="O61" i="6" s="1"/>
  <c r="W49" i="8"/>
  <c r="X49" i="8" s="1"/>
  <c r="N49" i="8"/>
  <c r="O49" i="8" s="1"/>
  <c r="W144" i="8"/>
  <c r="X144" i="8" s="1"/>
  <c r="N144" i="8"/>
  <c r="O144" i="8" s="1"/>
  <c r="N97" i="6"/>
  <c r="O97" i="6" s="1"/>
  <c r="W97" i="6"/>
  <c r="X97" i="6" s="1"/>
  <c r="N62" i="8"/>
  <c r="O62" i="8" s="1"/>
  <c r="W62" i="8"/>
  <c r="X62" i="8" s="1"/>
  <c r="AM82" i="12"/>
  <c r="I434" i="12"/>
  <c r="F434" i="12"/>
  <c r="W434" i="12"/>
  <c r="I257" i="12"/>
  <c r="F257" i="12"/>
  <c r="AM257" i="12" s="1"/>
  <c r="W257" i="12"/>
  <c r="N137" i="8"/>
  <c r="O137" i="8" s="1"/>
  <c r="W137" i="8"/>
  <c r="X137" i="8" s="1"/>
  <c r="N78" i="8"/>
  <c r="O78" i="8" s="1"/>
  <c r="W78" i="8"/>
  <c r="X78" i="8" s="1"/>
  <c r="W259" i="8"/>
  <c r="X259" i="8" s="1"/>
  <c r="N259" i="8"/>
  <c r="O259" i="8" s="1"/>
  <c r="I420" i="12"/>
  <c r="F420" i="12"/>
  <c r="AM420" i="12" s="1"/>
  <c r="W420" i="12"/>
  <c r="W182" i="8"/>
  <c r="X182" i="8" s="1"/>
  <c r="N182" i="8"/>
  <c r="O182" i="8" s="1"/>
  <c r="W265" i="6"/>
  <c r="X265" i="6" s="1"/>
  <c r="N265" i="6"/>
  <c r="O265" i="6" s="1"/>
  <c r="N176" i="6"/>
  <c r="O176" i="6" s="1"/>
  <c r="W176" i="6"/>
  <c r="X176" i="6" s="1"/>
  <c r="W261" i="6"/>
  <c r="X261" i="6" s="1"/>
  <c r="N261" i="6"/>
  <c r="O261" i="6" s="1"/>
  <c r="I258" i="12"/>
  <c r="F258" i="12"/>
  <c r="AM258" i="12" s="1"/>
  <c r="W258" i="12"/>
  <c r="I242" i="12"/>
  <c r="W242" i="12"/>
  <c r="AA242" i="12" s="1"/>
  <c r="F242" i="12"/>
  <c r="AM242" i="12" s="1"/>
  <c r="W243" i="8"/>
  <c r="X243" i="8" s="1"/>
  <c r="N243" i="8"/>
  <c r="O243" i="8" s="1"/>
  <c r="AM125" i="12"/>
  <c r="I172" i="12"/>
  <c r="W172" i="12"/>
  <c r="F172" i="12"/>
  <c r="AM172" i="12" s="1"/>
  <c r="W241" i="6"/>
  <c r="X241" i="6" s="1"/>
  <c r="N241" i="6"/>
  <c r="O241" i="6" s="1"/>
  <c r="W30" i="8"/>
  <c r="X30" i="8" s="1"/>
  <c r="N30" i="8"/>
  <c r="O30" i="8" s="1"/>
  <c r="W205" i="6"/>
  <c r="X205" i="6" s="1"/>
  <c r="N205" i="6"/>
  <c r="O205" i="6" s="1"/>
  <c r="W213" i="6"/>
  <c r="X213" i="6" s="1"/>
  <c r="N213" i="6"/>
  <c r="O213" i="6" s="1"/>
  <c r="N66" i="6"/>
  <c r="O66" i="6" s="1"/>
  <c r="W66" i="6"/>
  <c r="X66" i="6" s="1"/>
  <c r="W263" i="12"/>
  <c r="F263" i="12"/>
  <c r="AM263" i="12" s="1"/>
  <c r="I263" i="12"/>
  <c r="F249" i="12"/>
  <c r="AM249" i="12" s="1"/>
  <c r="W249" i="12"/>
  <c r="I249" i="12"/>
  <c r="W257" i="6"/>
  <c r="X257" i="6" s="1"/>
  <c r="N257" i="6"/>
  <c r="O257" i="6" s="1"/>
  <c r="N228" i="6"/>
  <c r="O228" i="6" s="1"/>
  <c r="W228" i="6"/>
  <c r="X228" i="6" s="1"/>
  <c r="W255" i="12"/>
  <c r="I255" i="12"/>
  <c r="F255" i="12"/>
  <c r="AM255" i="12" s="1"/>
  <c r="E96" i="6"/>
  <c r="F96" i="6" s="1"/>
  <c r="AE96" i="6"/>
  <c r="F133" i="8"/>
  <c r="AE133" i="8"/>
  <c r="E133" i="8"/>
  <c r="E41" i="8"/>
  <c r="AE41" i="8"/>
  <c r="F41" i="8"/>
  <c r="E214" i="8"/>
  <c r="F214" i="8" s="1"/>
  <c r="AE214" i="8"/>
  <c r="N193" i="8"/>
  <c r="O193" i="8" s="1"/>
  <c r="W193" i="8"/>
  <c r="X193" i="8" s="1"/>
  <c r="W250" i="6"/>
  <c r="X250" i="6" s="1"/>
  <c r="N250" i="6"/>
  <c r="O250" i="6" s="1"/>
  <c r="N81" i="8"/>
  <c r="O81" i="8" s="1"/>
  <c r="W81" i="8"/>
  <c r="X81" i="8" s="1"/>
  <c r="AE27" i="5"/>
  <c r="AU27" i="5" s="1"/>
  <c r="AI27" i="5"/>
  <c r="N96" i="8"/>
  <c r="O96" i="8" s="1"/>
  <c r="W96" i="8"/>
  <c r="X96" i="8" s="1"/>
  <c r="AF262" i="8"/>
  <c r="AR262" i="8" s="1"/>
  <c r="AJ262" i="8"/>
  <c r="N181" i="8"/>
  <c r="O181" i="8" s="1"/>
  <c r="W181" i="8"/>
  <c r="X181" i="8" s="1"/>
  <c r="W249" i="8"/>
  <c r="X249" i="8" s="1"/>
  <c r="N249" i="8"/>
  <c r="O249" i="8" s="1"/>
  <c r="N266" i="6"/>
  <c r="O266" i="6" s="1"/>
  <c r="W266" i="6"/>
  <c r="X266" i="6" s="1"/>
  <c r="W437" i="12"/>
  <c r="F437" i="12"/>
  <c r="I437" i="12"/>
  <c r="AJ213" i="6"/>
  <c r="AF213" i="6"/>
  <c r="AR213" i="6" s="1"/>
  <c r="N23" i="8"/>
  <c r="O23" i="8" s="1"/>
  <c r="W23" i="8"/>
  <c r="X23" i="8" s="1"/>
  <c r="W13" i="8"/>
  <c r="X13" i="8" s="1"/>
  <c r="N13" i="8"/>
  <c r="O13" i="8" s="1"/>
  <c r="Y419" i="12"/>
  <c r="X419" i="12"/>
  <c r="AA419" i="12"/>
  <c r="AA357" i="12"/>
  <c r="X357" i="12"/>
  <c r="Y357" i="12"/>
  <c r="AT315" i="12"/>
  <c r="AQ315" i="12"/>
  <c r="AM74" i="21"/>
  <c r="AM59" i="21"/>
  <c r="Y65" i="12"/>
  <c r="F6" i="21"/>
  <c r="AM6" i="21" s="1"/>
  <c r="AM177" i="12"/>
  <c r="I323" i="12"/>
  <c r="Y306" i="12"/>
  <c r="W72" i="21"/>
  <c r="AA277" i="12"/>
  <c r="F309" i="12"/>
  <c r="AM309" i="12" s="1"/>
  <c r="W309" i="12"/>
  <c r="I16" i="21"/>
  <c r="F16" i="21"/>
  <c r="F47" i="12"/>
  <c r="AM47" i="12" s="1"/>
  <c r="I47" i="12"/>
  <c r="W47" i="12"/>
  <c r="AM226" i="12"/>
  <c r="I14" i="21"/>
  <c r="F14" i="21"/>
  <c r="W14" i="21"/>
  <c r="W108" i="12"/>
  <c r="I108" i="12"/>
  <c r="F108" i="12"/>
  <c r="AM108" i="12" s="1"/>
  <c r="I337" i="12"/>
  <c r="W337" i="12"/>
  <c r="F337" i="12"/>
  <c r="AM337" i="12" s="1"/>
  <c r="F35" i="21"/>
  <c r="W35" i="21"/>
  <c r="I35" i="21"/>
  <c r="F60" i="12"/>
  <c r="AM60" i="12" s="1"/>
  <c r="I60" i="12"/>
  <c r="F88" i="12"/>
  <c r="AM88" i="12" s="1"/>
  <c r="I88" i="12"/>
  <c r="W88" i="12"/>
  <c r="W199" i="12"/>
  <c r="I199" i="12"/>
  <c r="F199" i="12"/>
  <c r="AM199" i="12" s="1"/>
  <c r="F16" i="12"/>
  <c r="AM16" i="12" s="1"/>
  <c r="I16" i="12"/>
  <c r="M141" i="11"/>
  <c r="R141" i="11"/>
  <c r="S141" i="11" s="1"/>
  <c r="T141" i="11" s="1"/>
  <c r="U141" i="11" s="1"/>
  <c r="E64" i="11"/>
  <c r="F64" i="11"/>
  <c r="F252" i="11"/>
  <c r="E252" i="11"/>
  <c r="E12" i="6"/>
  <c r="F12" i="6" s="1"/>
  <c r="AE12" i="6"/>
  <c r="AE77" i="6"/>
  <c r="E77" i="6"/>
  <c r="F77" i="6" s="1"/>
  <c r="E101" i="11"/>
  <c r="F101" i="11" s="1"/>
  <c r="AE78" i="6"/>
  <c r="E78" i="6"/>
  <c r="F78" i="6"/>
  <c r="AE105" i="8"/>
  <c r="E105" i="8"/>
  <c r="F105" i="8" s="1"/>
  <c r="E173" i="6"/>
  <c r="F173" i="6" s="1"/>
  <c r="AE173" i="6"/>
  <c r="AE27" i="8"/>
  <c r="E27" i="8"/>
  <c r="F27" i="8"/>
  <c r="AE140" i="8"/>
  <c r="E140" i="8"/>
  <c r="F140" i="8"/>
  <c r="E114" i="8"/>
  <c r="AE114" i="8"/>
  <c r="F114" i="8"/>
  <c r="AE64" i="8"/>
  <c r="E64" i="8"/>
  <c r="F64" i="8" s="1"/>
  <c r="E175" i="6"/>
  <c r="F175" i="6"/>
  <c r="AE175" i="6"/>
  <c r="AE135" i="8"/>
  <c r="E135" i="8"/>
  <c r="F135" i="8" s="1"/>
  <c r="AE216" i="8"/>
  <c r="E216" i="8"/>
  <c r="F216" i="8"/>
  <c r="E252" i="8"/>
  <c r="F252" i="8" s="1"/>
  <c r="AE252" i="8"/>
  <c r="AF176" i="8"/>
  <c r="AR176" i="8" s="1"/>
  <c r="AJ176" i="8"/>
  <c r="W148" i="8"/>
  <c r="X148" i="8" s="1"/>
  <c r="N148" i="8"/>
  <c r="O148" i="8" s="1"/>
  <c r="W258" i="8"/>
  <c r="X258" i="8" s="1"/>
  <c r="N258" i="8"/>
  <c r="O258" i="8" s="1"/>
  <c r="W168" i="6"/>
  <c r="X168" i="6" s="1"/>
  <c r="N168" i="6"/>
  <c r="O168" i="6" s="1"/>
  <c r="E210" i="8"/>
  <c r="F210" i="8" s="1"/>
  <c r="AE210" i="8"/>
  <c r="N205" i="8"/>
  <c r="O205" i="8" s="1"/>
  <c r="W205" i="8"/>
  <c r="X205" i="8" s="1"/>
  <c r="N194" i="8"/>
  <c r="O194" i="8" s="1"/>
  <c r="W194" i="8"/>
  <c r="X194" i="8" s="1"/>
  <c r="M81" i="5"/>
  <c r="V81" i="5"/>
  <c r="W81" i="5" s="1"/>
  <c r="AE58" i="5"/>
  <c r="AU58" i="5" s="1"/>
  <c r="AI58" i="5"/>
  <c r="AJ194" i="6"/>
  <c r="AF194" i="6"/>
  <c r="AR194" i="6" s="1"/>
  <c r="N65" i="8"/>
  <c r="O65" i="8" s="1"/>
  <c r="W65" i="8"/>
  <c r="X65" i="8" s="1"/>
  <c r="N179" i="8"/>
  <c r="O179" i="8" s="1"/>
  <c r="W179" i="8"/>
  <c r="X179" i="8" s="1"/>
  <c r="AI54" i="5"/>
  <c r="AE54" i="5"/>
  <c r="AU54" i="5" s="1"/>
  <c r="V31" i="5"/>
  <c r="W31" i="5" s="1"/>
  <c r="M31" i="5"/>
  <c r="N31" i="5" s="1"/>
  <c r="R146" i="11"/>
  <c r="S146" i="11" s="1"/>
  <c r="T146" i="11" s="1"/>
  <c r="U146" i="11" s="1"/>
  <c r="V146" i="11"/>
  <c r="W146" i="11" s="1"/>
  <c r="X146" i="11" s="1"/>
  <c r="Y146" i="11" s="1"/>
  <c r="M146" i="11"/>
  <c r="E172" i="8"/>
  <c r="F172" i="8"/>
  <c r="AE172" i="8"/>
  <c r="N247" i="8"/>
  <c r="O247" i="8" s="1"/>
  <c r="W247" i="8"/>
  <c r="X247" i="8" s="1"/>
  <c r="W263" i="6"/>
  <c r="X263" i="6" s="1"/>
  <c r="N263" i="6"/>
  <c r="O263" i="6" s="1"/>
  <c r="AJ31" i="5"/>
  <c r="AO31" i="5" s="1"/>
  <c r="AM31" i="5"/>
  <c r="E34" i="5"/>
  <c r="AD34" i="5"/>
  <c r="AF181" i="8"/>
  <c r="AR181" i="8" s="1"/>
  <c r="AJ181" i="8"/>
  <c r="N155" i="11"/>
  <c r="P155" i="11" s="1"/>
  <c r="O155" i="11"/>
  <c r="Q155" i="11" s="1"/>
  <c r="AJ61" i="5"/>
  <c r="AO61" i="5" s="1"/>
  <c r="AM61" i="5"/>
  <c r="AF241" i="6"/>
  <c r="AR241" i="6" s="1"/>
  <c r="AJ241" i="6"/>
  <c r="W258" i="6"/>
  <c r="X258" i="6" s="1"/>
  <c r="N258" i="6"/>
  <c r="O258" i="6" s="1"/>
  <c r="AD79" i="5"/>
  <c r="E79" i="5"/>
  <c r="AL36" i="6"/>
  <c r="AK36" i="6"/>
  <c r="AP438" i="12"/>
  <c r="AO438" i="12"/>
  <c r="AT438" i="12"/>
  <c r="AQ438" i="12"/>
  <c r="AF206" i="6"/>
  <c r="AR206" i="6" s="1"/>
  <c r="AJ206" i="6"/>
  <c r="AD52" i="5"/>
  <c r="E52" i="5"/>
  <c r="W203" i="6"/>
  <c r="X203" i="6" s="1"/>
  <c r="N203" i="6"/>
  <c r="O203" i="6" s="1"/>
  <c r="W132" i="11"/>
  <c r="X132" i="11" s="1"/>
  <c r="M132" i="11"/>
  <c r="Y366" i="12"/>
  <c r="X366" i="12"/>
  <c r="AA366" i="12"/>
  <c r="AK137" i="6"/>
  <c r="AL137" i="6"/>
  <c r="AK153" i="6"/>
  <c r="AL153" i="6"/>
  <c r="W133" i="11"/>
  <c r="X133" i="11" s="1"/>
  <c r="M133" i="11"/>
  <c r="AK205" i="6"/>
  <c r="AL205" i="6"/>
  <c r="AQ442" i="12"/>
  <c r="AO442" i="12"/>
  <c r="AP442" i="12"/>
  <c r="AT442" i="12"/>
  <c r="Y435" i="12"/>
  <c r="AA435" i="12"/>
  <c r="X435" i="12"/>
  <c r="AM18" i="12"/>
  <c r="I60" i="21"/>
  <c r="AM25" i="21"/>
  <c r="X65" i="12"/>
  <c r="I147" i="12"/>
  <c r="AM340" i="12"/>
  <c r="F326" i="12"/>
  <c r="AM326" i="12" s="1"/>
  <c r="AM434" i="12"/>
  <c r="AM421" i="12"/>
  <c r="W375" i="12"/>
  <c r="F375" i="12"/>
  <c r="AM375" i="12" s="1"/>
  <c r="I375" i="12"/>
  <c r="W19" i="21"/>
  <c r="I19" i="21"/>
  <c r="F19" i="21"/>
  <c r="W252" i="12"/>
  <c r="F252" i="12"/>
  <c r="AM252" i="12" s="1"/>
  <c r="I252" i="12"/>
  <c r="I310" i="12"/>
  <c r="F310" i="12"/>
  <c r="W310" i="12"/>
  <c r="I216" i="12"/>
  <c r="W216" i="12"/>
  <c r="F216" i="12"/>
  <c r="AM216" i="12" s="1"/>
  <c r="I351" i="12"/>
  <c r="W351" i="12"/>
  <c r="F351" i="12"/>
  <c r="AM351" i="12" s="1"/>
  <c r="AA256" i="12"/>
  <c r="X256" i="12"/>
  <c r="AB53" i="20"/>
  <c r="X53" i="20"/>
  <c r="T53" i="20"/>
  <c r="Y53" i="20"/>
  <c r="U53" i="20"/>
  <c r="AB56" i="20"/>
  <c r="X56" i="20"/>
  <c r="Y56" i="20" s="1"/>
  <c r="T56" i="20"/>
  <c r="U56" i="20"/>
  <c r="W217" i="12"/>
  <c r="F217" i="12"/>
  <c r="AM217" i="12" s="1"/>
  <c r="I102" i="12"/>
  <c r="F102" i="12"/>
  <c r="W102" i="12"/>
  <c r="E120" i="11"/>
  <c r="F120" i="11" s="1"/>
  <c r="E143" i="11"/>
  <c r="F143" i="11"/>
  <c r="R143" i="11" s="1"/>
  <c r="S143" i="11" s="1"/>
  <c r="T143" i="11" s="1"/>
  <c r="U143" i="11" s="1"/>
  <c r="E66" i="11"/>
  <c r="F66" i="11" s="1"/>
  <c r="E29" i="6"/>
  <c r="F29" i="6"/>
  <c r="AE29" i="6"/>
  <c r="E80" i="6"/>
  <c r="F80" i="6"/>
  <c r="AE80" i="6"/>
  <c r="E27" i="6"/>
  <c r="F27" i="6"/>
  <c r="AE27" i="6"/>
  <c r="E104" i="6"/>
  <c r="F104" i="6" s="1"/>
  <c r="AE104" i="6"/>
  <c r="E69" i="6"/>
  <c r="F69" i="6" s="1"/>
  <c r="AE69" i="6"/>
  <c r="E68" i="6"/>
  <c r="F68" i="6" s="1"/>
  <c r="AE68" i="6"/>
  <c r="AE156" i="8"/>
  <c r="E156" i="8"/>
  <c r="F156" i="8"/>
  <c r="AE106" i="6"/>
  <c r="E106" i="6"/>
  <c r="F106" i="6"/>
  <c r="AE107" i="8"/>
  <c r="E107" i="8"/>
  <c r="F107" i="8" s="1"/>
  <c r="E122" i="8"/>
  <c r="AE122" i="8"/>
  <c r="F122" i="8"/>
  <c r="AE150" i="6"/>
  <c r="F150" i="6"/>
  <c r="E150" i="6"/>
  <c r="F61" i="8"/>
  <c r="AE61" i="8"/>
  <c r="E61" i="8"/>
  <c r="N184" i="6"/>
  <c r="O184" i="6" s="1"/>
  <c r="W184" i="6"/>
  <c r="X184" i="6" s="1"/>
  <c r="W70" i="8"/>
  <c r="X70" i="8" s="1"/>
  <c r="N70" i="8"/>
  <c r="O70" i="8" s="1"/>
  <c r="AF148" i="8"/>
  <c r="AR148" i="8" s="1"/>
  <c r="AJ148" i="8"/>
  <c r="E191" i="8"/>
  <c r="F191" i="8" s="1"/>
  <c r="AE191" i="8"/>
  <c r="AE261" i="8"/>
  <c r="E261" i="8"/>
  <c r="F261" i="8" s="1"/>
  <c r="W123" i="8"/>
  <c r="X123" i="8" s="1"/>
  <c r="N123" i="8"/>
  <c r="O123" i="8" s="1"/>
  <c r="E228" i="8"/>
  <c r="F228" i="8" s="1"/>
  <c r="AE228" i="8"/>
  <c r="N73" i="8"/>
  <c r="O73" i="8" s="1"/>
  <c r="W73" i="8"/>
  <c r="X73" i="8" s="1"/>
  <c r="F176" i="11"/>
  <c r="E176" i="11"/>
  <c r="AF205" i="8"/>
  <c r="AR205" i="8" s="1"/>
  <c r="AJ205" i="8"/>
  <c r="AF66" i="8"/>
  <c r="AR66" i="8" s="1"/>
  <c r="AJ66" i="8"/>
  <c r="AF40" i="6"/>
  <c r="AR40" i="6" s="1"/>
  <c r="AJ40" i="6"/>
  <c r="AF203" i="8"/>
  <c r="AR203" i="8" s="1"/>
  <c r="AJ203" i="8"/>
  <c r="E226" i="8"/>
  <c r="F226" i="8"/>
  <c r="AE226" i="8"/>
  <c r="AK36" i="8"/>
  <c r="AL36" i="8"/>
  <c r="AF80" i="8"/>
  <c r="AR80" i="8" s="1"/>
  <c r="AJ80" i="8"/>
  <c r="V50" i="5"/>
  <c r="W50" i="5" s="1"/>
  <c r="AJ65" i="8"/>
  <c r="AF65" i="8"/>
  <c r="AR65" i="8" s="1"/>
  <c r="E95" i="8"/>
  <c r="F95" i="8"/>
  <c r="AE95" i="8"/>
  <c r="AF179" i="8"/>
  <c r="AR179" i="8" s="1"/>
  <c r="AJ179" i="8"/>
  <c r="V54" i="5"/>
  <c r="W54" i="5" s="1"/>
  <c r="M54" i="5"/>
  <c r="N54" i="5" s="1"/>
  <c r="W205" i="12"/>
  <c r="I205" i="12"/>
  <c r="F205" i="12"/>
  <c r="AM205" i="12" s="1"/>
  <c r="W239" i="8"/>
  <c r="X239" i="8" s="1"/>
  <c r="N239" i="8"/>
  <c r="O239" i="8" s="1"/>
  <c r="AJ244" i="6"/>
  <c r="AF244" i="6"/>
  <c r="AR244" i="6" s="1"/>
  <c r="AJ247" i="8"/>
  <c r="AF247" i="8"/>
  <c r="AR247" i="8" s="1"/>
  <c r="V59" i="5"/>
  <c r="W59" i="5" s="1"/>
  <c r="M59" i="5"/>
  <c r="N59" i="5" s="1"/>
  <c r="AF99" i="6"/>
  <c r="AR99" i="6" s="1"/>
  <c r="AJ99" i="6"/>
  <c r="E171" i="11"/>
  <c r="F171" i="11" s="1"/>
  <c r="P77" i="5"/>
  <c r="Q77" i="5" s="1"/>
  <c r="W412" i="12"/>
  <c r="F412" i="12"/>
  <c r="AM412" i="12" s="1"/>
  <c r="I412" i="12"/>
  <c r="AJ259" i="8"/>
  <c r="AF259" i="8"/>
  <c r="AR259" i="8" s="1"/>
  <c r="AJ249" i="8"/>
  <c r="AF249" i="8"/>
  <c r="AR249" i="8" s="1"/>
  <c r="AL180" i="8"/>
  <c r="AK180" i="8"/>
  <c r="AF226" i="6"/>
  <c r="AR226" i="6" s="1"/>
  <c r="AJ226" i="6"/>
  <c r="AI51" i="5"/>
  <c r="AE51" i="5"/>
  <c r="AU51" i="5" s="1"/>
  <c r="AF228" i="6"/>
  <c r="AR228" i="6" s="1"/>
  <c r="AJ228" i="6"/>
  <c r="Y427" i="12"/>
  <c r="X427" i="12"/>
  <c r="AA427" i="12"/>
  <c r="N206" i="6"/>
  <c r="O206" i="6" s="1"/>
  <c r="W206" i="6"/>
  <c r="X206" i="6" s="1"/>
  <c r="X317" i="12"/>
  <c r="AA317" i="12"/>
  <c r="Y317" i="12"/>
  <c r="AF251" i="6"/>
  <c r="AR251" i="6" s="1"/>
  <c r="AJ251" i="6"/>
  <c r="AL204" i="6"/>
  <c r="AK204" i="6"/>
  <c r="AA367" i="12"/>
  <c r="Y367" i="12"/>
  <c r="X367" i="12"/>
  <c r="AJ49" i="8"/>
  <c r="AF49" i="8"/>
  <c r="AR49" i="8" s="1"/>
  <c r="AA356" i="12"/>
  <c r="Y356" i="12"/>
  <c r="AA421" i="12"/>
  <c r="X421" i="12"/>
  <c r="Y421" i="12"/>
  <c r="Y408" i="12"/>
  <c r="AA408" i="12"/>
  <c r="X408" i="12"/>
  <c r="X442" i="12"/>
  <c r="Y442" i="12"/>
  <c r="AA442" i="12"/>
  <c r="AA40" i="12"/>
  <c r="X40" i="12"/>
  <c r="X29" i="12"/>
  <c r="AA29" i="12"/>
  <c r="Y29" i="12"/>
  <c r="AO440" i="12"/>
  <c r="AP440" i="12"/>
  <c r="AQ440" i="12"/>
  <c r="AT440" i="12"/>
  <c r="F273" i="12"/>
  <c r="AM273" i="12" s="1"/>
  <c r="I273" i="12"/>
  <c r="W273" i="12"/>
  <c r="AI20" i="21"/>
  <c r="AM19" i="21"/>
  <c r="E111" i="11"/>
  <c r="F111" i="11" s="1"/>
  <c r="E29" i="11"/>
  <c r="F29" i="11" s="1"/>
  <c r="AE121" i="8"/>
  <c r="E121" i="8"/>
  <c r="F121" i="8"/>
  <c r="W120" i="8"/>
  <c r="X120" i="8" s="1"/>
  <c r="N120" i="8"/>
  <c r="O120" i="8" s="1"/>
  <c r="AE169" i="8"/>
  <c r="E169" i="8"/>
  <c r="F169" i="8" s="1"/>
  <c r="W38" i="8"/>
  <c r="X38" i="8" s="1"/>
  <c r="N38" i="8"/>
  <c r="O38" i="8" s="1"/>
  <c r="N203" i="8"/>
  <c r="O203" i="8" s="1"/>
  <c r="W203" i="8"/>
  <c r="X203" i="8" s="1"/>
  <c r="N194" i="6"/>
  <c r="O194" i="6" s="1"/>
  <c r="W194" i="6"/>
  <c r="X194" i="6" s="1"/>
  <c r="AK72" i="6"/>
  <c r="AL72" i="6"/>
  <c r="M62" i="5"/>
  <c r="N62" i="5" s="1"/>
  <c r="V62" i="5"/>
  <c r="W62" i="5" s="1"/>
  <c r="AK31" i="6"/>
  <c r="AL31" i="6"/>
  <c r="AF258" i="6"/>
  <c r="AR258" i="6" s="1"/>
  <c r="AJ258" i="6"/>
  <c r="E230" i="8"/>
  <c r="F230" i="8"/>
  <c r="AE230" i="8"/>
  <c r="AK142" i="6"/>
  <c r="AL142" i="6"/>
  <c r="AI76" i="5"/>
  <c r="AE76" i="5"/>
  <c r="AU76" i="5" s="1"/>
  <c r="W109" i="12"/>
  <c r="W237" i="12"/>
  <c r="X237" i="12" s="1"/>
  <c r="W147" i="12"/>
  <c r="X147" i="12" s="1"/>
  <c r="F301" i="12"/>
  <c r="W301" i="12"/>
  <c r="I301" i="12"/>
  <c r="F304" i="12"/>
  <c r="W304" i="12"/>
  <c r="X29" i="20"/>
  <c r="Y29" i="20" s="1"/>
  <c r="AB29" i="20"/>
  <c r="T29" i="20"/>
  <c r="U29" i="20"/>
  <c r="AB40" i="20"/>
  <c r="X40" i="20"/>
  <c r="U40" i="20"/>
  <c r="T40" i="20"/>
  <c r="Y40" i="20"/>
  <c r="E107" i="11"/>
  <c r="F107" i="11"/>
  <c r="AE71" i="6"/>
  <c r="F71" i="6"/>
  <c r="AE139" i="6"/>
  <c r="E139" i="6"/>
  <c r="F139" i="6"/>
  <c r="F143" i="8"/>
  <c r="AE143" i="8"/>
  <c r="E143" i="8"/>
  <c r="E150" i="8"/>
  <c r="F150" i="8" s="1"/>
  <c r="AE150" i="8"/>
  <c r="AJ151" i="8"/>
  <c r="AF151" i="8"/>
  <c r="AR151" i="8" s="1"/>
  <c r="F174" i="11"/>
  <c r="E174" i="11"/>
  <c r="I244" i="12"/>
  <c r="W244" i="12"/>
  <c r="F244" i="12"/>
  <c r="AM244" i="12" s="1"/>
  <c r="AL258" i="8"/>
  <c r="AK258" i="8"/>
  <c r="AF262" i="6"/>
  <c r="AR262" i="6" s="1"/>
  <c r="AJ262" i="6"/>
  <c r="N226" i="6"/>
  <c r="O226" i="6" s="1"/>
  <c r="W226" i="6"/>
  <c r="X226" i="6" s="1"/>
  <c r="Y422" i="12"/>
  <c r="X422" i="12"/>
  <c r="AA422" i="12"/>
  <c r="Y440" i="12"/>
  <c r="AA440" i="12"/>
  <c r="X440" i="12"/>
  <c r="I377" i="12"/>
  <c r="Y183" i="12"/>
  <c r="X183" i="12"/>
  <c r="AA183" i="12"/>
  <c r="F211" i="12"/>
  <c r="AM211" i="12" s="1"/>
  <c r="W211" i="12"/>
  <c r="I155" i="12"/>
  <c r="W155" i="12"/>
  <c r="F155" i="12"/>
  <c r="AM155" i="12" s="1"/>
  <c r="W168" i="12"/>
  <c r="F168" i="12"/>
  <c r="AM168" i="12" s="1"/>
  <c r="I168" i="12"/>
  <c r="AB24" i="20"/>
  <c r="U24" i="20"/>
  <c r="Y24" i="20"/>
  <c r="E37" i="11"/>
  <c r="F37" i="11"/>
  <c r="AE122" i="6"/>
  <c r="E122" i="6"/>
  <c r="F122" i="6" s="1"/>
  <c r="E168" i="8"/>
  <c r="F168" i="8" s="1"/>
  <c r="AE168" i="8"/>
  <c r="E45" i="8"/>
  <c r="F45" i="8"/>
  <c r="AE45" i="8"/>
  <c r="E153" i="8"/>
  <c r="AE153" i="8"/>
  <c r="F153" i="8"/>
  <c r="AE171" i="8"/>
  <c r="E171" i="8"/>
  <c r="F171" i="8"/>
  <c r="E186" i="8"/>
  <c r="F186" i="8" s="1"/>
  <c r="AE186" i="8"/>
  <c r="AF101" i="8"/>
  <c r="AR101" i="8" s="1"/>
  <c r="AJ101" i="8"/>
  <c r="AE248" i="8"/>
  <c r="E248" i="8"/>
  <c r="F248" i="8" s="1"/>
  <c r="AE38" i="5"/>
  <c r="AU38" i="5" s="1"/>
  <c r="AI38" i="5"/>
  <c r="N149" i="8"/>
  <c r="O149" i="8" s="1"/>
  <c r="N180" i="8"/>
  <c r="O180" i="8" s="1"/>
  <c r="W180" i="8"/>
  <c r="X180" i="8" s="1"/>
  <c r="N151" i="8"/>
  <c r="O151" i="8" s="1"/>
  <c r="W151" i="8"/>
  <c r="X151" i="8" s="1"/>
  <c r="W218" i="8"/>
  <c r="X218" i="8" s="1"/>
  <c r="N218" i="8"/>
  <c r="O218" i="8" s="1"/>
  <c r="P75" i="5"/>
  <c r="Q75" i="5" s="1"/>
  <c r="W262" i="6"/>
  <c r="X262" i="6" s="1"/>
  <c r="N262" i="6"/>
  <c r="O262" i="6" s="1"/>
  <c r="M135" i="11"/>
  <c r="AA36" i="12"/>
  <c r="X36" i="12"/>
  <c r="Y36" i="12"/>
  <c r="AA438" i="12"/>
  <c r="Y438" i="12"/>
  <c r="AP317" i="12"/>
  <c r="AT317" i="12"/>
  <c r="AO317" i="12"/>
  <c r="AQ317" i="12"/>
  <c r="T24" i="20"/>
  <c r="AA70" i="12"/>
  <c r="Y70" i="12"/>
  <c r="X70" i="12"/>
  <c r="Y59" i="12"/>
  <c r="X59" i="12"/>
  <c r="AA59" i="12"/>
  <c r="AA441" i="12"/>
  <c r="X441" i="12"/>
  <c r="Y441" i="12"/>
  <c r="I324" i="12"/>
  <c r="AM136" i="12"/>
  <c r="W16" i="21"/>
  <c r="W67" i="21"/>
  <c r="I291" i="12"/>
  <c r="AM346" i="12"/>
  <c r="F109" i="12"/>
  <c r="AM109" i="12" s="1"/>
  <c r="W345" i="12"/>
  <c r="X345" i="12" s="1"/>
  <c r="I294" i="12"/>
  <c r="I266" i="12"/>
  <c r="AP315" i="12"/>
  <c r="F223" i="12"/>
  <c r="AM223" i="12" s="1"/>
  <c r="I203" i="12"/>
  <c r="I125" i="12"/>
  <c r="Y76" i="12"/>
  <c r="I112" i="12"/>
  <c r="I128" i="12"/>
  <c r="Y248" i="12"/>
  <c r="W377" i="12"/>
  <c r="W334" i="12"/>
  <c r="W296" i="12"/>
  <c r="I296" i="12"/>
  <c r="F296" i="12"/>
  <c r="I250" i="12"/>
  <c r="F250" i="12"/>
  <c r="AM250" i="12" s="1"/>
  <c r="W250" i="12"/>
  <c r="W165" i="12"/>
  <c r="F165" i="12"/>
  <c r="I165" i="12"/>
  <c r="W77" i="12"/>
  <c r="F77" i="12"/>
  <c r="AM77" i="12" s="1"/>
  <c r="I77" i="12"/>
  <c r="AM438" i="12"/>
  <c r="W97" i="12"/>
  <c r="I97" i="12"/>
  <c r="F97" i="12"/>
  <c r="AM97" i="12" s="1"/>
  <c r="F222" i="12"/>
  <c r="AM222" i="12" s="1"/>
  <c r="W222" i="12"/>
  <c r="AB46" i="20"/>
  <c r="X46" i="20"/>
  <c r="Y46" i="20" s="1"/>
  <c r="T46" i="20"/>
  <c r="U46" i="20"/>
  <c r="E31" i="11"/>
  <c r="F31" i="11"/>
  <c r="E74" i="11"/>
  <c r="F74" i="11" s="1"/>
  <c r="E80" i="11"/>
  <c r="F80" i="11"/>
  <c r="E37" i="6"/>
  <c r="F37" i="6"/>
  <c r="AE37" i="6"/>
  <c r="E44" i="6"/>
  <c r="F44" i="6" s="1"/>
  <c r="AE44" i="6"/>
  <c r="E217" i="6"/>
  <c r="F217" i="6"/>
  <c r="AE217" i="6"/>
  <c r="AE74" i="8"/>
  <c r="E74" i="8"/>
  <c r="F74" i="8" s="1"/>
  <c r="E184" i="8"/>
  <c r="F184" i="8" s="1"/>
  <c r="AE184" i="8"/>
  <c r="AE155" i="6"/>
  <c r="E155" i="6"/>
  <c r="F155" i="6" s="1"/>
  <c r="AE86" i="8"/>
  <c r="E86" i="8"/>
  <c r="F86" i="8"/>
  <c r="E87" i="8"/>
  <c r="AE87" i="8"/>
  <c r="F87" i="8"/>
  <c r="AE115" i="8"/>
  <c r="E115" i="8"/>
  <c r="F115" i="8" s="1"/>
  <c r="E158" i="6"/>
  <c r="F158" i="6" s="1"/>
  <c r="AE158" i="6"/>
  <c r="E134" i="8"/>
  <c r="F134" i="8"/>
  <c r="AE134" i="8"/>
  <c r="E26" i="8"/>
  <c r="F26" i="8" s="1"/>
  <c r="AE26" i="8"/>
  <c r="E106" i="8"/>
  <c r="F106" i="8" s="1"/>
  <c r="AE106" i="8"/>
  <c r="F104" i="8"/>
  <c r="AE104" i="8"/>
  <c r="E104" i="8"/>
  <c r="E152" i="8"/>
  <c r="AE152" i="8"/>
  <c r="F152" i="8"/>
  <c r="E100" i="8"/>
  <c r="AE100" i="8"/>
  <c r="F100" i="8"/>
  <c r="AE222" i="8"/>
  <c r="E222" i="8"/>
  <c r="F222" i="8" s="1"/>
  <c r="N260" i="8"/>
  <c r="O260" i="8" s="1"/>
  <c r="W260" i="8"/>
  <c r="X260" i="8" s="1"/>
  <c r="AE35" i="5"/>
  <c r="AU35" i="5" s="1"/>
  <c r="AI35" i="5"/>
  <c r="K75" i="5"/>
  <c r="AJ182" i="8"/>
  <c r="AF182" i="8"/>
  <c r="AR182" i="8" s="1"/>
  <c r="AJ212" i="8"/>
  <c r="AF212" i="8"/>
  <c r="AR212" i="8" s="1"/>
  <c r="W84" i="8"/>
  <c r="X84" i="8" s="1"/>
  <c r="N84" i="8"/>
  <c r="O84" i="8" s="1"/>
  <c r="AE187" i="8"/>
  <c r="E187" i="8"/>
  <c r="F187" i="8" s="1"/>
  <c r="N256" i="8"/>
  <c r="O256" i="8" s="1"/>
  <c r="W256" i="8"/>
  <c r="X256" i="8" s="1"/>
  <c r="AJ178" i="8"/>
  <c r="AF178" i="8"/>
  <c r="AR178" i="8" s="1"/>
  <c r="AE255" i="8"/>
  <c r="E255" i="8"/>
  <c r="F255" i="8" s="1"/>
  <c r="W245" i="6"/>
  <c r="X245" i="6" s="1"/>
  <c r="N245" i="6"/>
  <c r="O245" i="6" s="1"/>
  <c r="N189" i="6"/>
  <c r="O189" i="6" s="1"/>
  <c r="W189" i="6"/>
  <c r="X189" i="6" s="1"/>
  <c r="AA136" i="12"/>
  <c r="X136" i="12"/>
  <c r="Y136" i="12"/>
  <c r="AF97" i="6"/>
  <c r="AR97" i="6" s="1"/>
  <c r="AJ97" i="6"/>
  <c r="AJ218" i="8"/>
  <c r="AF218" i="8"/>
  <c r="AR218" i="8" s="1"/>
  <c r="AI23" i="5"/>
  <c r="AE23" i="5"/>
  <c r="AU23" i="5" s="1"/>
  <c r="N217" i="8"/>
  <c r="O217" i="8" s="1"/>
  <c r="W217" i="8"/>
  <c r="X217" i="8" s="1"/>
  <c r="W158" i="8"/>
  <c r="X158" i="8" s="1"/>
  <c r="AE57" i="5"/>
  <c r="AU57" i="5" s="1"/>
  <c r="AI57" i="5"/>
  <c r="N211" i="8"/>
  <c r="O211" i="8" s="1"/>
  <c r="W211" i="8"/>
  <c r="X211" i="8" s="1"/>
  <c r="W424" i="12"/>
  <c r="I424" i="12"/>
  <c r="F424" i="12"/>
  <c r="AM424" i="12" s="1"/>
  <c r="O156" i="11"/>
  <c r="Q156" i="11" s="1"/>
  <c r="N156" i="11"/>
  <c r="P156" i="11" s="1"/>
  <c r="AI53" i="5"/>
  <c r="AE53" i="5"/>
  <c r="AU53" i="5" s="1"/>
  <c r="AJ252" i="6"/>
  <c r="AF252" i="6"/>
  <c r="AR252" i="6" s="1"/>
  <c r="AJ142" i="8"/>
  <c r="AF142" i="8"/>
  <c r="AR142" i="8" s="1"/>
  <c r="W246" i="8"/>
  <c r="X246" i="8" s="1"/>
  <c r="N246" i="8"/>
  <c r="O246" i="8" s="1"/>
  <c r="AL59" i="6"/>
  <c r="AK59" i="6"/>
  <c r="W247" i="6"/>
  <c r="X247" i="6" s="1"/>
  <c r="N247" i="6"/>
  <c r="O247" i="6" s="1"/>
  <c r="AI13" i="5"/>
  <c r="AE13" i="5"/>
  <c r="AU13" i="5" s="1"/>
  <c r="AL140" i="6"/>
  <c r="AK140" i="6"/>
  <c r="AJ208" i="6"/>
  <c r="AF208" i="6"/>
  <c r="AR208" i="6" s="1"/>
  <c r="AJ261" i="6"/>
  <c r="AF261" i="6"/>
  <c r="AR261" i="6" s="1"/>
  <c r="Y62" i="21"/>
  <c r="AA62" i="21"/>
  <c r="X62" i="21"/>
  <c r="W248" i="6"/>
  <c r="X248" i="6" s="1"/>
  <c r="N248" i="6"/>
  <c r="O248" i="6" s="1"/>
  <c r="Y443" i="12"/>
  <c r="AA443" i="12"/>
  <c r="X443" i="12"/>
  <c r="X438" i="12"/>
  <c r="W242" i="6"/>
  <c r="X242" i="6" s="1"/>
  <c r="N242" i="6"/>
  <c r="O242" i="6" s="1"/>
  <c r="AA127" i="12"/>
  <c r="X127" i="12"/>
  <c r="Y127" i="12"/>
  <c r="AF66" i="6"/>
  <c r="AR66" i="6" s="1"/>
  <c r="AJ66" i="6"/>
  <c r="AF229" i="6"/>
  <c r="AR229" i="6" s="1"/>
  <c r="AJ229" i="6"/>
  <c r="AK176" i="6"/>
  <c r="AL176" i="6"/>
  <c r="M142" i="11"/>
  <c r="W142" i="11"/>
  <c r="X142" i="11" s="1"/>
  <c r="AM296" i="12"/>
  <c r="W174" i="12"/>
  <c r="I174" i="12"/>
  <c r="F174" i="12"/>
  <c r="AM174" i="12" s="1"/>
  <c r="F93" i="12"/>
  <c r="AM93" i="12" s="1"/>
  <c r="W93" i="12"/>
  <c r="I93" i="12"/>
  <c r="E76" i="11"/>
  <c r="F76" i="11"/>
  <c r="E62" i="11"/>
  <c r="F62" i="11"/>
  <c r="E170" i="6"/>
  <c r="F170" i="6" s="1"/>
  <c r="AE170" i="6"/>
  <c r="AE244" i="8"/>
  <c r="E244" i="8"/>
  <c r="F244" i="8"/>
  <c r="AJ178" i="6"/>
  <c r="AF178" i="6"/>
  <c r="AR178" i="6" s="1"/>
  <c r="AD25" i="5"/>
  <c r="E25" i="5"/>
  <c r="N183" i="8"/>
  <c r="O183" i="8" s="1"/>
  <c r="W183" i="8"/>
  <c r="X183" i="8" s="1"/>
  <c r="E79" i="8"/>
  <c r="F79" i="8"/>
  <c r="AE79" i="8"/>
  <c r="AF263" i="8"/>
  <c r="AR263" i="8" s="1"/>
  <c r="AJ263" i="8"/>
  <c r="AE231" i="8"/>
  <c r="E231" i="8"/>
  <c r="F231" i="8" s="1"/>
  <c r="N99" i="6"/>
  <c r="O99" i="6" s="1"/>
  <c r="W99" i="6"/>
  <c r="X99" i="6" s="1"/>
  <c r="N142" i="6"/>
  <c r="O142" i="6" s="1"/>
  <c r="W142" i="6"/>
  <c r="X142" i="6" s="1"/>
  <c r="W125" i="12"/>
  <c r="X125" i="12" s="1"/>
  <c r="W50" i="12"/>
  <c r="I50" i="12"/>
  <c r="F50" i="12"/>
  <c r="AM50" i="12" s="1"/>
  <c r="F245" i="12"/>
  <c r="AM245" i="12" s="1"/>
  <c r="I245" i="12"/>
  <c r="W245" i="12"/>
  <c r="E265" i="11"/>
  <c r="F265" i="11"/>
  <c r="E30" i="6"/>
  <c r="F30" i="6" s="1"/>
  <c r="AE30" i="6"/>
  <c r="E144" i="6"/>
  <c r="F144" i="6" s="1"/>
  <c r="AE144" i="6"/>
  <c r="E210" i="6"/>
  <c r="F210" i="6" s="1"/>
  <c r="AE210" i="6"/>
  <c r="W193" i="6"/>
  <c r="X193" i="6" s="1"/>
  <c r="N193" i="6"/>
  <c r="O193" i="6" s="1"/>
  <c r="AF70" i="8"/>
  <c r="AR70" i="8" s="1"/>
  <c r="AJ70" i="8"/>
  <c r="E139" i="8"/>
  <c r="AE139" i="8"/>
  <c r="F139" i="8"/>
  <c r="E47" i="8"/>
  <c r="F47" i="8"/>
  <c r="AE47" i="8"/>
  <c r="N101" i="8"/>
  <c r="O101" i="8" s="1"/>
  <c r="W101" i="8"/>
  <c r="X101" i="8" s="1"/>
  <c r="AE245" i="8"/>
  <c r="E245" i="8"/>
  <c r="F245" i="8"/>
  <c r="AF112" i="6"/>
  <c r="AR112" i="6" s="1"/>
  <c r="AJ112" i="6"/>
  <c r="AJ145" i="8"/>
  <c r="AF145" i="8"/>
  <c r="AR145" i="8" s="1"/>
  <c r="W66" i="8"/>
  <c r="X66" i="8" s="1"/>
  <c r="N66" i="8"/>
  <c r="O66" i="8" s="1"/>
  <c r="W264" i="8"/>
  <c r="X264" i="8" s="1"/>
  <c r="N264" i="8"/>
  <c r="O264" i="8" s="1"/>
  <c r="AE99" i="8"/>
  <c r="E99" i="8"/>
  <c r="F99" i="8" s="1"/>
  <c r="W253" i="8"/>
  <c r="X253" i="8" s="1"/>
  <c r="N253" i="8"/>
  <c r="O253" i="8" s="1"/>
  <c r="N192" i="6"/>
  <c r="O192" i="6" s="1"/>
  <c r="W192" i="6"/>
  <c r="X192" i="6" s="1"/>
  <c r="AI59" i="5"/>
  <c r="AE59" i="5"/>
  <c r="AU59" i="5" s="1"/>
  <c r="V58" i="5"/>
  <c r="W58" i="5" s="1"/>
  <c r="AF157" i="8"/>
  <c r="AR157" i="8" s="1"/>
  <c r="AJ157" i="8"/>
  <c r="M149" i="11"/>
  <c r="W149" i="11"/>
  <c r="X149" i="11" s="1"/>
  <c r="AJ61" i="6"/>
  <c r="AF61" i="6"/>
  <c r="AR61" i="6" s="1"/>
  <c r="AI50" i="5"/>
  <c r="AE50" i="5"/>
  <c r="AU50" i="5" s="1"/>
  <c r="N222" i="6"/>
  <c r="O222" i="6" s="1"/>
  <c r="W222" i="6"/>
  <c r="X222" i="6" s="1"/>
  <c r="W219" i="6"/>
  <c r="X219" i="6" s="1"/>
  <c r="N219" i="6"/>
  <c r="O219" i="6" s="1"/>
  <c r="X416" i="12"/>
  <c r="Y416" i="12"/>
  <c r="AA416" i="12"/>
  <c r="Y83" i="12"/>
  <c r="AA83" i="12"/>
  <c r="X83" i="12"/>
  <c r="AK221" i="6"/>
  <c r="AL221" i="6"/>
  <c r="AA300" i="12"/>
  <c r="I63" i="21"/>
  <c r="W291" i="12"/>
  <c r="I237" i="12"/>
  <c r="W266" i="12"/>
  <c r="W128" i="12"/>
  <c r="AA128" i="12" s="1"/>
  <c r="AM40" i="12"/>
  <c r="I105" i="12"/>
  <c r="W105" i="12"/>
  <c r="F105" i="12"/>
  <c r="AM105" i="12" s="1"/>
  <c r="I332" i="12"/>
  <c r="F332" i="12"/>
  <c r="AM332" i="12" s="1"/>
  <c r="W332" i="12"/>
  <c r="I126" i="21"/>
  <c r="F126" i="21"/>
  <c r="W126" i="21"/>
  <c r="E30" i="11"/>
  <c r="F30" i="11" s="1"/>
  <c r="E131" i="6"/>
  <c r="F131" i="6"/>
  <c r="AE131" i="6"/>
  <c r="E29" i="8"/>
  <c r="F29" i="8" s="1"/>
  <c r="AE29" i="8"/>
  <c r="AE265" i="8"/>
  <c r="E265" i="8"/>
  <c r="F265" i="8" s="1"/>
  <c r="AF241" i="8"/>
  <c r="AR241" i="8" s="1"/>
  <c r="AJ241" i="8"/>
  <c r="E28" i="5"/>
  <c r="AD28" i="5"/>
  <c r="W112" i="6"/>
  <c r="X112" i="6" s="1"/>
  <c r="N112" i="6"/>
  <c r="O112" i="6" s="1"/>
  <c r="N212" i="8"/>
  <c r="O212" i="8" s="1"/>
  <c r="W212" i="8"/>
  <c r="X212" i="8" s="1"/>
  <c r="AJ84" i="8"/>
  <c r="AF84" i="8"/>
  <c r="AR84" i="8" s="1"/>
  <c r="AD83" i="5"/>
  <c r="E83" i="5"/>
  <c r="N207" i="8"/>
  <c r="O207" i="8" s="1"/>
  <c r="W207" i="8"/>
  <c r="X207" i="8" s="1"/>
  <c r="N86" i="6"/>
  <c r="O86" i="6" s="1"/>
  <c r="W86" i="6"/>
  <c r="X86" i="6" s="1"/>
  <c r="AJ211" i="8"/>
  <c r="AF211" i="8"/>
  <c r="AR211" i="8" s="1"/>
  <c r="N252" i="6"/>
  <c r="O252" i="6" s="1"/>
  <c r="W252" i="6"/>
  <c r="X252" i="6" s="1"/>
  <c r="W138" i="8"/>
  <c r="X138" i="8" s="1"/>
  <c r="N138" i="8"/>
  <c r="O138" i="8" s="1"/>
  <c r="AK44" i="8"/>
  <c r="AL44" i="8"/>
  <c r="AF247" i="6"/>
  <c r="AR247" i="6" s="1"/>
  <c r="AJ247" i="6"/>
  <c r="N215" i="6"/>
  <c r="O215" i="6" s="1"/>
  <c r="W215" i="6"/>
  <c r="X215" i="6" s="1"/>
  <c r="AJ35" i="8"/>
  <c r="AF35" i="8"/>
  <c r="AR35" i="8" s="1"/>
  <c r="W153" i="11"/>
  <c r="X153" i="11" s="1"/>
  <c r="M153" i="11"/>
  <c r="E77" i="5"/>
  <c r="AD77" i="5"/>
  <c r="AF242" i="6"/>
  <c r="AR242" i="6" s="1"/>
  <c r="AJ242" i="6"/>
  <c r="N229" i="6"/>
  <c r="O229" i="6" s="1"/>
  <c r="W229" i="6"/>
  <c r="X229" i="6" s="1"/>
  <c r="AM221" i="12"/>
  <c r="W324" i="12"/>
  <c r="AM36" i="12"/>
  <c r="AM228" i="12"/>
  <c r="I25" i="12"/>
  <c r="F67" i="21"/>
  <c r="AM67" i="21" s="1"/>
  <c r="Y236" i="12"/>
  <c r="AM437" i="12"/>
  <c r="W63" i="21"/>
  <c r="Y63" i="21" s="1"/>
  <c r="I211" i="12"/>
  <c r="F248" i="12"/>
  <c r="AM248" i="12" s="1"/>
  <c r="F294" i="12"/>
  <c r="I261" i="12"/>
  <c r="W185" i="12"/>
  <c r="AA185" i="12" s="1"/>
  <c r="AO315" i="12"/>
  <c r="W223" i="12"/>
  <c r="Y223" i="12" s="1"/>
  <c r="W203" i="12"/>
  <c r="X203" i="12" s="1"/>
  <c r="F112" i="12"/>
  <c r="AM112" i="12" s="1"/>
  <c r="X248" i="12"/>
  <c r="I334" i="12"/>
  <c r="AM43" i="12"/>
  <c r="AM327" i="12"/>
  <c r="F120" i="21"/>
  <c r="W120" i="21"/>
  <c r="I120" i="21"/>
  <c r="AM304" i="12"/>
  <c r="AM404" i="12"/>
  <c r="W349" i="12"/>
  <c r="F349" i="12"/>
  <c r="AM349" i="12" s="1"/>
  <c r="I349" i="12"/>
  <c r="I133" i="12"/>
  <c r="F133" i="12"/>
  <c r="AM133" i="12" s="1"/>
  <c r="E25" i="11"/>
  <c r="F25" i="11" s="1"/>
  <c r="E63" i="11"/>
  <c r="F63" i="11" s="1"/>
  <c r="AB37" i="20"/>
  <c r="T37" i="20"/>
  <c r="U37" i="20"/>
  <c r="Y37" i="20"/>
  <c r="I251" i="12"/>
  <c r="W251" i="12"/>
  <c r="F251" i="12"/>
  <c r="AM251" i="12" s="1"/>
  <c r="E58" i="11"/>
  <c r="F58" i="11"/>
  <c r="E150" i="11"/>
  <c r="F150" i="11" s="1"/>
  <c r="R150" i="11" s="1"/>
  <c r="S150" i="11" s="1"/>
  <c r="T150" i="11" s="1"/>
  <c r="U150" i="11" s="1"/>
  <c r="E50" i="11"/>
  <c r="F50" i="11"/>
  <c r="AE218" i="6"/>
  <c r="E218" i="6"/>
  <c r="F218" i="6" s="1"/>
  <c r="F208" i="8"/>
  <c r="AE208" i="8"/>
  <c r="W195" i="8"/>
  <c r="X195" i="8" s="1"/>
  <c r="N195" i="8"/>
  <c r="O195" i="8" s="1"/>
  <c r="E170" i="8"/>
  <c r="F170" i="8" s="1"/>
  <c r="AE170" i="8"/>
  <c r="N34" i="6"/>
  <c r="O34" i="6" s="1"/>
  <c r="W34" i="6"/>
  <c r="X34" i="6" s="1"/>
  <c r="AE224" i="8"/>
  <c r="E224" i="8"/>
  <c r="F224" i="8"/>
  <c r="W120" i="6"/>
  <c r="X120" i="6" s="1"/>
  <c r="N120" i="6"/>
  <c r="O120" i="6" s="1"/>
  <c r="AE254" i="8"/>
  <c r="E254" i="8"/>
  <c r="F254" i="8" s="1"/>
  <c r="W189" i="8"/>
  <c r="X189" i="8" s="1"/>
  <c r="N68" i="8"/>
  <c r="O68" i="8" s="1"/>
  <c r="W68" i="8"/>
  <c r="X68" i="8" s="1"/>
  <c r="AF192" i="8"/>
  <c r="AR192" i="8" s="1"/>
  <c r="AJ192" i="8"/>
  <c r="AJ256" i="8"/>
  <c r="AF256" i="8"/>
  <c r="AR256" i="8" s="1"/>
  <c r="AD73" i="5"/>
  <c r="N178" i="8"/>
  <c r="O178" i="8" s="1"/>
  <c r="W178" i="8"/>
  <c r="X178" i="8" s="1"/>
  <c r="AE257" i="8"/>
  <c r="F257" i="8"/>
  <c r="E257" i="8"/>
  <c r="W243" i="6"/>
  <c r="X243" i="6" s="1"/>
  <c r="N243" i="6"/>
  <c r="O243" i="6" s="1"/>
  <c r="AJ189" i="6"/>
  <c r="AF189" i="6"/>
  <c r="AR189" i="6" s="1"/>
  <c r="AF207" i="8"/>
  <c r="AR207" i="8" s="1"/>
  <c r="AJ207" i="8"/>
  <c r="AF78" i="8"/>
  <c r="AR78" i="8" s="1"/>
  <c r="AJ78" i="8"/>
  <c r="N158" i="11"/>
  <c r="P158" i="11" s="1"/>
  <c r="O158" i="11"/>
  <c r="Q158" i="11" s="1"/>
  <c r="V23" i="5"/>
  <c r="W23" i="5" s="1"/>
  <c r="E78" i="5"/>
  <c r="AD78" i="5"/>
  <c r="AJ86" i="6"/>
  <c r="AF86" i="6"/>
  <c r="AR86" i="6" s="1"/>
  <c r="W262" i="8"/>
  <c r="X262" i="8" s="1"/>
  <c r="N262" i="8"/>
  <c r="O262" i="8" s="1"/>
  <c r="AF167" i="8"/>
  <c r="AR167" i="8" s="1"/>
  <c r="AJ167" i="8"/>
  <c r="AL116" i="8"/>
  <c r="AK116" i="8"/>
  <c r="AJ238" i="6"/>
  <c r="AF238" i="6"/>
  <c r="AR238" i="6" s="1"/>
  <c r="N63" i="8"/>
  <c r="O63" i="8" s="1"/>
  <c r="W63" i="8"/>
  <c r="X63" i="8" s="1"/>
  <c r="N142" i="8"/>
  <c r="O142" i="8" s="1"/>
  <c r="W142" i="8"/>
  <c r="X142" i="8" s="1"/>
  <c r="O136" i="11"/>
  <c r="Q136" i="11" s="1"/>
  <c r="N136" i="11"/>
  <c r="P136" i="11" s="1"/>
  <c r="X14" i="12"/>
  <c r="Y14" i="12"/>
  <c r="AA14" i="12"/>
  <c r="AL38" i="8"/>
  <c r="AK38" i="8"/>
  <c r="Y415" i="12"/>
  <c r="X415" i="12"/>
  <c r="AA415" i="12"/>
  <c r="E144" i="11"/>
  <c r="F144" i="11" s="1"/>
  <c r="R144" i="11" s="1"/>
  <c r="S144" i="11" s="1"/>
  <c r="T144" i="11" s="1"/>
  <c r="U144" i="11" s="1"/>
  <c r="X376" i="12"/>
  <c r="Y376" i="12"/>
  <c r="AA376" i="12"/>
  <c r="AK221" i="8"/>
  <c r="AL221" i="8"/>
  <c r="Y418" i="12"/>
  <c r="AA418" i="12"/>
  <c r="X418" i="12"/>
  <c r="W123" i="21"/>
  <c r="F123" i="21"/>
  <c r="AM123" i="21" s="1"/>
  <c r="AJ62" i="8"/>
  <c r="AF62" i="8"/>
  <c r="AR62" i="8" s="1"/>
  <c r="X407" i="12"/>
  <c r="AA407" i="12"/>
  <c r="Y407" i="12"/>
  <c r="W35" i="8"/>
  <c r="X35" i="8" s="1"/>
  <c r="W137" i="11"/>
  <c r="X137" i="11" s="1"/>
  <c r="M137" i="11"/>
  <c r="Y404" i="12"/>
  <c r="AA404" i="12"/>
  <c r="X404" i="12"/>
  <c r="AK203" i="6"/>
  <c r="AL203" i="6"/>
  <c r="AT441" i="12"/>
  <c r="AO441" i="12"/>
  <c r="AP441" i="12"/>
  <c r="AQ441" i="12"/>
  <c r="W327" i="12"/>
  <c r="F327" i="12"/>
  <c r="I327" i="12"/>
  <c r="I68" i="12"/>
  <c r="W68" i="12"/>
  <c r="F68" i="12"/>
  <c r="AM68" i="12" s="1"/>
  <c r="F113" i="12"/>
  <c r="AM113" i="12" s="1"/>
  <c r="I113" i="12"/>
  <c r="W113" i="12"/>
  <c r="E117" i="11"/>
  <c r="F117" i="11"/>
  <c r="F42" i="8"/>
  <c r="E42" i="8"/>
  <c r="AE42" i="8"/>
  <c r="AE159" i="8"/>
  <c r="E159" i="8"/>
  <c r="F159" i="8" s="1"/>
  <c r="AJ120" i="6"/>
  <c r="AF120" i="6"/>
  <c r="AR120" i="6" s="1"/>
  <c r="AE81" i="5"/>
  <c r="AU81" i="5" s="1"/>
  <c r="AI81" i="5"/>
  <c r="W185" i="8"/>
  <c r="X185" i="8" s="1"/>
  <c r="N185" i="8"/>
  <c r="O185" i="8" s="1"/>
  <c r="R152" i="11"/>
  <c r="S152" i="11" s="1"/>
  <c r="T152" i="11" s="1"/>
  <c r="U152" i="11" s="1"/>
  <c r="M152" i="11"/>
  <c r="W259" i="6"/>
  <c r="X259" i="6" s="1"/>
  <c r="N259" i="6"/>
  <c r="O259" i="6" s="1"/>
  <c r="AD49" i="5"/>
  <c r="E49" i="5"/>
  <c r="N244" i="6"/>
  <c r="O244" i="6" s="1"/>
  <c r="W244" i="6"/>
  <c r="X244" i="6" s="1"/>
  <c r="N95" i="6"/>
  <c r="O95" i="6" s="1"/>
  <c r="W95" i="6"/>
  <c r="X95" i="6" s="1"/>
  <c r="AK185" i="6"/>
  <c r="AL185" i="6"/>
  <c r="F48" i="8"/>
  <c r="AE48" i="8"/>
  <c r="E48" i="8"/>
  <c r="E230" i="6"/>
  <c r="F230" i="6"/>
  <c r="AE230" i="6"/>
  <c r="AF30" i="8"/>
  <c r="AR30" i="8" s="1"/>
  <c r="AJ30" i="8"/>
  <c r="AL143" i="6"/>
  <c r="AK143" i="6"/>
  <c r="W171" i="12"/>
  <c r="F171" i="12"/>
  <c r="AM171" i="12" s="1"/>
  <c r="U47" i="20"/>
  <c r="T47" i="20"/>
  <c r="AB47" i="20"/>
  <c r="X47" i="20"/>
  <c r="Y47" i="20"/>
  <c r="E259" i="11"/>
  <c r="F259" i="11" s="1"/>
  <c r="E33" i="11"/>
  <c r="F33" i="11"/>
  <c r="E107" i="6"/>
  <c r="F107" i="6" s="1"/>
  <c r="AE107" i="6"/>
  <c r="F174" i="8"/>
  <c r="AE174" i="8"/>
  <c r="E174" i="8"/>
  <c r="AE72" i="8"/>
  <c r="E72" i="8"/>
  <c r="F72" i="8"/>
  <c r="N241" i="8"/>
  <c r="O241" i="8" s="1"/>
  <c r="W241" i="8"/>
  <c r="X241" i="8" s="1"/>
  <c r="E256" i="6"/>
  <c r="F256" i="6" s="1"/>
  <c r="AE256" i="6"/>
  <c r="N40" i="6"/>
  <c r="O40" i="6" s="1"/>
  <c r="W40" i="6"/>
  <c r="X40" i="6" s="1"/>
  <c r="F242" i="8"/>
  <c r="AE242" i="8"/>
  <c r="E242" i="8"/>
  <c r="W80" i="8"/>
  <c r="X80" i="8" s="1"/>
  <c r="N80" i="8"/>
  <c r="O80" i="8" s="1"/>
  <c r="AF239" i="8"/>
  <c r="AR239" i="8" s="1"/>
  <c r="AJ239" i="8"/>
  <c r="AF189" i="8"/>
  <c r="AR189" i="8" s="1"/>
  <c r="AJ189" i="8"/>
  <c r="E26" i="5"/>
  <c r="AD26" i="5"/>
  <c r="AD47" i="5"/>
  <c r="E47" i="5"/>
  <c r="AJ138" i="8"/>
  <c r="AF138" i="8"/>
  <c r="AR138" i="8" s="1"/>
  <c r="N154" i="11"/>
  <c r="P154" i="11" s="1"/>
  <c r="O154" i="11"/>
  <c r="Q154" i="11" s="1"/>
  <c r="AL130" i="6"/>
  <c r="AK130" i="6"/>
  <c r="W251" i="6"/>
  <c r="X251" i="6" s="1"/>
  <c r="N251" i="6"/>
  <c r="O251" i="6" s="1"/>
  <c r="AT435" i="12"/>
  <c r="AO435" i="12"/>
  <c r="AP435" i="12"/>
  <c r="AQ435" i="12"/>
  <c r="AP290" i="12"/>
  <c r="AQ290" i="12"/>
  <c r="AT290" i="12"/>
  <c r="AO290" i="12"/>
  <c r="AM182" i="12"/>
  <c r="F345" i="12"/>
  <c r="AM345" i="12" s="1"/>
  <c r="AM147" i="12"/>
  <c r="Y25" i="12"/>
  <c r="X25" i="12"/>
  <c r="F226" i="12"/>
  <c r="W226" i="12"/>
  <c r="I33" i="21"/>
  <c r="W33" i="21"/>
  <c r="F33" i="21"/>
  <c r="F28" i="6"/>
  <c r="AE28" i="6"/>
  <c r="E28" i="6"/>
  <c r="AE81" i="6"/>
  <c r="E81" i="6"/>
  <c r="F81" i="6" s="1"/>
  <c r="E202" i="6"/>
  <c r="AE202" i="6"/>
  <c r="F202" i="6"/>
  <c r="AE82" i="8"/>
  <c r="E82" i="8"/>
  <c r="F82" i="8" s="1"/>
  <c r="E37" i="8"/>
  <c r="F37" i="8" s="1"/>
  <c r="AE37" i="8"/>
  <c r="AE84" i="5"/>
  <c r="AU84" i="5" s="1"/>
  <c r="AI84" i="5"/>
  <c r="E25" i="8"/>
  <c r="F25" i="8" s="1"/>
  <c r="AE25" i="8"/>
  <c r="W48" i="6"/>
  <c r="X48" i="6" s="1"/>
  <c r="N48" i="6"/>
  <c r="O48" i="6" s="1"/>
  <c r="AF158" i="8"/>
  <c r="AR158" i="8" s="1"/>
  <c r="AJ158" i="8"/>
  <c r="W172" i="6"/>
  <c r="X172" i="6" s="1"/>
  <c r="N172" i="6"/>
  <c r="O172" i="6" s="1"/>
  <c r="V35" i="5"/>
  <c r="W35" i="5" s="1"/>
  <c r="M35" i="5"/>
  <c r="N35" i="5" s="1"/>
  <c r="E119" i="6"/>
  <c r="F119" i="6" s="1"/>
  <c r="AE119" i="6"/>
  <c r="AD60" i="5"/>
  <c r="E60" i="5"/>
  <c r="N157" i="8"/>
  <c r="O157" i="8" s="1"/>
  <c r="W157" i="8"/>
  <c r="X157" i="8" s="1"/>
  <c r="AK229" i="8"/>
  <c r="AL229" i="8"/>
  <c r="AF248" i="6"/>
  <c r="AR248" i="6" s="1"/>
  <c r="AJ248" i="6"/>
  <c r="X75" i="12"/>
  <c r="Y75" i="12"/>
  <c r="AA75" i="12"/>
  <c r="X45" i="12"/>
  <c r="Y45" i="12"/>
  <c r="AA45" i="12"/>
  <c r="AM102" i="12"/>
  <c r="AM408" i="12"/>
  <c r="W224" i="12"/>
  <c r="Y224" i="12" s="1"/>
  <c r="AM165" i="12"/>
  <c r="W16" i="12"/>
  <c r="AA163" i="12"/>
  <c r="F25" i="12"/>
  <c r="AM25" i="12" s="1"/>
  <c r="Y163" i="12"/>
  <c r="I248" i="12"/>
  <c r="AM38" i="21"/>
  <c r="AA25" i="12"/>
  <c r="AM315" i="12"/>
  <c r="I208" i="12"/>
  <c r="F208" i="12"/>
  <c r="AM208" i="12" s="1"/>
  <c r="AM70" i="12"/>
  <c r="I325" i="12"/>
  <c r="W325" i="12"/>
  <c r="I262" i="12"/>
  <c r="W262" i="12"/>
  <c r="F262" i="12"/>
  <c r="AM262" i="12" s="1"/>
  <c r="I26" i="12"/>
  <c r="F26" i="12"/>
  <c r="AM26" i="12" s="1"/>
  <c r="W26" i="12"/>
  <c r="W121" i="12"/>
  <c r="F121" i="12"/>
  <c r="AM121" i="12" s="1"/>
  <c r="I121" i="12"/>
  <c r="E69" i="11"/>
  <c r="F69" i="11" s="1"/>
  <c r="E72" i="11"/>
  <c r="F72" i="11" s="1"/>
  <c r="AB21" i="20"/>
  <c r="X21" i="20"/>
  <c r="T21" i="20"/>
  <c r="Y21" i="20"/>
  <c r="U21" i="20"/>
  <c r="F82" i="12"/>
  <c r="I82" i="12"/>
  <c r="W82" i="12"/>
  <c r="F209" i="12"/>
  <c r="AM209" i="12" s="1"/>
  <c r="I209" i="12"/>
  <c r="E68" i="11"/>
  <c r="F68" i="11"/>
  <c r="E22" i="6"/>
  <c r="F22" i="6" s="1"/>
  <c r="AE22" i="6"/>
  <c r="E254" i="11"/>
  <c r="F254" i="11" s="1"/>
  <c r="E48" i="11"/>
  <c r="F48" i="11" s="1"/>
  <c r="E108" i="6"/>
  <c r="F108" i="6" s="1"/>
  <c r="AE108" i="6"/>
  <c r="E75" i="6"/>
  <c r="AE75" i="6"/>
  <c r="F75" i="6"/>
  <c r="AE34" i="8"/>
  <c r="E34" i="8"/>
  <c r="F34" i="8" s="1"/>
  <c r="E70" i="6"/>
  <c r="F70" i="6" s="1"/>
  <c r="AE70" i="6"/>
  <c r="E102" i="8"/>
  <c r="F102" i="8"/>
  <c r="AE102" i="8"/>
  <c r="E82" i="6"/>
  <c r="F82" i="6" s="1"/>
  <c r="AE82" i="6"/>
  <c r="E111" i="8"/>
  <c r="F111" i="8" s="1"/>
  <c r="AE111" i="8"/>
  <c r="E110" i="8"/>
  <c r="F110" i="8" s="1"/>
  <c r="AE110" i="8"/>
  <c r="E115" i="6"/>
  <c r="F115" i="6" s="1"/>
  <c r="AE115" i="6"/>
  <c r="AE183" i="6"/>
  <c r="E183" i="6"/>
  <c r="F183" i="6" s="1"/>
  <c r="AE132" i="8"/>
  <c r="E132" i="8"/>
  <c r="F132" i="8"/>
  <c r="F220" i="8"/>
  <c r="AE220" i="8"/>
  <c r="E220" i="8"/>
  <c r="E146" i="8"/>
  <c r="F146" i="8" s="1"/>
  <c r="AE146" i="8"/>
  <c r="AF120" i="8"/>
  <c r="AR120" i="8" s="1"/>
  <c r="AJ120" i="8"/>
  <c r="AF195" i="8"/>
  <c r="AR195" i="8" s="1"/>
  <c r="AJ195" i="8"/>
  <c r="AE112" i="8"/>
  <c r="E112" i="8"/>
  <c r="F112" i="8" s="1"/>
  <c r="W36" i="6"/>
  <c r="X36" i="6" s="1"/>
  <c r="N36" i="6"/>
  <c r="O36" i="6" s="1"/>
  <c r="AF173" i="8"/>
  <c r="AR173" i="8" s="1"/>
  <c r="AJ173" i="8"/>
  <c r="N178" i="6"/>
  <c r="O178" i="6" s="1"/>
  <c r="W178" i="6"/>
  <c r="X178" i="6" s="1"/>
  <c r="AF260" i="8"/>
  <c r="AR260" i="8" s="1"/>
  <c r="AJ260" i="8"/>
  <c r="F103" i="8"/>
  <c r="E103" i="8"/>
  <c r="AE103" i="8"/>
  <c r="F190" i="8"/>
  <c r="AE190" i="8"/>
  <c r="E190" i="8"/>
  <c r="AJ193" i="8"/>
  <c r="AF193" i="8"/>
  <c r="AR193" i="8" s="1"/>
  <c r="AJ68" i="8"/>
  <c r="AF68" i="8"/>
  <c r="AR68" i="8" s="1"/>
  <c r="N192" i="8"/>
  <c r="O192" i="8" s="1"/>
  <c r="W192" i="8"/>
  <c r="X192" i="8" s="1"/>
  <c r="W263" i="8"/>
  <c r="X263" i="8" s="1"/>
  <c r="N263" i="8"/>
  <c r="O263" i="8" s="1"/>
  <c r="AF137" i="8"/>
  <c r="AR137" i="8" s="1"/>
  <c r="AJ137" i="8"/>
  <c r="AK97" i="8"/>
  <c r="AL97" i="8"/>
  <c r="AK192" i="6"/>
  <c r="AL192" i="6"/>
  <c r="AF144" i="8"/>
  <c r="AR144" i="8" s="1"/>
  <c r="AJ144" i="8"/>
  <c r="E182" i="11"/>
  <c r="F182" i="11" s="1"/>
  <c r="V27" i="5"/>
  <c r="W27" i="5" s="1"/>
  <c r="M27" i="5"/>
  <c r="N27" i="5" s="1"/>
  <c r="I171" i="12"/>
  <c r="AF95" i="6"/>
  <c r="AR95" i="6" s="1"/>
  <c r="AJ95" i="6"/>
  <c r="W167" i="8"/>
  <c r="X167" i="8" s="1"/>
  <c r="N167" i="8"/>
  <c r="O167" i="8" s="1"/>
  <c r="AE62" i="5"/>
  <c r="AU62" i="5" s="1"/>
  <c r="AI62" i="5"/>
  <c r="W157" i="11"/>
  <c r="X157" i="11" s="1"/>
  <c r="M157" i="11"/>
  <c r="AK266" i="8"/>
  <c r="AL266" i="8"/>
  <c r="W238" i="6"/>
  <c r="X238" i="6" s="1"/>
  <c r="N238" i="6"/>
  <c r="O238" i="6" s="1"/>
  <c r="W139" i="11"/>
  <c r="X139" i="11" s="1"/>
  <c r="M139" i="11"/>
  <c r="M131" i="11"/>
  <c r="W131" i="11"/>
  <c r="X131" i="11" s="1"/>
  <c r="AF246" i="8"/>
  <c r="AR246" i="8" s="1"/>
  <c r="AJ246" i="8"/>
  <c r="AL223" i="8"/>
  <c r="AK223" i="8"/>
  <c r="AJ266" i="6"/>
  <c r="AF266" i="6"/>
  <c r="AR266" i="6" s="1"/>
  <c r="AM55" i="12"/>
  <c r="AA236" i="12"/>
  <c r="W221" i="6"/>
  <c r="X221" i="6" s="1"/>
  <c r="N221" i="6"/>
  <c r="O221" i="6" s="1"/>
  <c r="Y159" i="12"/>
  <c r="X159" i="12"/>
  <c r="AA159" i="12"/>
  <c r="AL71" i="8"/>
  <c r="AK71" i="8"/>
  <c r="AK46" i="6"/>
  <c r="AL46" i="6"/>
  <c r="AJ23" i="8"/>
  <c r="AF23" i="8"/>
  <c r="AR23" i="8" s="1"/>
  <c r="AF13" i="8"/>
  <c r="AR13" i="8" s="1"/>
  <c r="AJ13" i="8"/>
  <c r="X426" i="12"/>
  <c r="AA426" i="12"/>
  <c r="Y426" i="12"/>
  <c r="AL215" i="6"/>
  <c r="AK215" i="6"/>
  <c r="Y13" i="12"/>
  <c r="X13" i="12"/>
  <c r="AA13" i="12"/>
  <c r="Y64" i="21"/>
  <c r="X64" i="21"/>
  <c r="AA64" i="21"/>
  <c r="AA110" i="12"/>
  <c r="X110" i="12"/>
  <c r="Y110" i="12"/>
  <c r="AA41" i="12"/>
  <c r="Y41" i="12"/>
  <c r="X41" i="12"/>
  <c r="AA25" i="21"/>
  <c r="X25" i="21"/>
  <c r="Y25" i="21"/>
  <c r="Y63" i="12"/>
  <c r="X63" i="12"/>
  <c r="AA63" i="12"/>
  <c r="X60" i="21"/>
  <c r="Y60" i="21"/>
  <c r="AA60" i="21"/>
  <c r="AA65" i="21"/>
  <c r="Y65" i="21"/>
  <c r="X65" i="21"/>
  <c r="AA224" i="12"/>
  <c r="X224" i="12"/>
  <c r="X209" i="12"/>
  <c r="Y209" i="12"/>
  <c r="AA209" i="12"/>
  <c r="Y158" i="12"/>
  <c r="X158" i="12"/>
  <c r="AA158" i="12"/>
  <c r="AQ109" i="21"/>
  <c r="AT109" i="21"/>
  <c r="AO109" i="21"/>
  <c r="AA164" i="12"/>
  <c r="Y164" i="12"/>
  <c r="X164" i="12"/>
  <c r="AQ6" i="21"/>
  <c r="AT6" i="21"/>
  <c r="AT294" i="12"/>
  <c r="AM294" i="12"/>
  <c r="AO294" i="12"/>
  <c r="AQ294" i="12"/>
  <c r="AA223" i="12"/>
  <c r="X38" i="21"/>
  <c r="AA38" i="21"/>
  <c r="Y38" i="21"/>
  <c r="X362" i="12"/>
  <c r="Y362" i="12"/>
  <c r="AA362" i="12"/>
  <c r="Y305" i="12"/>
  <c r="X305" i="12"/>
  <c r="AA305" i="12"/>
  <c r="AM112" i="21"/>
  <c r="AI113" i="21"/>
  <c r="AP112" i="21"/>
  <c r="AT112" i="21"/>
  <c r="AQ112" i="21"/>
  <c r="AO112" i="21"/>
  <c r="Y232" i="12"/>
  <c r="X232" i="12"/>
  <c r="AA232" i="12"/>
  <c r="AA99" i="12"/>
  <c r="X99" i="12"/>
  <c r="Y99" i="12"/>
  <c r="Y89" i="12"/>
  <c r="X89" i="12"/>
  <c r="AA89" i="12"/>
  <c r="Y6" i="12"/>
  <c r="X6" i="12"/>
  <c r="AA6" i="12"/>
  <c r="Y291" i="12"/>
  <c r="X291" i="12"/>
  <c r="AA291" i="12"/>
  <c r="AA346" i="12"/>
  <c r="Y346" i="12"/>
  <c r="X346" i="12"/>
  <c r="AQ292" i="12"/>
  <c r="AT292" i="12"/>
  <c r="AP292" i="12"/>
  <c r="AM292" i="12"/>
  <c r="AO292" i="12"/>
  <c r="Y109" i="21"/>
  <c r="AA109" i="21"/>
  <c r="X109" i="21"/>
  <c r="X295" i="12"/>
  <c r="Y295" i="12"/>
  <c r="AA295" i="12"/>
  <c r="AA268" i="12"/>
  <c r="X268" i="12"/>
  <c r="Y268" i="12"/>
  <c r="AA169" i="12"/>
  <c r="Y169" i="12"/>
  <c r="X169" i="12"/>
  <c r="X20" i="12"/>
  <c r="AA20" i="12"/>
  <c r="Y20" i="12"/>
  <c r="X324" i="12"/>
  <c r="Y324" i="12"/>
  <c r="AA324" i="12"/>
  <c r="Y156" i="12"/>
  <c r="X156" i="12"/>
  <c r="AA156" i="12"/>
  <c r="AA68" i="21"/>
  <c r="X68" i="21"/>
  <c r="Y68" i="21"/>
  <c r="Y93" i="21"/>
  <c r="X93" i="21"/>
  <c r="AA93" i="21"/>
  <c r="AP291" i="12"/>
  <c r="AQ291" i="12"/>
  <c r="AO291" i="12"/>
  <c r="AT291" i="12"/>
  <c r="Y239" i="12"/>
  <c r="X239" i="12"/>
  <c r="AA239" i="12"/>
  <c r="AA233" i="12"/>
  <c r="Y233" i="12"/>
  <c r="X233" i="12"/>
  <c r="AT295" i="12"/>
  <c r="AO295" i="12"/>
  <c r="AQ295" i="12"/>
  <c r="AA266" i="12"/>
  <c r="X266" i="12"/>
  <c r="Y266" i="12"/>
  <c r="AA123" i="12"/>
  <c r="X123" i="12"/>
  <c r="Y123" i="12"/>
  <c r="AA359" i="12"/>
  <c r="X359" i="12"/>
  <c r="Y359" i="12"/>
  <c r="Y100" i="12"/>
  <c r="AA100" i="12"/>
  <c r="X100" i="12"/>
  <c r="AA87" i="21"/>
  <c r="X87" i="21"/>
  <c r="Y87" i="21"/>
  <c r="AA189" i="12"/>
  <c r="X189" i="12"/>
  <c r="Y189" i="12"/>
  <c r="AQ287" i="12"/>
  <c r="AT287" i="12"/>
  <c r="AO287" i="12"/>
  <c r="AP287" i="12"/>
  <c r="AA342" i="12"/>
  <c r="Y342" i="12"/>
  <c r="X342" i="12"/>
  <c r="AA130" i="12"/>
  <c r="Y130" i="12"/>
  <c r="X130" i="12"/>
  <c r="AA54" i="12"/>
  <c r="Y54" i="12"/>
  <c r="X54" i="12"/>
  <c r="Y187" i="12"/>
  <c r="X187" i="12"/>
  <c r="AA187" i="12"/>
  <c r="AA43" i="12"/>
  <c r="Y43" i="12"/>
  <c r="X43" i="12"/>
  <c r="AM295" i="12"/>
  <c r="AA16" i="21"/>
  <c r="X16" i="21"/>
  <c r="Y16" i="21"/>
  <c r="Y109" i="12"/>
  <c r="X109" i="12"/>
  <c r="AA109" i="12"/>
  <c r="AA52" i="12"/>
  <c r="Y52" i="12"/>
  <c r="X52" i="12"/>
  <c r="Y323" i="12"/>
  <c r="AA323" i="12"/>
  <c r="X323" i="12"/>
  <c r="Y122" i="12"/>
  <c r="X122" i="12"/>
  <c r="AA122" i="12"/>
  <c r="AQ297" i="12"/>
  <c r="AT297" i="12"/>
  <c r="AO297" i="12"/>
  <c r="X368" i="12"/>
  <c r="AA368" i="12"/>
  <c r="Y368" i="12"/>
  <c r="AM288" i="12"/>
  <c r="AO288" i="12"/>
  <c r="AT288" i="12"/>
  <c r="AQ288" i="12"/>
  <c r="AP288" i="12"/>
  <c r="Y195" i="12"/>
  <c r="X195" i="12"/>
  <c r="AA195" i="12"/>
  <c r="Y210" i="12"/>
  <c r="X210" i="12"/>
  <c r="AA210" i="12"/>
  <c r="AQ313" i="12"/>
  <c r="AP313" i="12"/>
  <c r="AO313" i="12"/>
  <c r="AT313" i="12"/>
  <c r="X60" i="12"/>
  <c r="Y60" i="12"/>
  <c r="AA60" i="12"/>
  <c r="AT129" i="21"/>
  <c r="AQ129" i="21"/>
  <c r="AP129" i="21"/>
  <c r="AO129" i="21"/>
  <c r="Y49" i="21"/>
  <c r="AA49" i="21"/>
  <c r="X49" i="21"/>
  <c r="AA86" i="12"/>
  <c r="X86" i="12"/>
  <c r="Y86" i="12"/>
  <c r="Y133" i="12"/>
  <c r="AA133" i="12"/>
  <c r="X133" i="12"/>
  <c r="X55" i="12"/>
  <c r="Y55" i="12"/>
  <c r="AA55" i="12"/>
  <c r="AA84" i="21"/>
  <c r="Y84" i="21"/>
  <c r="X84" i="21"/>
  <c r="X338" i="12"/>
  <c r="AA338" i="12"/>
  <c r="Y338" i="12"/>
  <c r="Y112" i="12"/>
  <c r="X112" i="12"/>
  <c r="AA112" i="12"/>
  <c r="AA94" i="12"/>
  <c r="Y94" i="12"/>
  <c r="X94" i="12"/>
  <c r="X154" i="12"/>
  <c r="Y154" i="12"/>
  <c r="AA154" i="12"/>
  <c r="AA61" i="21"/>
  <c r="X61" i="21"/>
  <c r="Y61" i="21"/>
  <c r="AA31" i="21"/>
  <c r="Y31" i="21"/>
  <c r="X31" i="21"/>
  <c r="Y333" i="12"/>
  <c r="AA333" i="12"/>
  <c r="X333" i="12"/>
  <c r="Y190" i="12"/>
  <c r="X190" i="12"/>
  <c r="AA190" i="12"/>
  <c r="X23" i="12"/>
  <c r="Y23" i="12"/>
  <c r="AA23" i="12"/>
  <c r="AA69" i="21"/>
  <c r="Y69" i="21"/>
  <c r="X69" i="21"/>
  <c r="AA76" i="21"/>
  <c r="X76" i="21"/>
  <c r="Y76" i="21"/>
  <c r="Y240" i="12"/>
  <c r="X240" i="12"/>
  <c r="AA240" i="12"/>
  <c r="AO312" i="12"/>
  <c r="AP312" i="12"/>
  <c r="AQ312" i="12"/>
  <c r="AT312" i="12"/>
  <c r="AA345" i="12"/>
  <c r="Y345" i="12"/>
  <c r="X313" i="12"/>
  <c r="Y313" i="12"/>
  <c r="AA313" i="12"/>
  <c r="X242" i="12"/>
  <c r="AA177" i="12"/>
  <c r="Y177" i="12"/>
  <c r="X177" i="12"/>
  <c r="Y28" i="12"/>
  <c r="AA28" i="12"/>
  <c r="X28" i="12"/>
  <c r="AA21" i="12"/>
  <c r="Y21" i="12"/>
  <c r="X21" i="12"/>
  <c r="Y96" i="12"/>
  <c r="AA96" i="12"/>
  <c r="X96" i="12"/>
  <c r="AA288" i="12"/>
  <c r="Y288" i="12"/>
  <c r="X288" i="12"/>
  <c r="Y52" i="21"/>
  <c r="X52" i="21"/>
  <c r="AA52" i="21"/>
  <c r="X271" i="12"/>
  <c r="AA271" i="12"/>
  <c r="Y271" i="12"/>
  <c r="AQ302" i="12"/>
  <c r="AM302" i="12"/>
  <c r="AT302" i="12"/>
  <c r="AO302" i="12"/>
  <c r="AA370" i="12"/>
  <c r="X370" i="12"/>
  <c r="Y370" i="12"/>
  <c r="X53" i="12"/>
  <c r="AA53" i="12"/>
  <c r="Y53" i="12"/>
  <c r="X166" i="12"/>
  <c r="AA166" i="12"/>
  <c r="Y166" i="12"/>
  <c r="X365" i="12"/>
  <c r="Y365" i="12"/>
  <c r="AA365" i="12"/>
  <c r="Y84" i="12"/>
  <c r="AA84" i="12"/>
  <c r="X84" i="12"/>
  <c r="X194" i="12"/>
  <c r="Y194" i="12"/>
  <c r="AA194" i="12"/>
  <c r="AM267" i="12"/>
  <c r="AM376" i="12"/>
  <c r="AM192" i="12"/>
  <c r="AM291" i="12"/>
  <c r="Y41" i="21"/>
  <c r="AA41" i="21"/>
  <c r="X41" i="21"/>
  <c r="AA67" i="21"/>
  <c r="X67" i="21"/>
  <c r="Y67" i="21"/>
  <c r="Y221" i="12"/>
  <c r="X221" i="12"/>
  <c r="AA221" i="12"/>
  <c r="X192" i="12"/>
  <c r="AA192" i="12"/>
  <c r="Y192" i="12"/>
  <c r="Y299" i="12"/>
  <c r="AA299" i="12"/>
  <c r="X299" i="12"/>
  <c r="AQ96" i="21"/>
  <c r="AT96" i="21"/>
  <c r="AM96" i="21"/>
  <c r="AO96" i="21"/>
  <c r="AA374" i="12"/>
  <c r="Y374" i="12"/>
  <c r="X374" i="12"/>
  <c r="AA90" i="21"/>
  <c r="X90" i="21"/>
  <c r="Y90" i="21"/>
  <c r="X88" i="21"/>
  <c r="AA88" i="21"/>
  <c r="Y88" i="21"/>
  <c r="AA16" i="12"/>
  <c r="X16" i="12"/>
  <c r="Y16" i="12"/>
  <c r="AT41" i="21"/>
  <c r="AP41" i="21"/>
  <c r="AO41" i="21"/>
  <c r="AQ41" i="21"/>
  <c r="X48" i="21"/>
  <c r="AA48" i="21"/>
  <c r="Y48" i="21"/>
  <c r="Y8" i="12"/>
  <c r="AA8" i="12"/>
  <c r="X8" i="12"/>
  <c r="X106" i="21"/>
  <c r="AA106" i="21"/>
  <c r="Y106" i="21"/>
  <c r="AA150" i="12"/>
  <c r="Y150" i="12"/>
  <c r="X150" i="12"/>
  <c r="AA219" i="12"/>
  <c r="Y219" i="12"/>
  <c r="X219" i="12"/>
  <c r="AA129" i="21"/>
  <c r="Y129" i="21"/>
  <c r="X129" i="21"/>
  <c r="AA99" i="21"/>
  <c r="X99" i="21"/>
  <c r="Y99" i="21"/>
  <c r="X77" i="21"/>
  <c r="AA77" i="21"/>
  <c r="Y77" i="21"/>
  <c r="Y19" i="12"/>
  <c r="X19" i="12"/>
  <c r="AA19" i="12"/>
  <c r="Y146" i="12"/>
  <c r="X146" i="12"/>
  <c r="AA146" i="12"/>
  <c r="Y302" i="12"/>
  <c r="AA302" i="12"/>
  <c r="X302" i="12"/>
  <c r="Y70" i="21"/>
  <c r="X70" i="21"/>
  <c r="AA70" i="21"/>
  <c r="AA15" i="12"/>
  <c r="X15" i="12"/>
  <c r="Y15" i="12"/>
  <c r="AO316" i="12"/>
  <c r="AM316" i="12"/>
  <c r="AQ316" i="12"/>
  <c r="AP316" i="12"/>
  <c r="AT316" i="12"/>
  <c r="X318" i="12"/>
  <c r="AA318" i="12"/>
  <c r="Y318" i="12"/>
  <c r="AO9" i="21"/>
  <c r="AQ9" i="21"/>
  <c r="AT9" i="21"/>
  <c r="X377" i="12"/>
  <c r="AA377" i="12"/>
  <c r="Y377" i="12"/>
  <c r="Y334" i="12"/>
  <c r="X334" i="12"/>
  <c r="AA334" i="12"/>
  <c r="X188" i="12"/>
  <c r="AA188" i="12"/>
  <c r="Y188" i="12"/>
  <c r="AA59" i="21"/>
  <c r="X59" i="21"/>
  <c r="Y59" i="21"/>
  <c r="AA118" i="12"/>
  <c r="X118" i="12"/>
  <c r="Y118" i="12"/>
  <c r="X360" i="12"/>
  <c r="AA360" i="12"/>
  <c r="Y360" i="12"/>
  <c r="Y149" i="12"/>
  <c r="X149" i="12"/>
  <c r="AA149" i="12"/>
  <c r="X161" i="12"/>
  <c r="Y161" i="12"/>
  <c r="AA161" i="12"/>
  <c r="AA11" i="12"/>
  <c r="Y11" i="12"/>
  <c r="X11" i="12"/>
  <c r="AT106" i="21"/>
  <c r="AO106" i="21"/>
  <c r="AM106" i="21"/>
  <c r="AQ106" i="21"/>
  <c r="Y237" i="12"/>
  <c r="AA379" i="12"/>
  <c r="Y379" i="12"/>
  <c r="X379" i="12"/>
  <c r="Y278" i="12"/>
  <c r="AA278" i="12"/>
  <c r="X278" i="12"/>
  <c r="AA261" i="12"/>
  <c r="Y261" i="12"/>
  <c r="X261" i="12"/>
  <c r="AA347" i="12"/>
  <c r="X347" i="12"/>
  <c r="Y347" i="12"/>
  <c r="X289" i="12"/>
  <c r="Y289" i="12"/>
  <c r="AA289" i="12"/>
  <c r="X138" i="12"/>
  <c r="AA138" i="12"/>
  <c r="Y138" i="12"/>
  <c r="AA348" i="12"/>
  <c r="Y348" i="12"/>
  <c r="X348" i="12"/>
  <c r="AM99" i="21"/>
  <c r="AO99" i="21"/>
  <c r="AT99" i="21"/>
  <c r="AQ99" i="21"/>
  <c r="AA50" i="21"/>
  <c r="X50" i="21"/>
  <c r="Y50" i="21"/>
  <c r="AQ299" i="12"/>
  <c r="AO299" i="12"/>
  <c r="AT299" i="12"/>
  <c r="X231" i="12"/>
  <c r="AA231" i="12"/>
  <c r="Y231" i="12"/>
  <c r="Y316" i="12"/>
  <c r="AA316" i="12"/>
  <c r="X316" i="12"/>
  <c r="Y137" i="12"/>
  <c r="X137" i="12"/>
  <c r="AA137" i="12"/>
  <c r="AA279" i="12"/>
  <c r="Y279" i="12"/>
  <c r="X279" i="12"/>
  <c r="X344" i="12"/>
  <c r="Y344" i="12"/>
  <c r="AA344" i="12"/>
  <c r="X128" i="12"/>
  <c r="Y128" i="12"/>
  <c r="AA9" i="21"/>
  <c r="Y9" i="21"/>
  <c r="X9" i="21"/>
  <c r="AA58" i="12"/>
  <c r="X58" i="12"/>
  <c r="Y58" i="12"/>
  <c r="Y341" i="12"/>
  <c r="X341" i="12"/>
  <c r="AA341" i="12"/>
  <c r="AM313" i="12"/>
  <c r="AM146" i="12"/>
  <c r="X294" i="12"/>
  <c r="AA294" i="12"/>
  <c r="Y294" i="12"/>
  <c r="X153" i="12"/>
  <c r="AA153" i="12"/>
  <c r="Y153" i="12"/>
  <c r="X276" i="12"/>
  <c r="Y276" i="12"/>
  <c r="AA276" i="12"/>
  <c r="X200" i="12"/>
  <c r="AA200" i="12"/>
  <c r="Y200" i="12"/>
  <c r="Y66" i="21"/>
  <c r="X66" i="21"/>
  <c r="AA66" i="21"/>
  <c r="X96" i="21"/>
  <c r="AA96" i="21"/>
  <c r="Y96" i="21"/>
  <c r="Y78" i="12"/>
  <c r="AA78" i="12"/>
  <c r="X78" i="12"/>
  <c r="AA260" i="12"/>
  <c r="Y260" i="12"/>
  <c r="X260" i="12"/>
  <c r="X227" i="12"/>
  <c r="AA227" i="12"/>
  <c r="Y227" i="12"/>
  <c r="AA87" i="12"/>
  <c r="X87" i="12"/>
  <c r="Y87" i="12"/>
  <c r="Y208" i="12"/>
  <c r="X208" i="12"/>
  <c r="AA208" i="12"/>
  <c r="Y185" i="12"/>
  <c r="AA176" i="12"/>
  <c r="X176" i="12"/>
  <c r="Y176" i="12"/>
  <c r="X51" i="21"/>
  <c r="Y51" i="21"/>
  <c r="AA51" i="21"/>
  <c r="X104" i="12"/>
  <c r="AA104" i="12"/>
  <c r="Y104" i="12"/>
  <c r="AO28" i="21"/>
  <c r="AT28" i="21"/>
  <c r="AP28" i="21"/>
  <c r="AQ28" i="21"/>
  <c r="AO307" i="12"/>
  <c r="AM307" i="12"/>
  <c r="AP307" i="12"/>
  <c r="AT307" i="12"/>
  <c r="AQ307" i="12"/>
  <c r="Y85" i="21"/>
  <c r="AA85" i="21"/>
  <c r="X85" i="21"/>
  <c r="Y243" i="12"/>
  <c r="AA243" i="12"/>
  <c r="X243" i="12"/>
  <c r="Y6" i="21"/>
  <c r="X6" i="21"/>
  <c r="AA6" i="21"/>
  <c r="AA287" i="12"/>
  <c r="X287" i="12"/>
  <c r="Y287" i="12"/>
  <c r="X267" i="12"/>
  <c r="Y267" i="12"/>
  <c r="AA267" i="12"/>
  <c r="Y352" i="12"/>
  <c r="AA352" i="12"/>
  <c r="X352" i="12"/>
  <c r="AT25" i="21"/>
  <c r="AO25" i="21"/>
  <c r="AP25" i="21"/>
  <c r="AQ25" i="21"/>
  <c r="Y56" i="21"/>
  <c r="X56" i="21"/>
  <c r="AA56" i="21"/>
  <c r="X73" i="21"/>
  <c r="Y73" i="21"/>
  <c r="AA73" i="21"/>
  <c r="Y180" i="12"/>
  <c r="X180" i="12"/>
  <c r="AA180" i="12"/>
  <c r="X340" i="12"/>
  <c r="AA340" i="12"/>
  <c r="Y340" i="12"/>
  <c r="AA72" i="21"/>
  <c r="X72" i="21"/>
  <c r="Y72" i="21"/>
  <c r="AO305" i="12"/>
  <c r="AM305" i="12"/>
  <c r="AP305" i="12"/>
  <c r="AQ305" i="12"/>
  <c r="AT305" i="12"/>
  <c r="Y69" i="12"/>
  <c r="X69" i="12"/>
  <c r="AA69" i="12"/>
  <c r="Y214" i="12"/>
  <c r="X214" i="12"/>
  <c r="AA214" i="12"/>
  <c r="AM312" i="12"/>
  <c r="AM109" i="21"/>
  <c r="AK207" i="6" l="1"/>
  <c r="AL207" i="6"/>
  <c r="W146" i="8"/>
  <c r="X146" i="8" s="1"/>
  <c r="N146" i="8"/>
  <c r="O146" i="8" s="1"/>
  <c r="N82" i="6"/>
  <c r="O82" i="6" s="1"/>
  <c r="W82" i="6"/>
  <c r="X82" i="6" s="1"/>
  <c r="N22" i="6"/>
  <c r="O22" i="6" s="1"/>
  <c r="W22" i="6"/>
  <c r="X22" i="6" s="1"/>
  <c r="N119" i="6"/>
  <c r="O119" i="6" s="1"/>
  <c r="W119" i="6"/>
  <c r="X119" i="6" s="1"/>
  <c r="N30" i="6"/>
  <c r="O30" i="6" s="1"/>
  <c r="W30" i="6"/>
  <c r="X30" i="6" s="1"/>
  <c r="N184" i="8"/>
  <c r="O184" i="8" s="1"/>
  <c r="W184" i="8"/>
  <c r="X184" i="8" s="1"/>
  <c r="W191" i="8"/>
  <c r="X191" i="8" s="1"/>
  <c r="N191" i="8"/>
  <c r="O191" i="8" s="1"/>
  <c r="W107" i="8"/>
  <c r="X107" i="8" s="1"/>
  <c r="N107" i="8"/>
  <c r="O107" i="8" s="1"/>
  <c r="N112" i="8"/>
  <c r="O112" i="8" s="1"/>
  <c r="W112" i="8"/>
  <c r="X112" i="8" s="1"/>
  <c r="W218" i="6"/>
  <c r="X218" i="6" s="1"/>
  <c r="N218" i="6"/>
  <c r="O218" i="6" s="1"/>
  <c r="N222" i="8"/>
  <c r="O222" i="8" s="1"/>
  <c r="W222" i="8"/>
  <c r="X222" i="8" s="1"/>
  <c r="N74" i="8"/>
  <c r="O74" i="8" s="1"/>
  <c r="W74" i="8"/>
  <c r="X74" i="8" s="1"/>
  <c r="N68" i="6"/>
  <c r="O68" i="6" s="1"/>
  <c r="W68" i="6"/>
  <c r="X68" i="6" s="1"/>
  <c r="N135" i="8"/>
  <c r="O135" i="8" s="1"/>
  <c r="W135" i="8"/>
  <c r="X135" i="8" s="1"/>
  <c r="W77" i="6"/>
  <c r="X77" i="6" s="1"/>
  <c r="N77" i="6"/>
  <c r="O77" i="6" s="1"/>
  <c r="N115" i="6"/>
  <c r="O115" i="6" s="1"/>
  <c r="W115" i="6"/>
  <c r="X115" i="6" s="1"/>
  <c r="N25" i="8"/>
  <c r="O25" i="8" s="1"/>
  <c r="W25" i="8"/>
  <c r="X25" i="8" s="1"/>
  <c r="W254" i="8"/>
  <c r="X254" i="8" s="1"/>
  <c r="N254" i="8"/>
  <c r="O254" i="8" s="1"/>
  <c r="W29" i="8"/>
  <c r="X29" i="8" s="1"/>
  <c r="N29" i="8"/>
  <c r="O29" i="8" s="1"/>
  <c r="N99" i="8"/>
  <c r="O99" i="8" s="1"/>
  <c r="W99" i="8"/>
  <c r="X99" i="8" s="1"/>
  <c r="W248" i="8"/>
  <c r="X248" i="8" s="1"/>
  <c r="N248" i="8"/>
  <c r="O248" i="8" s="1"/>
  <c r="N168" i="8"/>
  <c r="O168" i="8" s="1"/>
  <c r="W168" i="8"/>
  <c r="X168" i="8" s="1"/>
  <c r="W150" i="8"/>
  <c r="X150" i="8" s="1"/>
  <c r="N150" i="8"/>
  <c r="O150" i="8" s="1"/>
  <c r="N228" i="8"/>
  <c r="O228" i="8" s="1"/>
  <c r="W228" i="8"/>
  <c r="X228" i="8" s="1"/>
  <c r="N173" i="6"/>
  <c r="O173" i="6" s="1"/>
  <c r="W173" i="6"/>
  <c r="X173" i="6" s="1"/>
  <c r="N122" i="6"/>
  <c r="O122" i="6" s="1"/>
  <c r="W122" i="6"/>
  <c r="X122" i="6" s="1"/>
  <c r="W169" i="8"/>
  <c r="X169" i="8" s="1"/>
  <c r="N169" i="8"/>
  <c r="O169" i="8" s="1"/>
  <c r="W108" i="6"/>
  <c r="X108" i="6" s="1"/>
  <c r="N108" i="6"/>
  <c r="O108" i="6" s="1"/>
  <c r="N81" i="6"/>
  <c r="O81" i="6" s="1"/>
  <c r="W81" i="6"/>
  <c r="X81" i="6" s="1"/>
  <c r="W158" i="6"/>
  <c r="X158" i="6" s="1"/>
  <c r="N158" i="6"/>
  <c r="O158" i="6" s="1"/>
  <c r="N70" i="6"/>
  <c r="O70" i="6" s="1"/>
  <c r="W70" i="6"/>
  <c r="X70" i="6" s="1"/>
  <c r="W107" i="6"/>
  <c r="X107" i="6" s="1"/>
  <c r="N107" i="6"/>
  <c r="O107" i="6" s="1"/>
  <c r="N106" i="8"/>
  <c r="O106" i="8" s="1"/>
  <c r="W106" i="8"/>
  <c r="X106" i="8" s="1"/>
  <c r="N115" i="8"/>
  <c r="O115" i="8" s="1"/>
  <c r="W115" i="8"/>
  <c r="X115" i="8" s="1"/>
  <c r="N155" i="6"/>
  <c r="O155" i="6" s="1"/>
  <c r="W155" i="6"/>
  <c r="X155" i="6" s="1"/>
  <c r="W261" i="8"/>
  <c r="X261" i="8" s="1"/>
  <c r="N261" i="8"/>
  <c r="O261" i="8" s="1"/>
  <c r="N104" i="6"/>
  <c r="O104" i="6" s="1"/>
  <c r="W104" i="6"/>
  <c r="X104" i="6" s="1"/>
  <c r="N252" i="8"/>
  <c r="O252" i="8" s="1"/>
  <c r="W252" i="8"/>
  <c r="X252" i="8" s="1"/>
  <c r="W69" i="6"/>
  <c r="X69" i="6" s="1"/>
  <c r="N69" i="6"/>
  <c r="O69" i="6" s="1"/>
  <c r="W105" i="8"/>
  <c r="X105" i="8" s="1"/>
  <c r="N105" i="8"/>
  <c r="O105" i="8" s="1"/>
  <c r="W170" i="8"/>
  <c r="X170" i="8" s="1"/>
  <c r="N170" i="8"/>
  <c r="O170" i="8" s="1"/>
  <c r="W12" i="6"/>
  <c r="X12" i="6" s="1"/>
  <c r="N12" i="6"/>
  <c r="O12" i="6" s="1"/>
  <c r="W111" i="8"/>
  <c r="X111" i="8" s="1"/>
  <c r="N111" i="8"/>
  <c r="O111" i="8" s="1"/>
  <c r="N34" i="8"/>
  <c r="O34" i="8" s="1"/>
  <c r="W34" i="8"/>
  <c r="X34" i="8" s="1"/>
  <c r="N37" i="8"/>
  <c r="O37" i="8" s="1"/>
  <c r="W37" i="8"/>
  <c r="X37" i="8" s="1"/>
  <c r="W144" i="6"/>
  <c r="X144" i="6" s="1"/>
  <c r="N144" i="6"/>
  <c r="O144" i="6" s="1"/>
  <c r="N231" i="8"/>
  <c r="O231" i="8" s="1"/>
  <c r="W231" i="8"/>
  <c r="X231" i="8" s="1"/>
  <c r="W255" i="8"/>
  <c r="X255" i="8" s="1"/>
  <c r="N255" i="8"/>
  <c r="O255" i="8" s="1"/>
  <c r="W64" i="8"/>
  <c r="X64" i="8" s="1"/>
  <c r="N64" i="8"/>
  <c r="O64" i="8" s="1"/>
  <c r="W214" i="8"/>
  <c r="X214" i="8" s="1"/>
  <c r="N214" i="8"/>
  <c r="O214" i="8" s="1"/>
  <c r="N96" i="6"/>
  <c r="O96" i="6" s="1"/>
  <c r="W96" i="6"/>
  <c r="X96" i="6" s="1"/>
  <c r="W256" i="6"/>
  <c r="X256" i="6" s="1"/>
  <c r="N256" i="6"/>
  <c r="O256" i="6" s="1"/>
  <c r="W210" i="8"/>
  <c r="X210" i="8" s="1"/>
  <c r="N210" i="8"/>
  <c r="O210" i="8" s="1"/>
  <c r="N110" i="8"/>
  <c r="O110" i="8" s="1"/>
  <c r="W110" i="8"/>
  <c r="X110" i="8" s="1"/>
  <c r="W159" i="8"/>
  <c r="X159" i="8" s="1"/>
  <c r="N159" i="8"/>
  <c r="O159" i="8" s="1"/>
  <c r="N210" i="6"/>
  <c r="O210" i="6" s="1"/>
  <c r="W210" i="6"/>
  <c r="X210" i="6" s="1"/>
  <c r="W187" i="8"/>
  <c r="X187" i="8" s="1"/>
  <c r="N187" i="8"/>
  <c r="O187" i="8" s="1"/>
  <c r="W183" i="6"/>
  <c r="X183" i="6" s="1"/>
  <c r="N183" i="6"/>
  <c r="O183" i="6" s="1"/>
  <c r="W82" i="8"/>
  <c r="X82" i="8" s="1"/>
  <c r="N82" i="8"/>
  <c r="O82" i="8" s="1"/>
  <c r="N265" i="8"/>
  <c r="O265" i="8" s="1"/>
  <c r="W265" i="8"/>
  <c r="X265" i="8" s="1"/>
  <c r="W170" i="6"/>
  <c r="X170" i="6" s="1"/>
  <c r="N170" i="6"/>
  <c r="O170" i="6" s="1"/>
  <c r="W26" i="8"/>
  <c r="X26" i="8" s="1"/>
  <c r="N26" i="8"/>
  <c r="O26" i="8" s="1"/>
  <c r="W44" i="6"/>
  <c r="X44" i="6" s="1"/>
  <c r="N44" i="6"/>
  <c r="O44" i="6" s="1"/>
  <c r="W186" i="8"/>
  <c r="X186" i="8" s="1"/>
  <c r="N186" i="8"/>
  <c r="O186" i="8" s="1"/>
  <c r="N75" i="6"/>
  <c r="O75" i="6" s="1"/>
  <c r="W75" i="6"/>
  <c r="X75" i="6" s="1"/>
  <c r="Y226" i="12"/>
  <c r="X226" i="12"/>
  <c r="AA226" i="12"/>
  <c r="AE47" i="5"/>
  <c r="AU47" i="5" s="1"/>
  <c r="AI47" i="5"/>
  <c r="N174" i="8"/>
  <c r="O174" i="8" s="1"/>
  <c r="W174" i="8"/>
  <c r="X174" i="8" s="1"/>
  <c r="N245" i="8"/>
  <c r="O245" i="8" s="1"/>
  <c r="W245" i="8"/>
  <c r="X245" i="8" s="1"/>
  <c r="AE25" i="5"/>
  <c r="AU25" i="5" s="1"/>
  <c r="AI25" i="5"/>
  <c r="W104" i="8"/>
  <c r="X104" i="8" s="1"/>
  <c r="N104" i="8"/>
  <c r="O104" i="8" s="1"/>
  <c r="AF71" i="6"/>
  <c r="AR71" i="6" s="1"/>
  <c r="AJ71" i="6"/>
  <c r="X301" i="12"/>
  <c r="Y301" i="12"/>
  <c r="AA301" i="12"/>
  <c r="AK205" i="8"/>
  <c r="AL205" i="8"/>
  <c r="X310" i="12"/>
  <c r="AA310" i="12"/>
  <c r="Y310" i="12"/>
  <c r="Y19" i="21"/>
  <c r="X19" i="21"/>
  <c r="AA19" i="21"/>
  <c r="N133" i="11"/>
  <c r="P133" i="11" s="1"/>
  <c r="O133" i="11"/>
  <c r="Q133" i="11" s="1"/>
  <c r="AI79" i="5"/>
  <c r="AE79" i="5"/>
  <c r="AU79" i="5" s="1"/>
  <c r="W175" i="6"/>
  <c r="X175" i="6" s="1"/>
  <c r="N175" i="6"/>
  <c r="O175" i="6" s="1"/>
  <c r="N140" i="8"/>
  <c r="O140" i="8" s="1"/>
  <c r="W140" i="8"/>
  <c r="X140" i="8" s="1"/>
  <c r="AQ16" i="21"/>
  <c r="AT16" i="21"/>
  <c r="AM16" i="21"/>
  <c r="AO16" i="21"/>
  <c r="AF133" i="8"/>
  <c r="AR133" i="8" s="1"/>
  <c r="AJ133" i="8"/>
  <c r="X185" i="12"/>
  <c r="AL193" i="8"/>
  <c r="AK193" i="8"/>
  <c r="AJ112" i="8"/>
  <c r="AF112" i="8"/>
  <c r="AR112" i="8" s="1"/>
  <c r="AF111" i="8"/>
  <c r="AR111" i="8" s="1"/>
  <c r="AJ111" i="8"/>
  <c r="AF75" i="6"/>
  <c r="AR75" i="6" s="1"/>
  <c r="AJ75" i="6"/>
  <c r="Y82" i="12"/>
  <c r="X82" i="12"/>
  <c r="AA82" i="12"/>
  <c r="AF25" i="8"/>
  <c r="AR25" i="8" s="1"/>
  <c r="AJ25" i="8"/>
  <c r="AF81" i="6"/>
  <c r="AR81" i="6" s="1"/>
  <c r="AJ81" i="6"/>
  <c r="AI26" i="5"/>
  <c r="AE26" i="5"/>
  <c r="AU26" i="5" s="1"/>
  <c r="AL30" i="8"/>
  <c r="AK30" i="8"/>
  <c r="AL238" i="6"/>
  <c r="AK238" i="6"/>
  <c r="AK86" i="6"/>
  <c r="AL86" i="6"/>
  <c r="AL207" i="8"/>
  <c r="AK207" i="8"/>
  <c r="AJ257" i="8"/>
  <c r="AF257" i="8"/>
  <c r="AR257" i="8" s="1"/>
  <c r="N224" i="8"/>
  <c r="O224" i="8" s="1"/>
  <c r="W224" i="8"/>
  <c r="X224" i="8" s="1"/>
  <c r="X120" i="21"/>
  <c r="AA120" i="21"/>
  <c r="Y120" i="21"/>
  <c r="AF265" i="8"/>
  <c r="AR265" i="8" s="1"/>
  <c r="AJ265" i="8"/>
  <c r="Y105" i="12"/>
  <c r="AA105" i="12"/>
  <c r="X105" i="12"/>
  <c r="AL61" i="6"/>
  <c r="AK61" i="6"/>
  <c r="AF139" i="8"/>
  <c r="AR139" i="8" s="1"/>
  <c r="AJ139" i="8"/>
  <c r="AK229" i="6"/>
  <c r="AL229" i="6"/>
  <c r="AF187" i="8"/>
  <c r="AR187" i="8" s="1"/>
  <c r="AJ187" i="8"/>
  <c r="AJ35" i="5"/>
  <c r="AO35" i="5" s="1"/>
  <c r="AM35" i="5"/>
  <c r="AJ100" i="8"/>
  <c r="AF100" i="8"/>
  <c r="AR100" i="8" s="1"/>
  <c r="AJ87" i="8"/>
  <c r="AF87" i="8"/>
  <c r="AR87" i="8" s="1"/>
  <c r="W171" i="8"/>
  <c r="X171" i="8" s="1"/>
  <c r="N171" i="8"/>
  <c r="O171" i="8" s="1"/>
  <c r="Y155" i="12"/>
  <c r="AA155" i="12"/>
  <c r="X155" i="12"/>
  <c r="AM301" i="12"/>
  <c r="AT301" i="12"/>
  <c r="AQ301" i="12"/>
  <c r="AO301" i="12"/>
  <c r="W121" i="8"/>
  <c r="X121" i="8" s="1"/>
  <c r="N121" i="8"/>
  <c r="O121" i="8" s="1"/>
  <c r="AK247" i="8"/>
  <c r="AL247" i="8"/>
  <c r="AL65" i="8"/>
  <c r="AK65" i="8"/>
  <c r="AL148" i="8"/>
  <c r="AK148" i="8"/>
  <c r="W61" i="8"/>
  <c r="X61" i="8" s="1"/>
  <c r="N61" i="8"/>
  <c r="O61" i="8" s="1"/>
  <c r="AF107" i="8"/>
  <c r="AR107" i="8" s="1"/>
  <c r="AJ107" i="8"/>
  <c r="AF68" i="6"/>
  <c r="AR68" i="6" s="1"/>
  <c r="AJ68" i="6"/>
  <c r="W29" i="6"/>
  <c r="X29" i="6" s="1"/>
  <c r="N29" i="6"/>
  <c r="O29" i="6" s="1"/>
  <c r="AA102" i="12"/>
  <c r="Y102" i="12"/>
  <c r="X102" i="12"/>
  <c r="AO310" i="12"/>
  <c r="AT310" i="12"/>
  <c r="AP310" i="12"/>
  <c r="AQ310" i="12"/>
  <c r="AM310" i="12"/>
  <c r="N132" i="11"/>
  <c r="P132" i="11" s="1"/>
  <c r="O132" i="11"/>
  <c r="Q132" i="11" s="1"/>
  <c r="AL181" i="8"/>
  <c r="AK181" i="8"/>
  <c r="W216" i="8"/>
  <c r="X216" i="8" s="1"/>
  <c r="N216" i="8"/>
  <c r="O216" i="8" s="1"/>
  <c r="X199" i="12"/>
  <c r="AA199" i="12"/>
  <c r="Y199" i="12"/>
  <c r="AO35" i="21"/>
  <c r="AQ35" i="21"/>
  <c r="AT35" i="21"/>
  <c r="AP35" i="21"/>
  <c r="AM35" i="21"/>
  <c r="AM14" i="21"/>
  <c r="AT14" i="21"/>
  <c r="AQ14" i="21"/>
  <c r="AO14" i="21"/>
  <c r="AM27" i="5"/>
  <c r="AJ27" i="5"/>
  <c r="AO27" i="5" s="1"/>
  <c r="AJ214" i="8"/>
  <c r="AF214" i="8"/>
  <c r="AR214" i="8" s="1"/>
  <c r="N133" i="8"/>
  <c r="O133" i="8" s="1"/>
  <c r="W133" i="8"/>
  <c r="X133" i="8" s="1"/>
  <c r="X263" i="12"/>
  <c r="Y263" i="12"/>
  <c r="AA263" i="12"/>
  <c r="Y420" i="12"/>
  <c r="AA420" i="12"/>
  <c r="X420" i="12"/>
  <c r="AA203" i="12"/>
  <c r="X223" i="12"/>
  <c r="AO6" i="21"/>
  <c r="AL144" i="8"/>
  <c r="AK144" i="8"/>
  <c r="AF183" i="6"/>
  <c r="AR183" i="6" s="1"/>
  <c r="AJ183" i="6"/>
  <c r="AF22" i="6"/>
  <c r="AR22" i="6" s="1"/>
  <c r="AJ22" i="6"/>
  <c r="M26" i="5"/>
  <c r="N26" i="5" s="1"/>
  <c r="V26" i="5"/>
  <c r="W26" i="5" s="1"/>
  <c r="AJ242" i="8"/>
  <c r="AF242" i="8"/>
  <c r="AR242" i="8" s="1"/>
  <c r="AF107" i="6"/>
  <c r="AR107" i="6" s="1"/>
  <c r="AJ107" i="6"/>
  <c r="AL120" i="6"/>
  <c r="AK120" i="6"/>
  <c r="AI78" i="5"/>
  <c r="AE78" i="5"/>
  <c r="AU78" i="5" s="1"/>
  <c r="AQ120" i="21"/>
  <c r="AT120" i="21"/>
  <c r="AO120" i="21"/>
  <c r="AM120" i="21"/>
  <c r="AL35" i="8"/>
  <c r="AK35" i="8"/>
  <c r="Y126" i="21"/>
  <c r="AA126" i="21"/>
  <c r="X126" i="21"/>
  <c r="AJ245" i="8"/>
  <c r="AF245" i="8"/>
  <c r="AR245" i="8" s="1"/>
  <c r="AJ144" i="6"/>
  <c r="AF144" i="6"/>
  <c r="AR144" i="6" s="1"/>
  <c r="AA245" i="12"/>
  <c r="Y245" i="12"/>
  <c r="X245" i="12"/>
  <c r="AF79" i="8"/>
  <c r="AR79" i="8" s="1"/>
  <c r="AJ79" i="8"/>
  <c r="AK178" i="6"/>
  <c r="AL178" i="6"/>
  <c r="AA174" i="12"/>
  <c r="Y174" i="12"/>
  <c r="X174" i="12"/>
  <c r="AL13" i="5"/>
  <c r="AM13" i="5"/>
  <c r="AJ13" i="5"/>
  <c r="AL142" i="8"/>
  <c r="AK142" i="8"/>
  <c r="AJ255" i="8"/>
  <c r="AF255" i="8"/>
  <c r="AR255" i="8" s="1"/>
  <c r="AJ106" i="8"/>
  <c r="AF106" i="8"/>
  <c r="AR106" i="8" s="1"/>
  <c r="AJ184" i="8"/>
  <c r="AF184" i="8"/>
  <c r="AR184" i="8" s="1"/>
  <c r="AJ44" i="6"/>
  <c r="AF44" i="6"/>
  <c r="AR44" i="6" s="1"/>
  <c r="AO296" i="12"/>
  <c r="AQ296" i="12"/>
  <c r="AT296" i="12"/>
  <c r="AF143" i="8"/>
  <c r="AR143" i="8" s="1"/>
  <c r="AJ143" i="8"/>
  <c r="AA273" i="12"/>
  <c r="Y273" i="12"/>
  <c r="X273" i="12"/>
  <c r="AL49" i="8"/>
  <c r="AK49" i="8"/>
  <c r="AL228" i="6"/>
  <c r="AK228" i="6"/>
  <c r="AL203" i="8"/>
  <c r="AK203" i="8"/>
  <c r="AF27" i="6"/>
  <c r="AR27" i="6" s="1"/>
  <c r="AJ27" i="6"/>
  <c r="AK194" i="6"/>
  <c r="AL194" i="6"/>
  <c r="AF140" i="8"/>
  <c r="AR140" i="8" s="1"/>
  <c r="AJ140" i="8"/>
  <c r="X88" i="12"/>
  <c r="Y88" i="12"/>
  <c r="AA88" i="12"/>
  <c r="X309" i="12"/>
  <c r="AA309" i="12"/>
  <c r="Y309" i="12"/>
  <c r="AA257" i="12"/>
  <c r="Y257" i="12"/>
  <c r="X257" i="12"/>
  <c r="AL13" i="8"/>
  <c r="AK13" i="8"/>
  <c r="AL260" i="8"/>
  <c r="AK260" i="8"/>
  <c r="X26" i="12"/>
  <c r="Y26" i="12"/>
  <c r="AA26" i="12"/>
  <c r="W48" i="8"/>
  <c r="X48" i="8" s="1"/>
  <c r="N48" i="8"/>
  <c r="O48" i="8" s="1"/>
  <c r="N42" i="8"/>
  <c r="O42" i="8" s="1"/>
  <c r="W42" i="8"/>
  <c r="X42" i="8" s="1"/>
  <c r="N139" i="8"/>
  <c r="O139" i="8" s="1"/>
  <c r="W139" i="8"/>
  <c r="X139" i="8" s="1"/>
  <c r="W100" i="8"/>
  <c r="X100" i="8" s="1"/>
  <c r="N100" i="8"/>
  <c r="O100" i="8" s="1"/>
  <c r="AF155" i="6"/>
  <c r="AR155" i="6" s="1"/>
  <c r="AJ155" i="6"/>
  <c r="Y412" i="12"/>
  <c r="AA412" i="12"/>
  <c r="X412" i="12"/>
  <c r="N226" i="8"/>
  <c r="O226" i="8" s="1"/>
  <c r="W226" i="8"/>
  <c r="X226" i="8" s="1"/>
  <c r="Y14" i="21"/>
  <c r="X14" i="21"/>
  <c r="AA14" i="21"/>
  <c r="Y203" i="12"/>
  <c r="AK95" i="6"/>
  <c r="AL95" i="6"/>
  <c r="AF115" i="6"/>
  <c r="AR115" i="6" s="1"/>
  <c r="AJ115" i="6"/>
  <c r="AF28" i="6"/>
  <c r="AR28" i="6" s="1"/>
  <c r="AJ28" i="6"/>
  <c r="O152" i="11"/>
  <c r="Q152" i="11" s="1"/>
  <c r="N152" i="11"/>
  <c r="P152" i="11" s="1"/>
  <c r="Y113" i="12"/>
  <c r="AA113" i="12"/>
  <c r="X113" i="12"/>
  <c r="AJ224" i="8"/>
  <c r="AF224" i="8"/>
  <c r="AR224" i="8" s="1"/>
  <c r="AK242" i="6"/>
  <c r="AL242" i="6"/>
  <c r="M83" i="5"/>
  <c r="V83" i="5"/>
  <c r="W83" i="5" s="1"/>
  <c r="AJ29" i="8"/>
  <c r="AF29" i="8"/>
  <c r="AR29" i="8" s="1"/>
  <c r="W244" i="8"/>
  <c r="X244" i="8" s="1"/>
  <c r="N244" i="8"/>
  <c r="O244" i="8" s="1"/>
  <c r="Y77" i="12"/>
  <c r="AA77" i="12"/>
  <c r="X77" i="12"/>
  <c r="AJ248" i="8"/>
  <c r="AF248" i="8"/>
  <c r="AR248" i="8" s="1"/>
  <c r="Y211" i="12"/>
  <c r="AA211" i="12"/>
  <c r="X211" i="12"/>
  <c r="AL249" i="8"/>
  <c r="AK249" i="8"/>
  <c r="AL179" i="8"/>
  <c r="AK179" i="8"/>
  <c r="N150" i="6"/>
  <c r="O150" i="6" s="1"/>
  <c r="W150" i="6"/>
  <c r="X150" i="6" s="1"/>
  <c r="N27" i="6"/>
  <c r="O27" i="6" s="1"/>
  <c r="W27" i="6"/>
  <c r="X27" i="6" s="1"/>
  <c r="X351" i="12"/>
  <c r="AA351" i="12"/>
  <c r="Y351" i="12"/>
  <c r="AI34" i="5"/>
  <c r="AE34" i="5"/>
  <c r="AU34" i="5" s="1"/>
  <c r="AJ210" i="8"/>
  <c r="AF210" i="8"/>
  <c r="AR210" i="8" s="1"/>
  <c r="AJ105" i="8"/>
  <c r="AF105" i="8"/>
  <c r="AR105" i="8" s="1"/>
  <c r="X337" i="12"/>
  <c r="Y337" i="12"/>
  <c r="AA337" i="12"/>
  <c r="AL213" i="6"/>
  <c r="AK213" i="6"/>
  <c r="AL173" i="8"/>
  <c r="AK173" i="8"/>
  <c r="N220" i="8"/>
  <c r="O220" i="8" s="1"/>
  <c r="W220" i="8"/>
  <c r="X220" i="8" s="1"/>
  <c r="V60" i="5"/>
  <c r="W60" i="5" s="1"/>
  <c r="M60" i="5"/>
  <c r="N60" i="5" s="1"/>
  <c r="N202" i="6"/>
  <c r="O202" i="6" s="1"/>
  <c r="W202" i="6"/>
  <c r="X202" i="6" s="1"/>
  <c r="AK189" i="6"/>
  <c r="AL189" i="6"/>
  <c r="AE73" i="5"/>
  <c r="AU73" i="5" s="1"/>
  <c r="AI73" i="5"/>
  <c r="N208" i="8"/>
  <c r="O208" i="8" s="1"/>
  <c r="W208" i="8"/>
  <c r="X208" i="8" s="1"/>
  <c r="V28" i="5"/>
  <c r="W28" i="5" s="1"/>
  <c r="M28" i="5"/>
  <c r="N28" i="5" s="1"/>
  <c r="AL157" i="8"/>
  <c r="AK157" i="8"/>
  <c r="AA296" i="12"/>
  <c r="X296" i="12"/>
  <c r="Y296" i="12"/>
  <c r="N135" i="11"/>
  <c r="P135" i="11" s="1"/>
  <c r="O135" i="11"/>
  <c r="Q135" i="11" s="1"/>
  <c r="W153" i="8"/>
  <c r="X153" i="8" s="1"/>
  <c r="N153" i="8"/>
  <c r="O153" i="8" s="1"/>
  <c r="AJ69" i="6"/>
  <c r="AF69" i="6"/>
  <c r="AR69" i="6" s="1"/>
  <c r="AF64" i="8"/>
  <c r="AR64" i="8" s="1"/>
  <c r="AJ64" i="8"/>
  <c r="AJ12" i="6"/>
  <c r="AF12" i="6"/>
  <c r="AR12" i="6" s="1"/>
  <c r="AA47" i="12"/>
  <c r="Y47" i="12"/>
  <c r="X47" i="12"/>
  <c r="N41" i="8"/>
  <c r="O41" i="8" s="1"/>
  <c r="W41" i="8"/>
  <c r="X41" i="8" s="1"/>
  <c r="Y242" i="12"/>
  <c r="AA147" i="12"/>
  <c r="AA63" i="21"/>
  <c r="O157" i="11"/>
  <c r="Q157" i="11" s="1"/>
  <c r="N157" i="11"/>
  <c r="P157" i="11" s="1"/>
  <c r="AF103" i="8"/>
  <c r="AR103" i="8" s="1"/>
  <c r="AJ103" i="8"/>
  <c r="AK120" i="8"/>
  <c r="AL120" i="8"/>
  <c r="W132" i="8"/>
  <c r="X132" i="8" s="1"/>
  <c r="N132" i="8"/>
  <c r="O132" i="8" s="1"/>
  <c r="AE60" i="5"/>
  <c r="AU60" i="5" s="1"/>
  <c r="AI60" i="5"/>
  <c r="AL158" i="8"/>
  <c r="AK158" i="8"/>
  <c r="AF202" i="6"/>
  <c r="AR202" i="6" s="1"/>
  <c r="AJ202" i="6"/>
  <c r="AT33" i="21"/>
  <c r="AQ33" i="21"/>
  <c r="AP33" i="21"/>
  <c r="AM33" i="21"/>
  <c r="AO33" i="21"/>
  <c r="AL239" i="8"/>
  <c r="AK239" i="8"/>
  <c r="AJ72" i="8"/>
  <c r="AF72" i="8"/>
  <c r="AR72" i="8" s="1"/>
  <c r="AL62" i="8"/>
  <c r="AK62" i="8"/>
  <c r="AJ254" i="8"/>
  <c r="AF254" i="8"/>
  <c r="AR254" i="8" s="1"/>
  <c r="Y349" i="12"/>
  <c r="AA349" i="12"/>
  <c r="X349" i="12"/>
  <c r="AE77" i="5"/>
  <c r="AU77" i="5" s="1"/>
  <c r="AI77" i="5"/>
  <c r="AK247" i="6"/>
  <c r="AL247" i="6"/>
  <c r="AL241" i="8"/>
  <c r="AK241" i="8"/>
  <c r="AJ131" i="6"/>
  <c r="AF131" i="6"/>
  <c r="AR131" i="6" s="1"/>
  <c r="AA332" i="12"/>
  <c r="Y332" i="12"/>
  <c r="X332" i="12"/>
  <c r="AL145" i="8"/>
  <c r="AK145" i="8"/>
  <c r="AF47" i="8"/>
  <c r="AR47" i="8" s="1"/>
  <c r="AJ47" i="8"/>
  <c r="AJ30" i="6"/>
  <c r="AF30" i="6"/>
  <c r="AR30" i="6" s="1"/>
  <c r="AJ244" i="8"/>
  <c r="AF244" i="8"/>
  <c r="AR244" i="8" s="1"/>
  <c r="AK212" i="8"/>
  <c r="AL212" i="8"/>
  <c r="AJ86" i="8"/>
  <c r="AF86" i="8"/>
  <c r="AR86" i="8" s="1"/>
  <c r="AJ37" i="6"/>
  <c r="AF37" i="6"/>
  <c r="AR37" i="6" s="1"/>
  <c r="AF153" i="8"/>
  <c r="AR153" i="8" s="1"/>
  <c r="AJ153" i="8"/>
  <c r="AL151" i="8"/>
  <c r="AK151" i="8"/>
  <c r="AA304" i="12"/>
  <c r="X304" i="12"/>
  <c r="Y304" i="12"/>
  <c r="AJ169" i="8"/>
  <c r="AF169" i="8"/>
  <c r="AR169" i="8" s="1"/>
  <c r="AJ51" i="5"/>
  <c r="AO51" i="5" s="1"/>
  <c r="AM51" i="5"/>
  <c r="AL259" i="8"/>
  <c r="AK259" i="8"/>
  <c r="AF95" i="8"/>
  <c r="AR95" i="8" s="1"/>
  <c r="AJ95" i="8"/>
  <c r="AJ261" i="8"/>
  <c r="AF261" i="8"/>
  <c r="AR261" i="8" s="1"/>
  <c r="N122" i="8"/>
  <c r="O122" i="8" s="1"/>
  <c r="W122" i="8"/>
  <c r="X122" i="8" s="1"/>
  <c r="AF106" i="6"/>
  <c r="AR106" i="6" s="1"/>
  <c r="AJ106" i="6"/>
  <c r="AF80" i="6"/>
  <c r="AR80" i="6" s="1"/>
  <c r="AJ80" i="6"/>
  <c r="Y217" i="12"/>
  <c r="AA217" i="12"/>
  <c r="X217" i="12"/>
  <c r="X252" i="12"/>
  <c r="AA252" i="12"/>
  <c r="Y252" i="12"/>
  <c r="M52" i="5"/>
  <c r="N52" i="5" s="1"/>
  <c r="V52" i="5"/>
  <c r="W52" i="5" s="1"/>
  <c r="AJ135" i="8"/>
  <c r="AF135" i="8"/>
  <c r="AR135" i="8" s="1"/>
  <c r="N114" i="8"/>
  <c r="O114" i="8" s="1"/>
  <c r="W114" i="8"/>
  <c r="X114" i="8" s="1"/>
  <c r="AF27" i="8"/>
  <c r="AR27" i="8" s="1"/>
  <c r="AJ27" i="8"/>
  <c r="AP437" i="12"/>
  <c r="AO437" i="12"/>
  <c r="AQ437" i="12"/>
  <c r="AT437" i="12"/>
  <c r="AL262" i="8"/>
  <c r="AK262" i="8"/>
  <c r="AJ41" i="8"/>
  <c r="AF41" i="8"/>
  <c r="AR41" i="8" s="1"/>
  <c r="X249" i="12"/>
  <c r="AA249" i="12"/>
  <c r="Y249" i="12"/>
  <c r="X434" i="12"/>
  <c r="Y434" i="12"/>
  <c r="AA434" i="12"/>
  <c r="AK266" i="6"/>
  <c r="AL266" i="6"/>
  <c r="AK137" i="8"/>
  <c r="AL137" i="8"/>
  <c r="N102" i="8"/>
  <c r="O102" i="8" s="1"/>
  <c r="W102" i="8"/>
  <c r="X102" i="8" s="1"/>
  <c r="W257" i="8"/>
  <c r="X257" i="8" s="1"/>
  <c r="N257" i="8"/>
  <c r="O257" i="8" s="1"/>
  <c r="E75" i="5"/>
  <c r="AD75" i="5"/>
  <c r="W87" i="8"/>
  <c r="X87" i="8" s="1"/>
  <c r="N87" i="8"/>
  <c r="O87" i="8" s="1"/>
  <c r="AA244" i="12"/>
  <c r="X244" i="12"/>
  <c r="Y244" i="12"/>
  <c r="AL251" i="6"/>
  <c r="AK251" i="6"/>
  <c r="AF61" i="8"/>
  <c r="AR61" i="8" s="1"/>
  <c r="AJ61" i="8"/>
  <c r="AF156" i="8"/>
  <c r="AR156" i="8" s="1"/>
  <c r="AJ156" i="8"/>
  <c r="AL23" i="8"/>
  <c r="AK23" i="8"/>
  <c r="AJ190" i="8"/>
  <c r="AF190" i="8"/>
  <c r="AR190" i="8" s="1"/>
  <c r="AF108" i="6"/>
  <c r="AR108" i="6" s="1"/>
  <c r="AJ108" i="6"/>
  <c r="AL189" i="8"/>
  <c r="AK189" i="8"/>
  <c r="N72" i="8"/>
  <c r="O72" i="8" s="1"/>
  <c r="W72" i="8"/>
  <c r="X72" i="8" s="1"/>
  <c r="AF230" i="6"/>
  <c r="AR230" i="6" s="1"/>
  <c r="AJ230" i="6"/>
  <c r="W150" i="11"/>
  <c r="X150" i="11" s="1"/>
  <c r="M150" i="11"/>
  <c r="AL66" i="6"/>
  <c r="AK66" i="6"/>
  <c r="AF158" i="6"/>
  <c r="AR158" i="6" s="1"/>
  <c r="AJ158" i="6"/>
  <c r="N86" i="8"/>
  <c r="O86" i="8" s="1"/>
  <c r="W86" i="8"/>
  <c r="X86" i="8" s="1"/>
  <c r="AF168" i="8"/>
  <c r="AR168" i="8" s="1"/>
  <c r="AJ168" i="8"/>
  <c r="AL262" i="6"/>
  <c r="AK262" i="6"/>
  <c r="AK244" i="6"/>
  <c r="AL244" i="6"/>
  <c r="N106" i="6"/>
  <c r="O106" i="6" s="1"/>
  <c r="W106" i="6"/>
  <c r="X106" i="6" s="1"/>
  <c r="AK241" i="6"/>
  <c r="AL241" i="6"/>
  <c r="AJ58" i="5"/>
  <c r="AO58" i="5" s="1"/>
  <c r="AM58" i="5"/>
  <c r="AJ96" i="6"/>
  <c r="AF96" i="6"/>
  <c r="AR96" i="6" s="1"/>
  <c r="Y262" i="12"/>
  <c r="X262" i="12"/>
  <c r="AA262" i="12"/>
  <c r="AJ84" i="5"/>
  <c r="AO84" i="5" s="1"/>
  <c r="AM84" i="5"/>
  <c r="AL167" i="8"/>
  <c r="AK167" i="8"/>
  <c r="AF26" i="8"/>
  <c r="AR26" i="8" s="1"/>
  <c r="AJ26" i="8"/>
  <c r="AL101" i="8"/>
  <c r="AK101" i="8"/>
  <c r="AK99" i="6"/>
  <c r="AL99" i="6"/>
  <c r="AK40" i="6"/>
  <c r="AL40" i="6"/>
  <c r="N172" i="8"/>
  <c r="O172" i="8" s="1"/>
  <c r="W172" i="8"/>
  <c r="X172" i="8" s="1"/>
  <c r="N78" i="6"/>
  <c r="O78" i="6" s="1"/>
  <c r="W78" i="6"/>
  <c r="X78" i="6" s="1"/>
  <c r="Y125" i="12"/>
  <c r="AA237" i="12"/>
  <c r="Y147" i="12"/>
  <c r="X63" i="21"/>
  <c r="N131" i="11"/>
  <c r="P131" i="11" s="1"/>
  <c r="O131" i="11"/>
  <c r="Q131" i="11" s="1"/>
  <c r="AF110" i="8"/>
  <c r="AR110" i="8" s="1"/>
  <c r="AJ110" i="8"/>
  <c r="AA325" i="12"/>
  <c r="X325" i="12"/>
  <c r="Y325" i="12"/>
  <c r="AL248" i="6"/>
  <c r="AK248" i="6"/>
  <c r="AJ119" i="6"/>
  <c r="AF119" i="6"/>
  <c r="AR119" i="6" s="1"/>
  <c r="AF37" i="8"/>
  <c r="AR37" i="8" s="1"/>
  <c r="AJ37" i="8"/>
  <c r="AA33" i="21"/>
  <c r="X33" i="21"/>
  <c r="Y33" i="21"/>
  <c r="AL138" i="8"/>
  <c r="AK138" i="8"/>
  <c r="AF256" i="6"/>
  <c r="AR256" i="6" s="1"/>
  <c r="AJ256" i="6"/>
  <c r="AA171" i="12"/>
  <c r="X171" i="12"/>
  <c r="Y171" i="12"/>
  <c r="AF42" i="8"/>
  <c r="AR42" i="8" s="1"/>
  <c r="AJ42" i="8"/>
  <c r="N137" i="11"/>
  <c r="P137" i="11" s="1"/>
  <c r="O137" i="11"/>
  <c r="Q137" i="11" s="1"/>
  <c r="AT123" i="21"/>
  <c r="AP123" i="21"/>
  <c r="AQ123" i="21"/>
  <c r="AO123" i="21"/>
  <c r="AL256" i="8"/>
  <c r="AK256" i="8"/>
  <c r="M77" i="5"/>
  <c r="V77" i="5"/>
  <c r="W77" i="5" s="1"/>
  <c r="AK211" i="8"/>
  <c r="AL211" i="8"/>
  <c r="AK84" i="8"/>
  <c r="AL84" i="8"/>
  <c r="N131" i="6"/>
  <c r="O131" i="6" s="1"/>
  <c r="W131" i="6"/>
  <c r="X131" i="6" s="1"/>
  <c r="AK112" i="6"/>
  <c r="AL112" i="6"/>
  <c r="W47" i="8"/>
  <c r="X47" i="8" s="1"/>
  <c r="N47" i="8"/>
  <c r="O47" i="8" s="1"/>
  <c r="AF231" i="8"/>
  <c r="AR231" i="8" s="1"/>
  <c r="AJ231" i="8"/>
  <c r="AA93" i="12"/>
  <c r="X93" i="12"/>
  <c r="Y93" i="12"/>
  <c r="N142" i="11"/>
  <c r="P142" i="11" s="1"/>
  <c r="O142" i="11"/>
  <c r="Q142" i="11" s="1"/>
  <c r="AL208" i="6"/>
  <c r="AK208" i="6"/>
  <c r="AM53" i="5"/>
  <c r="AJ53" i="5"/>
  <c r="AO53" i="5" s="1"/>
  <c r="AM57" i="5"/>
  <c r="AJ57" i="5"/>
  <c r="AO57" i="5" s="1"/>
  <c r="AL218" i="8"/>
  <c r="AK218" i="8"/>
  <c r="AJ115" i="8"/>
  <c r="AF115" i="8"/>
  <c r="AR115" i="8" s="1"/>
  <c r="AF74" i="8"/>
  <c r="AR74" i="8" s="1"/>
  <c r="AJ74" i="8"/>
  <c r="W37" i="6"/>
  <c r="X37" i="6" s="1"/>
  <c r="N37" i="6"/>
  <c r="O37" i="6" s="1"/>
  <c r="X165" i="12"/>
  <c r="AA165" i="12"/>
  <c r="Y165" i="12"/>
  <c r="AJ186" i="8"/>
  <c r="AF186" i="8"/>
  <c r="AR186" i="8" s="1"/>
  <c r="AF122" i="6"/>
  <c r="AR122" i="6" s="1"/>
  <c r="AJ122" i="6"/>
  <c r="AJ150" i="8"/>
  <c r="AF150" i="8"/>
  <c r="AR150" i="8" s="1"/>
  <c r="AF139" i="6"/>
  <c r="AR139" i="6" s="1"/>
  <c r="AJ139" i="6"/>
  <c r="AP304" i="12"/>
  <c r="AO304" i="12"/>
  <c r="AQ304" i="12"/>
  <c r="AT304" i="12"/>
  <c r="AK258" i="6"/>
  <c r="AL258" i="6"/>
  <c r="AK226" i="6"/>
  <c r="AL226" i="6"/>
  <c r="N95" i="8"/>
  <c r="O95" i="8" s="1"/>
  <c r="W95" i="8"/>
  <c r="X95" i="8" s="1"/>
  <c r="AL66" i="8"/>
  <c r="AK66" i="8"/>
  <c r="AF228" i="8"/>
  <c r="AR228" i="8" s="1"/>
  <c r="AJ228" i="8"/>
  <c r="AF191" i="8"/>
  <c r="AR191" i="8" s="1"/>
  <c r="AJ191" i="8"/>
  <c r="AF122" i="8"/>
  <c r="AR122" i="8" s="1"/>
  <c r="AJ122" i="8"/>
  <c r="N156" i="8"/>
  <c r="O156" i="8" s="1"/>
  <c r="W156" i="8"/>
  <c r="X156" i="8" s="1"/>
  <c r="W80" i="6"/>
  <c r="X80" i="6" s="1"/>
  <c r="N80" i="6"/>
  <c r="O80" i="6" s="1"/>
  <c r="M143" i="11"/>
  <c r="W143" i="11"/>
  <c r="X143" i="11" s="1"/>
  <c r="AA216" i="12"/>
  <c r="X216" i="12"/>
  <c r="Y216" i="12"/>
  <c r="AO19" i="21"/>
  <c r="AP19" i="21"/>
  <c r="AQ19" i="21"/>
  <c r="AT19" i="21"/>
  <c r="AE52" i="5"/>
  <c r="AU52" i="5" s="1"/>
  <c r="AI52" i="5"/>
  <c r="O146" i="11"/>
  <c r="Q146" i="11" s="1"/>
  <c r="N146" i="11"/>
  <c r="P146" i="11" s="1"/>
  <c r="AJ252" i="8"/>
  <c r="AF252" i="8"/>
  <c r="AR252" i="8" s="1"/>
  <c r="AF114" i="8"/>
  <c r="AR114" i="8" s="1"/>
  <c r="AJ114" i="8"/>
  <c r="AF173" i="6"/>
  <c r="AR173" i="6" s="1"/>
  <c r="AJ173" i="6"/>
  <c r="AF78" i="6"/>
  <c r="AR78" i="6" s="1"/>
  <c r="AJ78" i="6"/>
  <c r="Y437" i="12"/>
  <c r="X437" i="12"/>
  <c r="AA437" i="12"/>
  <c r="Y172" i="12"/>
  <c r="AA172" i="12"/>
  <c r="X172" i="12"/>
  <c r="AA258" i="12"/>
  <c r="X258" i="12"/>
  <c r="Y258" i="12"/>
  <c r="AQ434" i="12"/>
  <c r="AO434" i="12"/>
  <c r="AP434" i="12"/>
  <c r="AT434" i="12"/>
  <c r="AE49" i="5"/>
  <c r="AU49" i="5" s="1"/>
  <c r="AI49" i="5"/>
  <c r="W144" i="11"/>
  <c r="X144" i="11" s="1"/>
  <c r="M144" i="11"/>
  <c r="AJ59" i="5"/>
  <c r="AO59" i="5" s="1"/>
  <c r="AM59" i="5"/>
  <c r="AF210" i="6"/>
  <c r="AR210" i="6" s="1"/>
  <c r="AJ210" i="6"/>
  <c r="AK263" i="8"/>
  <c r="AL263" i="8"/>
  <c r="N134" i="8"/>
  <c r="O134" i="8" s="1"/>
  <c r="W134" i="8"/>
  <c r="X134" i="8" s="1"/>
  <c r="W217" i="6"/>
  <c r="X217" i="6" s="1"/>
  <c r="N217" i="6"/>
  <c r="O217" i="6" s="1"/>
  <c r="W45" i="8"/>
  <c r="X45" i="8" s="1"/>
  <c r="N45" i="8"/>
  <c r="O45" i="8" s="1"/>
  <c r="AJ76" i="5"/>
  <c r="AO76" i="5" s="1"/>
  <c r="AM76" i="5"/>
  <c r="X205" i="12"/>
  <c r="AA205" i="12"/>
  <c r="Y205" i="12"/>
  <c r="AF29" i="6"/>
  <c r="AR29" i="6" s="1"/>
  <c r="AJ29" i="6"/>
  <c r="AA35" i="21"/>
  <c r="X35" i="21"/>
  <c r="Y35" i="21"/>
  <c r="AL246" i="8"/>
  <c r="AK246" i="8"/>
  <c r="AL195" i="8"/>
  <c r="AK195" i="8"/>
  <c r="AF220" i="8"/>
  <c r="AR220" i="8" s="1"/>
  <c r="AJ220" i="8"/>
  <c r="AJ70" i="6"/>
  <c r="AF70" i="6"/>
  <c r="AR70" i="6" s="1"/>
  <c r="AF82" i="8"/>
  <c r="AR82" i="8" s="1"/>
  <c r="AJ82" i="8"/>
  <c r="N242" i="8"/>
  <c r="O242" i="8" s="1"/>
  <c r="W242" i="8"/>
  <c r="X242" i="8" s="1"/>
  <c r="AA327" i="12"/>
  <c r="Y327" i="12"/>
  <c r="X327" i="12"/>
  <c r="V78" i="5"/>
  <c r="W78" i="5" s="1"/>
  <c r="M78" i="5"/>
  <c r="AF208" i="8"/>
  <c r="AR208" i="8" s="1"/>
  <c r="AJ208" i="8"/>
  <c r="AE28" i="5"/>
  <c r="AU28" i="5" s="1"/>
  <c r="AI28" i="5"/>
  <c r="AT126" i="21"/>
  <c r="AO126" i="21"/>
  <c r="AQ126" i="21"/>
  <c r="AP126" i="21"/>
  <c r="AM126" i="21"/>
  <c r="O149" i="11"/>
  <c r="Q149" i="11" s="1"/>
  <c r="N149" i="11"/>
  <c r="P149" i="11" s="1"/>
  <c r="AK70" i="8"/>
  <c r="AL70" i="8"/>
  <c r="W79" i="8"/>
  <c r="X79" i="8" s="1"/>
  <c r="N79" i="8"/>
  <c r="O79" i="8" s="1"/>
  <c r="Y424" i="12"/>
  <c r="X424" i="12"/>
  <c r="AA424" i="12"/>
  <c r="W152" i="8"/>
  <c r="X152" i="8" s="1"/>
  <c r="N152" i="8"/>
  <c r="O152" i="8" s="1"/>
  <c r="AA222" i="12"/>
  <c r="Y222" i="12"/>
  <c r="X222" i="12"/>
  <c r="AJ171" i="8"/>
  <c r="AF171" i="8"/>
  <c r="AR171" i="8" s="1"/>
  <c r="W143" i="8"/>
  <c r="X143" i="8" s="1"/>
  <c r="N143" i="8"/>
  <c r="O143" i="8" s="1"/>
  <c r="AF230" i="8"/>
  <c r="AR230" i="8" s="1"/>
  <c r="AJ230" i="8"/>
  <c r="AJ121" i="8"/>
  <c r="AF121" i="8"/>
  <c r="AR121" i="8" s="1"/>
  <c r="AK80" i="8"/>
  <c r="AL80" i="8"/>
  <c r="X375" i="12"/>
  <c r="Y375" i="12"/>
  <c r="AA375" i="12"/>
  <c r="AF172" i="8"/>
  <c r="AR172" i="8" s="1"/>
  <c r="AJ172" i="8"/>
  <c r="AF216" i="8"/>
  <c r="AR216" i="8" s="1"/>
  <c r="AJ216" i="8"/>
  <c r="W27" i="8"/>
  <c r="X27" i="8" s="1"/>
  <c r="N27" i="8"/>
  <c r="O27" i="8" s="1"/>
  <c r="AJ77" i="6"/>
  <c r="AF77" i="6"/>
  <c r="AR77" i="6" s="1"/>
  <c r="AO309" i="12"/>
  <c r="AQ309" i="12"/>
  <c r="AP309" i="12"/>
  <c r="AT309" i="12"/>
  <c r="N190" i="8"/>
  <c r="O190" i="8" s="1"/>
  <c r="W190" i="8"/>
  <c r="X190" i="8" s="1"/>
  <c r="AF82" i="6"/>
  <c r="AR82" i="6" s="1"/>
  <c r="AJ82" i="6"/>
  <c r="W28" i="6"/>
  <c r="X28" i="6" s="1"/>
  <c r="N28" i="6"/>
  <c r="O28" i="6" s="1"/>
  <c r="N230" i="6"/>
  <c r="O230" i="6" s="1"/>
  <c r="W230" i="6"/>
  <c r="X230" i="6" s="1"/>
  <c r="AJ159" i="8"/>
  <c r="AF159" i="8"/>
  <c r="AR159" i="8" s="1"/>
  <c r="AE83" i="5"/>
  <c r="AU83" i="5" s="1"/>
  <c r="AI83" i="5"/>
  <c r="AK261" i="6"/>
  <c r="AL261" i="6"/>
  <c r="AK252" i="6"/>
  <c r="AL252" i="6"/>
  <c r="AJ23" i="5"/>
  <c r="AN23" i="5" s="1"/>
  <c r="AL23" i="5"/>
  <c r="AL178" i="8"/>
  <c r="AK178" i="8"/>
  <c r="AF152" i="8"/>
  <c r="AR152" i="8" s="1"/>
  <c r="AJ152" i="8"/>
  <c r="N139" i="6"/>
  <c r="O139" i="6" s="1"/>
  <c r="W139" i="6"/>
  <c r="X139" i="6" s="1"/>
  <c r="N230" i="8"/>
  <c r="O230" i="8" s="1"/>
  <c r="W230" i="8"/>
  <c r="X230" i="8" s="1"/>
  <c r="AJ150" i="6"/>
  <c r="AF150" i="6"/>
  <c r="AR150" i="6" s="1"/>
  <c r="M34" i="5"/>
  <c r="N34" i="5" s="1"/>
  <c r="V34" i="5"/>
  <c r="W34" i="5" s="1"/>
  <c r="AM54" i="5"/>
  <c r="AJ54" i="5"/>
  <c r="AO54" i="5" s="1"/>
  <c r="AL176" i="8"/>
  <c r="AK176" i="8"/>
  <c r="N141" i="11"/>
  <c r="P141" i="11" s="1"/>
  <c r="O141" i="11"/>
  <c r="Q141" i="11" s="1"/>
  <c r="AA125" i="12"/>
  <c r="O139" i="11"/>
  <c r="Q139" i="11" s="1"/>
  <c r="N139" i="11"/>
  <c r="P139" i="11" s="1"/>
  <c r="AM62" i="5"/>
  <c r="AJ62" i="5"/>
  <c r="AO62" i="5" s="1"/>
  <c r="AK68" i="8"/>
  <c r="AL68" i="8"/>
  <c r="N103" i="8"/>
  <c r="O103" i="8" s="1"/>
  <c r="W103" i="8"/>
  <c r="X103" i="8" s="1"/>
  <c r="AF146" i="8"/>
  <c r="AR146" i="8" s="1"/>
  <c r="AJ146" i="8"/>
  <c r="AF132" i="8"/>
  <c r="AR132" i="8" s="1"/>
  <c r="AJ132" i="8"/>
  <c r="AF102" i="8"/>
  <c r="AR102" i="8" s="1"/>
  <c r="AJ102" i="8"/>
  <c r="AJ34" i="8"/>
  <c r="AF34" i="8"/>
  <c r="AR34" i="8" s="1"/>
  <c r="Y121" i="12"/>
  <c r="X121" i="12"/>
  <c r="AA121" i="12"/>
  <c r="M47" i="5"/>
  <c r="N47" i="5" s="1"/>
  <c r="V47" i="5"/>
  <c r="W47" i="5" s="1"/>
  <c r="AJ174" i="8"/>
  <c r="AF174" i="8"/>
  <c r="AR174" i="8" s="1"/>
  <c r="AF48" i="8"/>
  <c r="AR48" i="8" s="1"/>
  <c r="AJ48" i="8"/>
  <c r="M49" i="5"/>
  <c r="N49" i="5" s="1"/>
  <c r="V49" i="5"/>
  <c r="W49" i="5" s="1"/>
  <c r="AJ81" i="5"/>
  <c r="AO81" i="5" s="1"/>
  <c r="AM81" i="5"/>
  <c r="X68" i="12"/>
  <c r="Y68" i="12"/>
  <c r="AA68" i="12"/>
  <c r="X123" i="21"/>
  <c r="Y123" i="21"/>
  <c r="AA123" i="21"/>
  <c r="AL78" i="8"/>
  <c r="AK78" i="8"/>
  <c r="AK192" i="8"/>
  <c r="AL192" i="8"/>
  <c r="AF170" i="8"/>
  <c r="AR170" i="8" s="1"/>
  <c r="AJ170" i="8"/>
  <c r="AJ218" i="6"/>
  <c r="AF218" i="6"/>
  <c r="AR218" i="6" s="1"/>
  <c r="Y251" i="12"/>
  <c r="X251" i="12"/>
  <c r="AA251" i="12"/>
  <c r="N153" i="11"/>
  <c r="P153" i="11" s="1"/>
  <c r="O153" i="11"/>
  <c r="Q153" i="11" s="1"/>
  <c r="AJ50" i="5"/>
  <c r="AO50" i="5" s="1"/>
  <c r="AM50" i="5"/>
  <c r="AF99" i="8"/>
  <c r="AR99" i="8" s="1"/>
  <c r="AJ99" i="8"/>
  <c r="Y50" i="12"/>
  <c r="AA50" i="12"/>
  <c r="X50" i="12"/>
  <c r="M25" i="5"/>
  <c r="N25" i="5" s="1"/>
  <c r="V25" i="5"/>
  <c r="W25" i="5" s="1"/>
  <c r="AF170" i="6"/>
  <c r="AR170" i="6" s="1"/>
  <c r="AJ170" i="6"/>
  <c r="AL97" i="6"/>
  <c r="AK97" i="6"/>
  <c r="AL182" i="8"/>
  <c r="AK182" i="8"/>
  <c r="AJ222" i="8"/>
  <c r="AF222" i="8"/>
  <c r="AR222" i="8" s="1"/>
  <c r="AF104" i="8"/>
  <c r="AR104" i="8" s="1"/>
  <c r="AJ104" i="8"/>
  <c r="AF134" i="8"/>
  <c r="AR134" i="8" s="1"/>
  <c r="AJ134" i="8"/>
  <c r="AF217" i="6"/>
  <c r="AR217" i="6" s="1"/>
  <c r="AJ217" i="6"/>
  <c r="Y97" i="12"/>
  <c r="X97" i="12"/>
  <c r="AA97" i="12"/>
  <c r="AA250" i="12"/>
  <c r="X250" i="12"/>
  <c r="Y250" i="12"/>
  <c r="AJ38" i="5"/>
  <c r="AO38" i="5" s="1"/>
  <c r="AM38" i="5"/>
  <c r="AJ45" i="8"/>
  <c r="AF45" i="8"/>
  <c r="AR45" i="8" s="1"/>
  <c r="Y168" i="12"/>
  <c r="AA168" i="12"/>
  <c r="X168" i="12"/>
  <c r="N71" i="6"/>
  <c r="O71" i="6" s="1"/>
  <c r="W71" i="6"/>
  <c r="X71" i="6" s="1"/>
  <c r="AJ226" i="8"/>
  <c r="AF226" i="8"/>
  <c r="AR226" i="8" s="1"/>
  <c r="AF104" i="6"/>
  <c r="AR104" i="6" s="1"/>
  <c r="AJ104" i="6"/>
  <c r="AK206" i="6"/>
  <c r="AL206" i="6"/>
  <c r="V79" i="5"/>
  <c r="W79" i="5" s="1"/>
  <c r="M79" i="5"/>
  <c r="AJ175" i="6"/>
  <c r="AF175" i="6"/>
  <c r="AR175" i="6" s="1"/>
  <c r="Y108" i="12"/>
  <c r="AA108" i="12"/>
  <c r="X108" i="12"/>
  <c r="Y255" i="12"/>
  <c r="AA255" i="12"/>
  <c r="X255" i="12"/>
  <c r="AL102" i="8" l="1"/>
  <c r="AK102" i="8"/>
  <c r="AK230" i="6"/>
  <c r="AL230" i="6"/>
  <c r="AL41" i="8"/>
  <c r="AK41" i="8"/>
  <c r="AK26" i="8"/>
  <c r="AL26" i="8"/>
  <c r="AL224" i="8"/>
  <c r="AK224" i="8"/>
  <c r="AL106" i="8"/>
  <c r="AK106" i="8"/>
  <c r="AJ79" i="5"/>
  <c r="AO79" i="5" s="1"/>
  <c r="AM79" i="5"/>
  <c r="AL47" i="5"/>
  <c r="AJ47" i="5"/>
  <c r="AN47" i="5" s="1"/>
  <c r="AL159" i="8"/>
  <c r="AK159" i="8"/>
  <c r="AL82" i="8"/>
  <c r="AK82" i="8"/>
  <c r="AK42" i="8"/>
  <c r="AL42" i="8"/>
  <c r="AL74" i="8"/>
  <c r="AK74" i="8"/>
  <c r="AK96" i="6"/>
  <c r="AL96" i="6"/>
  <c r="AL244" i="8"/>
  <c r="AK244" i="8"/>
  <c r="AK68" i="6"/>
  <c r="AL68" i="6"/>
  <c r="AL87" i="8"/>
  <c r="AK87" i="8"/>
  <c r="AL265" i="8"/>
  <c r="AK265" i="8"/>
  <c r="AL257" i="8"/>
  <c r="AK257" i="8"/>
  <c r="AM25" i="5"/>
  <c r="AJ25" i="5"/>
  <c r="AO25" i="5" s="1"/>
  <c r="AK104" i="6"/>
  <c r="AL104" i="6"/>
  <c r="AL218" i="6"/>
  <c r="AK218" i="6"/>
  <c r="AL146" i="8"/>
  <c r="AK146" i="8"/>
  <c r="AM49" i="5"/>
  <c r="AJ49" i="5"/>
  <c r="AO49" i="5" s="1"/>
  <c r="AL122" i="8"/>
  <c r="AK122" i="8"/>
  <c r="AK231" i="8"/>
  <c r="AL231" i="8"/>
  <c r="AL156" i="8"/>
  <c r="AK156" i="8"/>
  <c r="AK135" i="8"/>
  <c r="AL135" i="8"/>
  <c r="AL261" i="8"/>
  <c r="AK261" i="8"/>
  <c r="AL169" i="8"/>
  <c r="AK169" i="8"/>
  <c r="AL12" i="6"/>
  <c r="AK12" i="6"/>
  <c r="AM34" i="5"/>
  <c r="AJ34" i="5"/>
  <c r="AO34" i="5" s="1"/>
  <c r="AL248" i="8"/>
  <c r="AK248" i="8"/>
  <c r="AL27" i="6"/>
  <c r="AK27" i="6"/>
  <c r="AL144" i="6"/>
  <c r="AK144" i="6"/>
  <c r="AK107" i="6"/>
  <c r="AL107" i="6"/>
  <c r="AK183" i="6"/>
  <c r="AL183" i="6"/>
  <c r="AK214" i="8"/>
  <c r="AL214" i="8"/>
  <c r="AL139" i="8"/>
  <c r="AK139" i="8"/>
  <c r="AK140" i="8"/>
  <c r="AL140" i="8"/>
  <c r="AK187" i="8"/>
  <c r="AL187" i="8"/>
  <c r="AJ78" i="5"/>
  <c r="AO78" i="5" s="1"/>
  <c r="AM78" i="5"/>
  <c r="AL132" i="8"/>
  <c r="AK132" i="8"/>
  <c r="AL158" i="6"/>
  <c r="AK158" i="6"/>
  <c r="AL153" i="8"/>
  <c r="AK153" i="8"/>
  <c r="AL112" i="8"/>
  <c r="AK112" i="8"/>
  <c r="AL170" i="6"/>
  <c r="AK170" i="6"/>
  <c r="AJ77" i="5"/>
  <c r="AO77" i="5" s="1"/>
  <c r="AM77" i="5"/>
  <c r="AL170" i="8"/>
  <c r="AK170" i="8"/>
  <c r="AK48" i="8"/>
  <c r="AL48" i="8"/>
  <c r="AK152" i="8"/>
  <c r="AL152" i="8"/>
  <c r="AL172" i="8"/>
  <c r="AK172" i="8"/>
  <c r="AL121" i="8"/>
  <c r="AK121" i="8"/>
  <c r="AL70" i="6"/>
  <c r="AK70" i="6"/>
  <c r="AL173" i="6"/>
  <c r="AK173" i="6"/>
  <c r="AJ52" i="5"/>
  <c r="AO52" i="5" s="1"/>
  <c r="AM52" i="5"/>
  <c r="AL186" i="8"/>
  <c r="AK186" i="8"/>
  <c r="AK80" i="6"/>
  <c r="AL80" i="6"/>
  <c r="AL95" i="8"/>
  <c r="AK95" i="8"/>
  <c r="AK37" i="6"/>
  <c r="AL37" i="6"/>
  <c r="AL30" i="6"/>
  <c r="AK30" i="6"/>
  <c r="AL72" i="8"/>
  <c r="AK72" i="8"/>
  <c r="AL202" i="6"/>
  <c r="AK202" i="6"/>
  <c r="AK64" i="8"/>
  <c r="AL64" i="8"/>
  <c r="AL44" i="6"/>
  <c r="AK44" i="6"/>
  <c r="AK107" i="8"/>
  <c r="AL107" i="8"/>
  <c r="AL100" i="8"/>
  <c r="AK100" i="8"/>
  <c r="AJ26" i="5"/>
  <c r="AO26" i="5" s="1"/>
  <c r="AM26" i="5"/>
  <c r="AK75" i="6"/>
  <c r="AL75" i="6"/>
  <c r="AL174" i="8"/>
  <c r="AK174" i="8"/>
  <c r="AL150" i="6"/>
  <c r="AK150" i="6"/>
  <c r="AK77" i="6"/>
  <c r="AL77" i="6"/>
  <c r="AK228" i="8"/>
  <c r="AL228" i="8"/>
  <c r="AK69" i="6"/>
  <c r="AL69" i="6"/>
  <c r="AL105" i="8"/>
  <c r="AK105" i="8"/>
  <c r="AL150" i="8"/>
  <c r="AK150" i="8"/>
  <c r="AL190" i="8"/>
  <c r="AK190" i="8"/>
  <c r="AM60" i="5"/>
  <c r="AJ60" i="5"/>
  <c r="AO60" i="5" s="1"/>
  <c r="N144" i="11"/>
  <c r="P144" i="11" s="1"/>
  <c r="O144" i="11"/>
  <c r="Q144" i="11" s="1"/>
  <c r="AK122" i="6"/>
  <c r="AL122" i="6"/>
  <c r="AK22" i="6"/>
  <c r="AL22" i="6"/>
  <c r="AK104" i="8"/>
  <c r="AL104" i="8"/>
  <c r="AK216" i="8"/>
  <c r="AL216" i="8"/>
  <c r="AK29" i="8"/>
  <c r="AL29" i="8"/>
  <c r="AK255" i="8"/>
  <c r="AL255" i="8"/>
  <c r="AL45" i="8"/>
  <c r="AK45" i="8"/>
  <c r="AK222" i="8"/>
  <c r="AL222" i="8"/>
  <c r="AK230" i="8"/>
  <c r="AL230" i="8"/>
  <c r="AK220" i="8"/>
  <c r="AL220" i="8"/>
  <c r="AL210" i="6"/>
  <c r="AK210" i="6"/>
  <c r="AK191" i="8"/>
  <c r="AL191" i="8"/>
  <c r="AL139" i="6"/>
  <c r="AK139" i="6"/>
  <c r="AK115" i="8"/>
  <c r="AL115" i="8"/>
  <c r="AL37" i="8"/>
  <c r="AK37" i="8"/>
  <c r="AL168" i="8"/>
  <c r="AK168" i="8"/>
  <c r="O150" i="11"/>
  <c r="Q150" i="11" s="1"/>
  <c r="N150" i="11"/>
  <c r="P150" i="11" s="1"/>
  <c r="AK108" i="6"/>
  <c r="AL108" i="6"/>
  <c r="AL61" i="8"/>
  <c r="AK61" i="8"/>
  <c r="AK47" i="8"/>
  <c r="AL47" i="8"/>
  <c r="AL131" i="6"/>
  <c r="AK131" i="6"/>
  <c r="AJ73" i="5"/>
  <c r="AN73" i="5" s="1"/>
  <c r="AL73" i="5"/>
  <c r="AL155" i="6"/>
  <c r="AK155" i="6"/>
  <c r="AO13" i="5"/>
  <c r="AN13" i="5"/>
  <c r="AK79" i="8"/>
  <c r="AL79" i="8"/>
  <c r="AL245" i="8"/>
  <c r="AK245" i="8"/>
  <c r="AL81" i="6"/>
  <c r="AK81" i="6"/>
  <c r="AL133" i="8"/>
  <c r="AK133" i="8"/>
  <c r="V75" i="5"/>
  <c r="W75" i="5" s="1"/>
  <c r="M75" i="5"/>
  <c r="AK25" i="8"/>
  <c r="AL25" i="8"/>
  <c r="AL134" i="8"/>
  <c r="AK134" i="8"/>
  <c r="AK208" i="8"/>
  <c r="AL208" i="8"/>
  <c r="AK119" i="6"/>
  <c r="AL119" i="6"/>
  <c r="AL254" i="8"/>
  <c r="AK254" i="8"/>
  <c r="AK115" i="6"/>
  <c r="AL115" i="6"/>
  <c r="AL99" i="8"/>
  <c r="AK99" i="8"/>
  <c r="AK252" i="8"/>
  <c r="AL252" i="8"/>
  <c r="AL210" i="8"/>
  <c r="AK210" i="8"/>
  <c r="AK171" i="8"/>
  <c r="AL171" i="8"/>
  <c r="AK78" i="6"/>
  <c r="AL78" i="6"/>
  <c r="AK175" i="6"/>
  <c r="AL175" i="6"/>
  <c r="AK226" i="8"/>
  <c r="AL226" i="8"/>
  <c r="AK217" i="6"/>
  <c r="AL217" i="6"/>
  <c r="AK34" i="8"/>
  <c r="AL34" i="8"/>
  <c r="AJ83" i="5"/>
  <c r="AO83" i="5" s="1"/>
  <c r="AM83" i="5"/>
  <c r="AL82" i="6"/>
  <c r="AK82" i="6"/>
  <c r="AJ28" i="5"/>
  <c r="AO28" i="5" s="1"/>
  <c r="AM28" i="5"/>
  <c r="AK29" i="6"/>
  <c r="AL29" i="6"/>
  <c r="AL114" i="8"/>
  <c r="AK114" i="8"/>
  <c r="O143" i="11"/>
  <c r="Q143" i="11" s="1"/>
  <c r="N143" i="11"/>
  <c r="P143" i="11" s="1"/>
  <c r="AL256" i="6"/>
  <c r="AK256" i="6"/>
  <c r="AL110" i="8"/>
  <c r="AK110" i="8"/>
  <c r="AE75" i="5"/>
  <c r="AU75" i="5" s="1"/>
  <c r="AI75" i="5"/>
  <c r="AK27" i="8"/>
  <c r="AL27" i="8"/>
  <c r="AL106" i="6"/>
  <c r="AK106" i="6"/>
  <c r="AK86" i="8"/>
  <c r="AL86" i="8"/>
  <c r="AK103" i="8"/>
  <c r="AL103" i="8"/>
  <c r="AL28" i="6"/>
  <c r="AK28" i="6"/>
  <c r="AL143" i="8"/>
  <c r="AK143" i="8"/>
  <c r="AL184" i="8"/>
  <c r="AK184" i="8"/>
  <c r="AL242" i="8"/>
  <c r="AK242" i="8"/>
  <c r="AK111" i="8"/>
  <c r="AL111" i="8"/>
  <c r="AL71" i="6"/>
  <c r="AK71" i="6"/>
  <c r="AM75" i="5" l="1"/>
  <c r="AJ75" i="5"/>
  <c r="AO75" i="5" s="1"/>
</calcChain>
</file>

<file path=xl/sharedStrings.xml><?xml version="1.0" encoding="utf-8"?>
<sst xmlns="http://schemas.openxmlformats.org/spreadsheetml/2006/main" count="5906" uniqueCount="763">
  <si>
    <t>FUSES</t>
  </si>
  <si>
    <t>ATM</t>
  </si>
  <si>
    <t>AJT</t>
  </si>
  <si>
    <t>A4J</t>
  </si>
  <si>
    <t>HSJ</t>
  </si>
  <si>
    <t>A30QS</t>
  </si>
  <si>
    <t>A70P</t>
  </si>
  <si>
    <t>Type</t>
  </si>
  <si>
    <t>FA</t>
  </si>
  <si>
    <t>TD</t>
  </si>
  <si>
    <t>A3T</t>
  </si>
  <si>
    <t>A6T</t>
  </si>
  <si>
    <t>A60Q</t>
  </si>
  <si>
    <t>UF</t>
  </si>
  <si>
    <t>SCR</t>
  </si>
  <si>
    <t>Model</t>
  </si>
  <si>
    <t>Idc</t>
  </si>
  <si>
    <t>size</t>
  </si>
  <si>
    <t>P</t>
  </si>
  <si>
    <t>N/A</t>
  </si>
  <si>
    <t>(A/10ms)</t>
  </si>
  <si>
    <t>Fuse rating</t>
  </si>
  <si>
    <t>(A)</t>
  </si>
  <si>
    <t>Vnom</t>
  </si>
  <si>
    <t>#cel</t>
  </si>
  <si>
    <t>VPC</t>
  </si>
  <si>
    <t>Vmax</t>
  </si>
  <si>
    <t>Vsec</t>
  </si>
  <si>
    <t>Isec</t>
  </si>
  <si>
    <t>Psec</t>
  </si>
  <si>
    <t>Iprim</t>
  </si>
  <si>
    <t>At Vac</t>
  </si>
  <si>
    <t>CB1</t>
  </si>
  <si>
    <t>AWG</t>
  </si>
  <si>
    <t>CB2</t>
  </si>
  <si>
    <t>VM</t>
  </si>
  <si>
    <t>AM</t>
  </si>
  <si>
    <t>fuse</t>
  </si>
  <si>
    <t>TVS</t>
  </si>
  <si>
    <t>ALARM</t>
  </si>
  <si>
    <t>(Vdc)</t>
  </si>
  <si>
    <t>(Idc)</t>
  </si>
  <si>
    <t>(Vac)</t>
  </si>
  <si>
    <t>(Iac)</t>
  </si>
  <si>
    <t>(Kva)</t>
  </si>
  <si>
    <t>Prim</t>
  </si>
  <si>
    <t>Sec</t>
  </si>
  <si>
    <t>DC</t>
  </si>
  <si>
    <t>Scale</t>
  </si>
  <si>
    <t>5 RELAY</t>
  </si>
  <si>
    <t>Vsec l-n</t>
  </si>
  <si>
    <t>Vsec l-l</t>
  </si>
  <si>
    <t>Vdc</t>
  </si>
  <si>
    <t>(V)</t>
  </si>
  <si>
    <t>Vin</t>
  </si>
  <si>
    <t>Line Fluct %</t>
  </si>
  <si>
    <t>Isec safety%</t>
  </si>
  <si>
    <t>Input</t>
  </si>
  <si>
    <t>Iin</t>
  </si>
  <si>
    <t>Safety %</t>
  </si>
  <si>
    <t>Amps</t>
  </si>
  <si>
    <t>(deg C)</t>
  </si>
  <si>
    <t>Heat Dissipation</t>
  </si>
  <si>
    <t>(kW)</t>
  </si>
  <si>
    <t>Required</t>
  </si>
  <si>
    <t>(CFM)</t>
  </si>
  <si>
    <t>Fan CFM</t>
  </si>
  <si>
    <t>(BTU)</t>
  </si>
  <si>
    <t>Encl.Size</t>
  </si>
  <si>
    <t>W</t>
  </si>
  <si>
    <t>H</t>
  </si>
  <si>
    <t>Depth</t>
  </si>
  <si>
    <t>ARM</t>
  </si>
  <si>
    <t>Surface</t>
  </si>
  <si>
    <t>(in)</t>
  </si>
  <si>
    <t>(ft²)</t>
  </si>
  <si>
    <t>Output</t>
  </si>
  <si>
    <t>Specs:</t>
  </si>
  <si>
    <t>Primary</t>
  </si>
  <si>
    <t>Secondary</t>
  </si>
  <si>
    <t>DC Output</t>
  </si>
  <si>
    <t>Primary Input</t>
  </si>
  <si>
    <t>Secondary Output</t>
  </si>
  <si>
    <t>Circuit Breaker Sizing</t>
  </si>
  <si>
    <t>Wire Sizing</t>
  </si>
  <si>
    <t>Gage</t>
  </si>
  <si>
    <t>(AWG)</t>
  </si>
  <si>
    <t>Fan Sizing</t>
  </si>
  <si>
    <t>Air Conditionner Sizing</t>
  </si>
  <si>
    <t>QTY</t>
  </si>
  <si>
    <t>Environment</t>
  </si>
  <si>
    <t>Model:</t>
  </si>
  <si>
    <t>Vpc</t>
  </si>
  <si>
    <t>Vdc max.</t>
  </si>
  <si>
    <t>Ambient T</t>
  </si>
  <si>
    <t>Inside T</t>
  </si>
  <si>
    <t>AC</t>
  </si>
  <si>
    <t>Transformer Sizing (1 Phase)</t>
  </si>
  <si>
    <t>Transformer Sizing (1Phase)</t>
  </si>
  <si>
    <t>Vpri</t>
  </si>
  <si>
    <t>Ipri</t>
  </si>
  <si>
    <t>Transformer Sizing (3 Phase)</t>
  </si>
  <si>
    <t>Transformer Sizing (3 phase)</t>
  </si>
  <si>
    <t>3 PHASE Battery Chargers</t>
  </si>
  <si>
    <t>1 PHASE Battery Chargers</t>
  </si>
  <si>
    <t>3 Phase Rectifiers</t>
  </si>
  <si>
    <t>k6 rated-115deg C-50/60 Hz</t>
  </si>
  <si>
    <t>VERIFIER LES COEFFICIENT DES TRANSFOS AVEC DES MODELES EXISTANTS</t>
  </si>
  <si>
    <t>Length</t>
  </si>
  <si>
    <t>(mm)</t>
  </si>
  <si>
    <t>Conductor size,</t>
  </si>
  <si>
    <t>Conductors with 90 C insulation</t>
  </si>
  <si>
    <t>Conductors with 105 C insulation</t>
  </si>
  <si>
    <t>In conduit or nonventilated raceway</t>
  </si>
  <si>
    <t>Open or in ventilated raceway</t>
  </si>
  <si>
    <t>Column 1</t>
  </si>
  <si>
    <t>Column 2</t>
  </si>
  <si>
    <t>Column 3</t>
  </si>
  <si>
    <t>Column 4</t>
  </si>
  <si>
    <t>Column 5</t>
  </si>
  <si>
    <t>1/0</t>
  </si>
  <si>
    <t>2/0</t>
  </si>
  <si>
    <t>3/0</t>
  </si>
  <si>
    <t>4/0</t>
  </si>
  <si>
    <t xml:space="preserve">verify data </t>
  </si>
  <si>
    <t>Enclosure Type</t>
  </si>
  <si>
    <t>NEMA 3R</t>
  </si>
  <si>
    <t>NEMA 12</t>
  </si>
  <si>
    <t>NEMA 4</t>
  </si>
  <si>
    <t>NEMA 4X</t>
  </si>
  <si>
    <t>btu</t>
  </si>
  <si>
    <t>SCFM</t>
  </si>
  <si>
    <t>$</t>
  </si>
  <si>
    <t xml:space="preserve">NEMA 12 </t>
  </si>
  <si>
    <t>1500/1700</t>
  </si>
  <si>
    <t>VORTEX</t>
  </si>
  <si>
    <t xml:space="preserve">NEMA 3R </t>
  </si>
  <si>
    <t>FAN</t>
  </si>
  <si>
    <t>CFM</t>
  </si>
  <si>
    <t>-</t>
  </si>
  <si>
    <t>IP33?</t>
  </si>
  <si>
    <t>IP54</t>
  </si>
  <si>
    <t>IP65</t>
  </si>
  <si>
    <t>Fan</t>
  </si>
  <si>
    <t>Vortex</t>
  </si>
  <si>
    <t>Fan+ Filter</t>
  </si>
  <si>
    <t>Filter</t>
  </si>
  <si>
    <t>PFA 3000</t>
  </si>
  <si>
    <t>PFA 5000</t>
  </si>
  <si>
    <t>Fan Type</t>
  </si>
  <si>
    <t xml:space="preserve">Cooling </t>
  </si>
  <si>
    <t>reqd</t>
  </si>
  <si>
    <t>Crydom</t>
  </si>
  <si>
    <t>Semikron</t>
  </si>
  <si>
    <t>Manufact</t>
  </si>
  <si>
    <t>BTU</t>
  </si>
  <si>
    <t>Kw</t>
  </si>
  <si>
    <t>NEMA</t>
  </si>
  <si>
    <t>Mounting</t>
  </si>
  <si>
    <t>Hammond</t>
  </si>
  <si>
    <t>DTS1200</t>
  </si>
  <si>
    <t>SIDE</t>
  </si>
  <si>
    <t xml:space="preserve">Vortec </t>
  </si>
  <si>
    <t>4X</t>
  </si>
  <si>
    <t>DTS2000</t>
  </si>
  <si>
    <t>DTS2000SS</t>
  </si>
  <si>
    <t>TOP</t>
  </si>
  <si>
    <t>DTS3500</t>
  </si>
  <si>
    <t>side</t>
  </si>
  <si>
    <t>DTS4500</t>
  </si>
  <si>
    <t>DTS6000</t>
  </si>
  <si>
    <t>DTS8000</t>
  </si>
  <si>
    <t>DTS12000</t>
  </si>
  <si>
    <t>Kooltronic</t>
  </si>
  <si>
    <t>1RP</t>
  </si>
  <si>
    <t>17.5x12.5x11</t>
  </si>
  <si>
    <t>28x12.5x11</t>
  </si>
  <si>
    <t>H x W x D</t>
  </si>
  <si>
    <t>32.75x12.5x11</t>
  </si>
  <si>
    <t>36.75X15.5X11</t>
  </si>
  <si>
    <t>47.25X15.5X13.5</t>
  </si>
  <si>
    <t>1RP17</t>
  </si>
  <si>
    <t>2RP17</t>
  </si>
  <si>
    <t>2RP28</t>
  </si>
  <si>
    <t>2RP33</t>
  </si>
  <si>
    <t>4RP28</t>
  </si>
  <si>
    <t>4RP33</t>
  </si>
  <si>
    <t>4RP36</t>
  </si>
  <si>
    <t>4RP47</t>
  </si>
  <si>
    <t>6RP36</t>
  </si>
  <si>
    <t>6RP47</t>
  </si>
  <si>
    <t>8RP47</t>
  </si>
  <si>
    <t>10RP47</t>
  </si>
  <si>
    <t>12RP47</t>
  </si>
  <si>
    <t>14RP52</t>
  </si>
  <si>
    <t>16RP52</t>
  </si>
  <si>
    <t>18RP52</t>
  </si>
  <si>
    <t>52.5x17.25x15.75</t>
  </si>
  <si>
    <t>20RP55</t>
  </si>
  <si>
    <t>22RP55</t>
  </si>
  <si>
    <t>55x22x17</t>
  </si>
  <si>
    <t>21.25x12x12.5</t>
  </si>
  <si>
    <t>3P21R</t>
  </si>
  <si>
    <t>32.25x14.5x13</t>
  </si>
  <si>
    <t>2P32</t>
  </si>
  <si>
    <t>1P32</t>
  </si>
  <si>
    <t>3P32</t>
  </si>
  <si>
    <t>4P32</t>
  </si>
  <si>
    <t>4P38</t>
  </si>
  <si>
    <t>37.75x18.75x18</t>
  </si>
  <si>
    <t>5P38</t>
  </si>
  <si>
    <t>6P38</t>
  </si>
  <si>
    <t>7P38</t>
  </si>
  <si>
    <t>8P38</t>
  </si>
  <si>
    <t>9P38</t>
  </si>
  <si>
    <t>10P38</t>
  </si>
  <si>
    <t>10P47</t>
  </si>
  <si>
    <t>47x18.75x18</t>
  </si>
  <si>
    <t>9P47</t>
  </si>
  <si>
    <t>8P47</t>
  </si>
  <si>
    <t>7P47</t>
  </si>
  <si>
    <t>6P47</t>
  </si>
  <si>
    <t>5P47</t>
  </si>
  <si>
    <t>4P47</t>
  </si>
  <si>
    <t>17.5x12.5x10</t>
  </si>
  <si>
    <t>19.5x15.1x15.1</t>
  </si>
  <si>
    <t>13x14.76x7.5</t>
  </si>
  <si>
    <t>36x15.5x8</t>
  </si>
  <si>
    <t>53.15x15.75x10.75</t>
  </si>
  <si>
    <t>53.15x15.5x8</t>
  </si>
  <si>
    <t>16x23.75x15.5</t>
  </si>
  <si>
    <t>585X</t>
  </si>
  <si>
    <t>43.5x15.75x10.25</t>
  </si>
  <si>
    <t>38.75x15x11.5</t>
  </si>
  <si>
    <t>540X</t>
  </si>
  <si>
    <t>29.5x15.75x8.75</t>
  </si>
  <si>
    <t>28.5x17x11.5</t>
  </si>
  <si>
    <t>516X</t>
  </si>
  <si>
    <t>23x10x8.75</t>
  </si>
  <si>
    <t>17.75x12x8.75</t>
  </si>
  <si>
    <t>10.25x17x21</t>
  </si>
  <si>
    <t>518T</t>
  </si>
  <si>
    <t>522X</t>
  </si>
  <si>
    <t>D</t>
  </si>
  <si>
    <t>ARM450</t>
  </si>
  <si>
    <t>ARM600</t>
  </si>
  <si>
    <t>ARM800</t>
  </si>
  <si>
    <t>ARM1250</t>
  </si>
  <si>
    <t>size HxWxD</t>
  </si>
  <si>
    <t>BTU reqd</t>
  </si>
  <si>
    <t>Adc</t>
  </si>
  <si>
    <t>BTU dissip</t>
  </si>
  <si>
    <t>Impedance</t>
  </si>
  <si>
    <t>(Ω)</t>
  </si>
  <si>
    <t>L5</t>
  </si>
  <si>
    <t>L4</t>
  </si>
  <si>
    <t>(mH)</t>
  </si>
  <si>
    <t>Harmoniques</t>
  </si>
  <si>
    <t>%</t>
  </si>
  <si>
    <t>Line Reactor</t>
  </si>
  <si>
    <t>Harmonic Capacitor</t>
  </si>
  <si>
    <t>Ch</t>
  </si>
  <si>
    <t>kVAr</t>
  </si>
  <si>
    <r>
      <t>I</t>
    </r>
    <r>
      <rPr>
        <sz val="10"/>
        <rFont val="Arial"/>
        <family val="2"/>
      </rPr>
      <t>5</t>
    </r>
  </si>
  <si>
    <r>
      <t>C</t>
    </r>
    <r>
      <rPr>
        <sz val="10"/>
        <rFont val="Arial"/>
        <family val="2"/>
      </rPr>
      <t>h</t>
    </r>
  </si>
  <si>
    <t>(kVAr)</t>
  </si>
  <si>
    <t>(μF)</t>
  </si>
  <si>
    <r>
      <t>C</t>
    </r>
    <r>
      <rPr>
        <sz val="10"/>
        <rFont val="Arial"/>
        <family val="2"/>
      </rPr>
      <t>h-</t>
    </r>
    <r>
      <rPr>
        <b/>
        <sz val="10"/>
        <rFont val="Arial"/>
        <family val="2"/>
      </rPr>
      <t>Y</t>
    </r>
    <r>
      <rPr>
        <sz val="10"/>
        <rFont val="Arial"/>
        <family val="2"/>
      </rPr>
      <t xml:space="preserve"> connected</t>
    </r>
  </si>
  <si>
    <r>
      <t>C</t>
    </r>
    <r>
      <rPr>
        <sz val="10"/>
        <rFont val="Arial"/>
        <family val="2"/>
      </rPr>
      <t>h-</t>
    </r>
    <r>
      <rPr>
        <b/>
        <sz val="10"/>
        <rFont val="Arial"/>
        <family val="2"/>
      </rPr>
      <t>Δ</t>
    </r>
    <r>
      <rPr>
        <sz val="10"/>
        <rFont val="Arial"/>
        <family val="2"/>
      </rPr>
      <t xml:space="preserve"> connected</t>
    </r>
  </si>
  <si>
    <r>
      <t>I</t>
    </r>
    <r>
      <rPr>
        <sz val="8"/>
        <rFont val="Arial"/>
        <family val="2"/>
      </rPr>
      <t>7</t>
    </r>
  </si>
  <si>
    <t>Line reactor</t>
  </si>
  <si>
    <t>5th Harm.</t>
  </si>
  <si>
    <t>Current</t>
  </si>
  <si>
    <t>Capacitor</t>
  </si>
  <si>
    <t>Line Reactor Evaluation</t>
  </si>
  <si>
    <t>(W)</t>
  </si>
  <si>
    <t>HS Type</t>
  </si>
  <si>
    <t>IXYS</t>
  </si>
  <si>
    <t>Torque</t>
  </si>
  <si>
    <t>Electrical connection</t>
  </si>
  <si>
    <t>MCC26…MCC95</t>
  </si>
  <si>
    <t>SKKx 27…SKKx 106</t>
  </si>
  <si>
    <t>SKKx 122…SKKx 162</t>
  </si>
  <si>
    <t>MCC132…MCC162</t>
  </si>
  <si>
    <t>SKKx 213…SKKx 430</t>
  </si>
  <si>
    <t>MCC225…MCC312</t>
  </si>
  <si>
    <t>SKKx 430…SKKx 500</t>
  </si>
  <si>
    <t>MCC500</t>
  </si>
  <si>
    <t>(Nm)</t>
  </si>
  <si>
    <t>SK 40 Dx..SK 70 Dx</t>
  </si>
  <si>
    <t>Mech. Mounting</t>
  </si>
  <si>
    <t>F18</t>
  </si>
  <si>
    <t>M50</t>
  </si>
  <si>
    <t>EF</t>
  </si>
  <si>
    <t>(Ft-lbs)</t>
  </si>
  <si>
    <r>
      <t>±</t>
    </r>
    <r>
      <rPr>
        <sz val="10"/>
        <rFont val="Arial"/>
        <family val="2"/>
      </rPr>
      <t>15%</t>
    </r>
  </si>
  <si>
    <t>Inch-lbs</t>
  </si>
  <si>
    <t>Grade 5, steel, not specially lubricated</t>
  </si>
  <si>
    <t>Size</t>
  </si>
  <si>
    <t>#6-32</t>
  </si>
  <si>
    <t>#6-40</t>
  </si>
  <si>
    <t>#8-32</t>
  </si>
  <si>
    <t>#8-36</t>
  </si>
  <si>
    <t>#10-24</t>
  </si>
  <si>
    <t>#10-32</t>
  </si>
  <si>
    <t># 1/4-20</t>
  </si>
  <si>
    <t># 5/16-18</t>
  </si>
  <si>
    <t># 3/8-16</t>
  </si>
  <si>
    <t># 7/16-14</t>
  </si>
  <si>
    <t># 1/2-13</t>
  </si>
  <si>
    <t>Fig.</t>
  </si>
  <si>
    <t>Part No</t>
  </si>
  <si>
    <t>Fig1</t>
  </si>
  <si>
    <t>Fig2</t>
  </si>
  <si>
    <t>Fig3</t>
  </si>
  <si>
    <t>Fig4</t>
  </si>
  <si>
    <t>Fig5</t>
  </si>
  <si>
    <t>Fig6</t>
  </si>
  <si>
    <t>Fig7</t>
  </si>
  <si>
    <t>(Inch-lbs)</t>
  </si>
  <si>
    <t xml:space="preserve">at 4% </t>
  </si>
  <si>
    <t>at 5%</t>
  </si>
  <si>
    <r>
      <t xml:space="preserve">Config = </t>
    </r>
    <r>
      <rPr>
        <sz val="10"/>
        <rFont val="Arial"/>
        <family val="2"/>
      </rPr>
      <t>Δ</t>
    </r>
  </si>
  <si>
    <t>Config = Y</t>
  </si>
  <si>
    <t>TX Impedance</t>
  </si>
  <si>
    <t>Ll</t>
  </si>
  <si>
    <t>EFG16FF</t>
  </si>
  <si>
    <t>Wire Sizing is based on the nominal current x SF</t>
  </si>
  <si>
    <t># Stacks</t>
  </si>
  <si>
    <t>CB</t>
  </si>
  <si>
    <t>5.2 A/stk</t>
  </si>
  <si>
    <t>4.5 A/stk</t>
  </si>
  <si>
    <t>H+3" for feet</t>
  </si>
  <si>
    <t>1ST CHOICE</t>
  </si>
  <si>
    <t>DC rating (V)</t>
  </si>
  <si>
    <t>AC rating (V)</t>
  </si>
  <si>
    <t>Circuit Breakers</t>
  </si>
  <si>
    <t>CB Rating</t>
  </si>
  <si>
    <t>Enter Current</t>
  </si>
  <si>
    <t>Formula Test</t>
  </si>
  <si>
    <t>CB Rating:</t>
  </si>
  <si>
    <t>Wire</t>
  </si>
  <si>
    <t>ALLOWABLE AMPACITIES OF INSULATED COPPER CONDUCTORS INSIDE INDUSTRIAL CONTROL EQUIPMENT ENCLOSURES (BASED ON A ROOM AMBIENT TEMPERATURE OF 40 CELSIUS)</t>
  </si>
  <si>
    <t xml:space="preserve">In conduit or nonventilated raceway </t>
  </si>
  <si>
    <t xml:space="preserve"> * Table reference: Burford, Gary. 1995. C22.2 N.14-95 Industrial control equipment table 3: p.70</t>
  </si>
  <si>
    <t>#10</t>
  </si>
  <si>
    <t>#8</t>
  </si>
  <si>
    <t>#6</t>
  </si>
  <si>
    <t>#4</t>
  </si>
  <si>
    <t>#3</t>
  </si>
  <si>
    <t>#2</t>
  </si>
  <si>
    <t>#1</t>
  </si>
  <si>
    <t>#1/0</t>
  </si>
  <si>
    <t>#2/0</t>
  </si>
  <si>
    <t>#3/0</t>
  </si>
  <si>
    <t>#4/0</t>
  </si>
  <si>
    <t>2x #4/0</t>
  </si>
  <si>
    <t>2x #3/0</t>
  </si>
  <si>
    <t>2x #2/0</t>
  </si>
  <si>
    <t>2x #1/0</t>
  </si>
  <si>
    <t>Check</t>
  </si>
  <si>
    <t xml:space="preserve">CB </t>
  </si>
  <si>
    <t>BUSS</t>
  </si>
  <si>
    <t xml:space="preserve">CB1 </t>
  </si>
  <si>
    <t>Limite crimper 300 MCM</t>
  </si>
  <si>
    <r>
      <t xml:space="preserve"> </t>
    </r>
    <r>
      <rPr>
        <sz val="10"/>
        <color indexed="63"/>
        <rFont val="Arial"/>
        <family val="2"/>
      </rPr>
      <t xml:space="preserve">40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</si>
  <si>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63"/>
        <rFont val="Arial"/>
        <family val="2"/>
      </rPr>
      <t xml:space="preserve">60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</si>
  <si>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63"/>
        <rFont val="Arial"/>
        <family val="2"/>
      </rPr>
      <t xml:space="preserve">80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</si>
  <si>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63"/>
        <rFont val="Arial"/>
        <family val="2"/>
      </rPr>
      <t xml:space="preserve">105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</si>
  <si>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63"/>
        <rFont val="Arial"/>
        <family val="2"/>
      </rPr>
      <t xml:space="preserve">120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</si>
  <si>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63"/>
        <rFont val="Arial"/>
        <family val="2"/>
      </rPr>
      <t xml:space="preserve">140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</si>
  <si>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63"/>
        <rFont val="Arial"/>
        <family val="2"/>
      </rPr>
      <t xml:space="preserve">165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</si>
  <si>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63"/>
        <rFont val="Arial"/>
        <family val="2"/>
      </rPr>
      <t xml:space="preserve">195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</si>
  <si>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63"/>
        <rFont val="Arial"/>
        <family val="2"/>
      </rPr>
      <t xml:space="preserve">225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</si>
  <si>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63"/>
        <rFont val="Arial"/>
        <family val="2"/>
      </rPr>
      <t xml:space="preserve">260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</si>
  <si>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63"/>
        <rFont val="Arial"/>
        <family val="2"/>
      </rPr>
      <t xml:space="preserve">300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</si>
  <si>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63"/>
        <rFont val="Arial"/>
        <family val="2"/>
      </rPr>
      <t xml:space="preserve">375 </t>
    </r>
    <r>
      <rPr>
        <sz val="10"/>
        <rFont val="Arial"/>
        <family val="2"/>
      </rPr>
      <t xml:space="preserve"> </t>
    </r>
  </si>
  <si>
    <t>250MCM</t>
  </si>
  <si>
    <t>300MCM</t>
  </si>
  <si>
    <t>#2/0 2x</t>
  </si>
  <si>
    <t>#3/0 2x</t>
  </si>
  <si>
    <t>#4/0 2x</t>
  </si>
  <si>
    <t>250MCM 2x</t>
  </si>
  <si>
    <t>300MCM 2x</t>
  </si>
  <si>
    <t xml:space="preserve"> 340  </t>
  </si>
  <si>
    <t>Buss</t>
  </si>
  <si>
    <t>A4BQ</t>
  </si>
  <si>
    <t>LCU</t>
  </si>
  <si>
    <t>KRP</t>
  </si>
  <si>
    <t>Edison</t>
  </si>
  <si>
    <t>Ferraz</t>
  </si>
  <si>
    <t>Internal conductor ampacity</t>
  </si>
  <si>
    <t>Conductor must be rated 90C or More</t>
  </si>
  <si>
    <t>Relationship between conductor size and overcurrent protection rating for power circuits</t>
  </si>
  <si>
    <r>
      <t xml:space="preserve">Allowable Ampacities of Single-Insulated Conductors Rated 0 Through 2000 Volts in Free Air, Based on </t>
    </r>
    <r>
      <rPr>
        <b/>
        <sz val="8"/>
        <color indexed="10"/>
        <rFont val="Arial"/>
        <family val="2"/>
      </rPr>
      <t>Ambient Air Temperature of 30°C (86°F)</t>
    </r>
  </si>
  <si>
    <t>Conductor size</t>
  </si>
  <si>
    <t>UL 508A</t>
  </si>
  <si>
    <t>Table 29.1</t>
  </si>
  <si>
    <t>Table 66.2</t>
  </si>
  <si>
    <t>NEC</t>
  </si>
  <si>
    <t>Table 310.17</t>
  </si>
  <si>
    <t>Exemple</t>
  </si>
  <si>
    <t xml:space="preserve">Primax </t>
  </si>
  <si>
    <r>
      <t xml:space="preserve"> </t>
    </r>
    <r>
      <rPr>
        <b/>
        <sz val="10"/>
        <color indexed="63"/>
        <rFont val="Arial"/>
        <family val="2"/>
      </rPr>
      <t xml:space="preserve">Conductor size </t>
    </r>
    <r>
      <rPr>
        <sz val="10"/>
        <rFont val="Arial"/>
        <family val="2"/>
      </rPr>
      <t xml:space="preserve"> </t>
    </r>
  </si>
  <si>
    <r>
      <t xml:space="preserve"> </t>
    </r>
    <r>
      <rPr>
        <b/>
        <sz val="10"/>
        <color indexed="63"/>
        <rFont val="Arial"/>
        <family val="2"/>
      </rPr>
      <t xml:space="preserve">Ampacity </t>
    </r>
    <r>
      <rPr>
        <sz val="10"/>
        <rFont val="Arial"/>
        <family val="2"/>
      </rPr>
      <t xml:space="preserve"> </t>
    </r>
  </si>
  <si>
    <r>
      <t xml:space="preserve">Maximum </t>
    </r>
    <r>
      <rPr>
        <sz val="8"/>
        <rFont val="Arial"/>
        <family val="2"/>
      </rPr>
      <t xml:space="preserve">rating of </t>
    </r>
    <r>
      <rPr>
        <b/>
        <sz val="8"/>
        <rFont val="Arial"/>
        <family val="2"/>
      </rPr>
      <t>nontime-delay fuse</t>
    </r>
    <r>
      <rPr>
        <sz val="8"/>
        <rFont val="Arial"/>
        <family val="2"/>
      </rPr>
      <t xml:space="preserve"> or inverse time </t>
    </r>
    <r>
      <rPr>
        <b/>
        <sz val="8"/>
        <rFont val="Arial"/>
        <family val="2"/>
      </rPr>
      <t>circuit breaker</t>
    </r>
    <r>
      <rPr>
        <sz val="8"/>
        <rFont val="Arial"/>
        <family val="2"/>
      </rPr>
      <t>, amperes</t>
    </r>
  </si>
  <si>
    <r>
      <t xml:space="preserve">Time delay </t>
    </r>
    <r>
      <rPr>
        <sz val="8"/>
        <rFont val="Arial"/>
        <family val="2"/>
      </rPr>
      <t xml:space="preserve">or </t>
    </r>
    <r>
      <rPr>
        <b/>
        <sz val="8"/>
        <rFont val="Arial"/>
        <family val="2"/>
      </rPr>
      <t>dual element fuse</t>
    </r>
    <r>
      <rPr>
        <sz val="8"/>
        <rFont val="Arial"/>
        <family val="2"/>
      </rPr>
      <t>, amperes</t>
    </r>
  </si>
  <si>
    <r>
      <t xml:space="preserve">Conductor Temp Rating  </t>
    </r>
    <r>
      <rPr>
        <b/>
        <sz val="9"/>
        <color indexed="63"/>
        <rFont val="Arial"/>
        <family val="2"/>
      </rPr>
      <t xml:space="preserve">60°C </t>
    </r>
    <r>
      <rPr>
        <sz val="9"/>
        <rFont val="Arial"/>
        <family val="2"/>
      </rPr>
      <t xml:space="preserve"> </t>
    </r>
  </si>
  <si>
    <r>
      <t xml:space="preserve">Conductor Temp Rating  </t>
    </r>
    <r>
      <rPr>
        <b/>
        <sz val="9"/>
        <rFont val="Arial"/>
        <family val="2"/>
      </rPr>
      <t>75</t>
    </r>
    <r>
      <rPr>
        <b/>
        <sz val="9"/>
        <color indexed="63"/>
        <rFont val="Arial"/>
        <family val="2"/>
      </rPr>
      <t xml:space="preserve">°C </t>
    </r>
    <r>
      <rPr>
        <sz val="9"/>
        <rFont val="Arial"/>
        <family val="2"/>
      </rPr>
      <t xml:space="preserve"> </t>
    </r>
  </si>
  <si>
    <r>
      <t xml:space="preserve">Conductor Temp Rating  </t>
    </r>
    <r>
      <rPr>
        <b/>
        <sz val="10"/>
        <rFont val="Arial"/>
        <family val="2"/>
      </rPr>
      <t>90</t>
    </r>
    <r>
      <rPr>
        <b/>
        <sz val="8.9"/>
        <color indexed="63"/>
        <rFont val="Arial"/>
        <family val="2"/>
      </rPr>
      <t xml:space="preserve">°C </t>
    </r>
    <r>
      <rPr>
        <sz val="10"/>
        <rFont val="Arial"/>
        <family val="2"/>
      </rPr>
      <t xml:space="preserve"> </t>
    </r>
  </si>
  <si>
    <r>
      <t xml:space="preserve">Conductor Temp Rating  </t>
    </r>
    <r>
      <rPr>
        <b/>
        <sz val="8"/>
        <rFont val="Arial"/>
        <family val="2"/>
      </rPr>
      <t>90</t>
    </r>
    <r>
      <rPr>
        <b/>
        <sz val="8"/>
        <color indexed="63"/>
        <rFont val="Arial"/>
        <family val="2"/>
      </rPr>
      <t xml:space="preserve">°C </t>
    </r>
    <r>
      <rPr>
        <sz val="8"/>
        <rFont val="Arial"/>
        <family val="2"/>
      </rPr>
      <t xml:space="preserve"> at Ambient = </t>
    </r>
    <r>
      <rPr>
        <b/>
        <sz val="8"/>
        <rFont val="Arial"/>
        <family val="2"/>
      </rPr>
      <t>46-50º</t>
    </r>
    <r>
      <rPr>
        <sz val="8"/>
        <rFont val="Arial"/>
        <family val="2"/>
      </rPr>
      <t>C</t>
    </r>
  </si>
  <si>
    <t>per UL508A</t>
  </si>
  <si>
    <r>
      <t xml:space="preserve"> </t>
    </r>
    <r>
      <rPr>
        <b/>
        <sz val="10"/>
        <color indexed="63"/>
        <rFont val="Arial"/>
        <family val="2"/>
      </rPr>
      <t xml:space="preserve">AWG or kcmil </t>
    </r>
    <r>
      <rPr>
        <sz val="10"/>
        <rFont val="Arial"/>
        <family val="2"/>
      </rPr>
      <t xml:space="preserve"> </t>
    </r>
  </si>
  <si>
    <r>
      <t xml:space="preserve"> </t>
    </r>
    <r>
      <rPr>
        <b/>
        <sz val="10"/>
        <color indexed="63"/>
        <rFont val="Arial"/>
        <family val="2"/>
      </rPr>
      <t xml:space="preserve">(mm2) </t>
    </r>
    <r>
      <rPr>
        <sz val="10"/>
        <rFont val="Arial"/>
        <family val="2"/>
      </rPr>
      <t xml:space="preserve"> </t>
    </r>
  </si>
  <si>
    <r>
      <t xml:space="preserve"> </t>
    </r>
    <r>
      <rPr>
        <b/>
        <sz val="10"/>
        <rFont val="Arial"/>
        <family val="2"/>
      </rPr>
      <t xml:space="preserve">(mm2) </t>
    </r>
    <r>
      <rPr>
        <sz val="10"/>
        <rFont val="Arial"/>
        <family val="2"/>
      </rPr>
      <t xml:space="preserve"> </t>
    </r>
  </si>
  <si>
    <r>
      <t xml:space="preserve"> </t>
    </r>
    <r>
      <rPr>
        <sz val="9"/>
        <color indexed="63"/>
        <rFont val="Arial"/>
        <family val="2"/>
      </rPr>
      <t xml:space="preserve">— </t>
    </r>
    <r>
      <rPr>
        <sz val="9"/>
        <rFont val="Arial"/>
        <family val="2"/>
      </rPr>
      <t xml:space="preserve"> </t>
    </r>
  </si>
  <si>
    <r>
      <t xml:space="preserve"> </t>
    </r>
    <r>
      <rPr>
        <sz val="10"/>
        <color indexed="63"/>
        <rFont val="Arial"/>
        <family val="2"/>
      </rPr>
      <t xml:space="preserve">14*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</si>
  <si>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63"/>
        <rFont val="Arial"/>
        <family val="2"/>
      </rPr>
      <t xml:space="preserve">12* </t>
    </r>
    <r>
      <rPr>
        <sz val="10"/>
        <rFont val="Arial"/>
        <family val="2"/>
      </rPr>
      <t xml:space="preserve"> </t>
    </r>
  </si>
  <si>
    <r>
      <t xml:space="preserve"> </t>
    </r>
    <r>
      <rPr>
        <sz val="10"/>
        <color indexed="63"/>
        <rFont val="Arial"/>
        <family val="2"/>
      </rPr>
      <t xml:space="preserve">10* </t>
    </r>
    <r>
      <rPr>
        <sz val="10"/>
        <rFont val="Arial"/>
        <family val="2"/>
      </rPr>
      <t xml:space="preserve"> </t>
    </r>
  </si>
  <si>
    <r>
      <t xml:space="preserve"> </t>
    </r>
    <r>
      <rPr>
        <sz val="12"/>
        <color indexed="63"/>
        <rFont val="Arial"/>
        <family val="2"/>
      </rPr>
      <t xml:space="preserve">1/0 </t>
    </r>
    <r>
      <rPr>
        <sz val="12"/>
        <rFont val="Arial"/>
        <family val="2"/>
      </rPr>
      <t xml:space="preserve"> </t>
    </r>
  </si>
  <si>
    <r>
      <t xml:space="preserve"> </t>
    </r>
    <r>
      <rPr>
        <sz val="10"/>
        <color indexed="63"/>
        <rFont val="Arial"/>
        <family val="2"/>
      </rPr>
      <t xml:space="preserve">1/0 </t>
    </r>
    <r>
      <rPr>
        <sz val="10"/>
        <rFont val="Arial"/>
        <family val="2"/>
      </rPr>
      <t xml:space="preserve"> </t>
    </r>
  </si>
  <si>
    <r>
      <t xml:space="preserve"> </t>
    </r>
    <r>
      <rPr>
        <sz val="12"/>
        <color indexed="63"/>
        <rFont val="Arial"/>
        <family val="2"/>
      </rPr>
      <t xml:space="preserve">2/0 </t>
    </r>
    <r>
      <rPr>
        <sz val="12"/>
        <rFont val="Arial"/>
        <family val="2"/>
      </rPr>
      <t xml:space="preserve"> </t>
    </r>
  </si>
  <si>
    <r>
      <t xml:space="preserve"> </t>
    </r>
    <r>
      <rPr>
        <sz val="10"/>
        <color indexed="63"/>
        <rFont val="Arial"/>
        <family val="2"/>
      </rPr>
      <t xml:space="preserve">2/0 </t>
    </r>
    <r>
      <rPr>
        <sz val="10"/>
        <rFont val="Arial"/>
        <family val="2"/>
      </rPr>
      <t xml:space="preserve"> </t>
    </r>
  </si>
  <si>
    <r>
      <t xml:space="preserve"> </t>
    </r>
    <r>
      <rPr>
        <sz val="12"/>
        <color indexed="63"/>
        <rFont val="Arial"/>
        <family val="2"/>
      </rPr>
      <t xml:space="preserve">3/0 </t>
    </r>
    <r>
      <rPr>
        <sz val="12"/>
        <rFont val="Arial"/>
        <family val="2"/>
      </rPr>
      <t xml:space="preserve"> </t>
    </r>
  </si>
  <si>
    <r>
      <t xml:space="preserve"> </t>
    </r>
    <r>
      <rPr>
        <sz val="10"/>
        <color indexed="63"/>
        <rFont val="Arial"/>
        <family val="2"/>
      </rPr>
      <t xml:space="preserve">3/0 </t>
    </r>
    <r>
      <rPr>
        <sz val="10"/>
        <rFont val="Arial"/>
        <family val="2"/>
      </rPr>
      <t xml:space="preserve"> </t>
    </r>
  </si>
  <si>
    <r>
      <t xml:space="preserve"> </t>
    </r>
    <r>
      <rPr>
        <sz val="12"/>
        <color indexed="63"/>
        <rFont val="Arial"/>
        <family val="2"/>
      </rPr>
      <t xml:space="preserve">4/0 </t>
    </r>
    <r>
      <rPr>
        <sz val="12"/>
        <rFont val="Arial"/>
        <family val="2"/>
      </rPr>
      <t xml:space="preserve"> </t>
    </r>
  </si>
  <si>
    <r>
      <t xml:space="preserve"> </t>
    </r>
    <r>
      <rPr>
        <sz val="10"/>
        <color indexed="63"/>
        <rFont val="Arial"/>
        <family val="2"/>
      </rPr>
      <t xml:space="preserve">4/0 </t>
    </r>
    <r>
      <rPr>
        <sz val="10"/>
        <rFont val="Arial"/>
        <family val="2"/>
      </rPr>
      <t xml:space="preserve"> </t>
    </r>
  </si>
  <si>
    <t xml:space="preserve"> –  </t>
  </si>
  <si>
    <t>Crimper Limit</t>
  </si>
  <si>
    <r>
      <t xml:space="preserve"> </t>
    </r>
    <r>
      <rPr>
        <sz val="10"/>
        <color indexed="63"/>
        <rFont val="Arial"/>
        <family val="2"/>
      </rPr>
      <t xml:space="preserve">– </t>
    </r>
    <r>
      <rPr>
        <sz val="10"/>
        <rFont val="Arial"/>
        <family val="2"/>
      </rPr>
      <t xml:space="preserve"> </t>
    </r>
  </si>
  <si>
    <t> * Table reference: Burford, Gary. 1995. C22.2 N.14-95 Industrial control equipment table 3: p.70</t>
  </si>
  <si>
    <r>
      <t xml:space="preserve"> </t>
    </r>
    <r>
      <rPr>
        <sz val="10"/>
        <color indexed="63"/>
        <rFont val="Arial"/>
        <family val="2"/>
      </rPr>
      <t xml:space="preserve">1000 </t>
    </r>
    <r>
      <rPr>
        <sz val="10"/>
        <rFont val="Arial"/>
        <family val="2"/>
      </rPr>
      <t xml:space="preserve"> </t>
    </r>
  </si>
  <si>
    <t>CORRECTION FACTORS     For ambient temperatures other than 30°C (86°F), multiply the allowable ampacities shown above</t>
  </si>
  <si>
    <t>For ambient temperatures other than 30°C (86°F), multiply the allowable ampacities by CF</t>
  </si>
  <si>
    <t>Ambient Temperature: (deg C)</t>
  </si>
  <si>
    <r>
      <t xml:space="preserve">Conductor Temp Rating  </t>
    </r>
    <r>
      <rPr>
        <b/>
        <sz val="8.9"/>
        <color indexed="63"/>
        <rFont val="Arial"/>
        <family val="2"/>
      </rPr>
      <t xml:space="preserve">60°C </t>
    </r>
    <r>
      <rPr>
        <sz val="10"/>
        <rFont val="Arial"/>
        <family val="2"/>
      </rPr>
      <t xml:space="preserve"> </t>
    </r>
  </si>
  <si>
    <r>
      <t xml:space="preserve">Conductor Temp Rating  </t>
    </r>
    <r>
      <rPr>
        <b/>
        <sz val="10"/>
        <rFont val="Arial"/>
        <family val="2"/>
      </rPr>
      <t>75</t>
    </r>
    <r>
      <rPr>
        <b/>
        <sz val="8.9"/>
        <color indexed="63"/>
        <rFont val="Arial"/>
        <family val="2"/>
      </rPr>
      <t xml:space="preserve">°C </t>
    </r>
    <r>
      <rPr>
        <sz val="10"/>
        <rFont val="Arial"/>
        <family val="2"/>
      </rPr>
      <t xml:space="preserve"> </t>
    </r>
  </si>
  <si>
    <t>31–35</t>
  </si>
  <si>
    <r>
      <t xml:space="preserve"> </t>
    </r>
    <r>
      <rPr>
        <sz val="8.9"/>
        <color indexed="63"/>
        <rFont val="Arial"/>
        <family val="2"/>
      </rPr>
      <t xml:space="preserve">0.91 </t>
    </r>
    <r>
      <rPr>
        <sz val="10"/>
        <rFont val="Arial"/>
        <family val="2"/>
      </rPr>
      <t xml:space="preserve"> </t>
    </r>
  </si>
  <si>
    <r>
      <t xml:space="preserve"> </t>
    </r>
    <r>
      <rPr>
        <sz val="8.9"/>
        <color indexed="63"/>
        <rFont val="Arial"/>
        <family val="2"/>
      </rPr>
      <t xml:space="preserve">0.94 </t>
    </r>
    <r>
      <rPr>
        <sz val="10"/>
        <rFont val="Arial"/>
        <family val="2"/>
      </rPr>
      <t xml:space="preserve"> </t>
    </r>
  </si>
  <si>
    <r>
      <t xml:space="preserve"> </t>
    </r>
    <r>
      <rPr>
        <sz val="12"/>
        <color indexed="63"/>
        <rFont val="Arial"/>
        <family val="2"/>
      </rPr>
      <t xml:space="preserve">0.96 </t>
    </r>
    <r>
      <rPr>
        <sz val="12"/>
        <rFont val="Arial"/>
        <family val="2"/>
      </rPr>
      <t xml:space="preserve"> </t>
    </r>
  </si>
  <si>
    <t>36–40</t>
  </si>
  <si>
    <r>
      <t xml:space="preserve"> </t>
    </r>
    <r>
      <rPr>
        <sz val="8.9"/>
        <color indexed="63"/>
        <rFont val="Arial"/>
        <family val="2"/>
      </rPr>
      <t xml:space="preserve">0.82 </t>
    </r>
    <r>
      <rPr>
        <sz val="10"/>
        <rFont val="Arial"/>
        <family val="2"/>
      </rPr>
      <t xml:space="preserve"> </t>
    </r>
  </si>
  <si>
    <r>
      <t xml:space="preserve"> </t>
    </r>
    <r>
      <rPr>
        <sz val="8.9"/>
        <color indexed="63"/>
        <rFont val="Arial"/>
        <family val="2"/>
      </rPr>
      <t xml:space="preserve">0.88 </t>
    </r>
    <r>
      <rPr>
        <sz val="10"/>
        <rFont val="Arial"/>
        <family val="2"/>
      </rPr>
      <t xml:space="preserve"> </t>
    </r>
  </si>
  <si>
    <r>
      <t xml:space="preserve"> </t>
    </r>
    <r>
      <rPr>
        <sz val="12"/>
        <color indexed="63"/>
        <rFont val="Arial"/>
        <family val="2"/>
      </rPr>
      <t xml:space="preserve">0.91 </t>
    </r>
    <r>
      <rPr>
        <sz val="12"/>
        <rFont val="Arial"/>
        <family val="2"/>
      </rPr>
      <t xml:space="preserve"> </t>
    </r>
  </si>
  <si>
    <t>41–45</t>
  </si>
  <si>
    <r>
      <t xml:space="preserve"> </t>
    </r>
    <r>
      <rPr>
        <sz val="8.9"/>
        <color indexed="63"/>
        <rFont val="Arial"/>
        <family val="2"/>
      </rPr>
      <t xml:space="preserve">0.71 </t>
    </r>
    <r>
      <rPr>
        <sz val="10"/>
        <rFont val="Arial"/>
        <family val="2"/>
      </rPr>
      <t xml:space="preserve"> </t>
    </r>
  </si>
  <si>
    <r>
      <t xml:space="preserve"> </t>
    </r>
    <r>
      <rPr>
        <sz val="12"/>
        <color indexed="63"/>
        <rFont val="Arial"/>
        <family val="2"/>
      </rPr>
      <t xml:space="preserve">0.87 </t>
    </r>
    <r>
      <rPr>
        <sz val="12"/>
        <rFont val="Arial"/>
        <family val="2"/>
      </rPr>
      <t xml:space="preserve"> </t>
    </r>
  </si>
  <si>
    <t>46–50</t>
  </si>
  <si>
    <r>
      <t xml:space="preserve"> </t>
    </r>
    <r>
      <rPr>
        <sz val="8.9"/>
        <color indexed="63"/>
        <rFont val="Arial"/>
        <family val="2"/>
      </rPr>
      <t xml:space="preserve">0.58 </t>
    </r>
    <r>
      <rPr>
        <sz val="10"/>
        <rFont val="Arial"/>
        <family val="2"/>
      </rPr>
      <t xml:space="preserve"> </t>
    </r>
  </si>
  <si>
    <r>
      <t xml:space="preserve"> </t>
    </r>
    <r>
      <rPr>
        <sz val="8.9"/>
        <color indexed="63"/>
        <rFont val="Arial"/>
        <family val="2"/>
      </rPr>
      <t xml:space="preserve">0.75 </t>
    </r>
    <r>
      <rPr>
        <sz val="10"/>
        <rFont val="Arial"/>
        <family val="2"/>
      </rPr>
      <t xml:space="preserve"> </t>
    </r>
  </si>
  <si>
    <r>
      <t xml:space="preserve"> </t>
    </r>
    <r>
      <rPr>
        <b/>
        <sz val="12"/>
        <color indexed="63"/>
        <rFont val="Arial"/>
        <family val="2"/>
      </rPr>
      <t xml:space="preserve">0.82 </t>
    </r>
    <r>
      <rPr>
        <b/>
        <sz val="12"/>
        <rFont val="Arial"/>
        <family val="2"/>
      </rPr>
      <t xml:space="preserve"> </t>
    </r>
  </si>
  <si>
    <t>51–55</t>
  </si>
  <si>
    <r>
      <t xml:space="preserve"> </t>
    </r>
    <r>
      <rPr>
        <sz val="8.9"/>
        <color indexed="63"/>
        <rFont val="Arial"/>
        <family val="2"/>
      </rPr>
      <t xml:space="preserve">0.41 </t>
    </r>
    <r>
      <rPr>
        <sz val="10"/>
        <rFont val="Arial"/>
        <family val="2"/>
      </rPr>
      <t xml:space="preserve"> </t>
    </r>
  </si>
  <si>
    <r>
      <t xml:space="preserve"> </t>
    </r>
    <r>
      <rPr>
        <sz val="8.9"/>
        <color indexed="63"/>
        <rFont val="Arial"/>
        <family val="2"/>
      </rPr>
      <t xml:space="preserve">0.67 </t>
    </r>
    <r>
      <rPr>
        <sz val="10"/>
        <rFont val="Arial"/>
        <family val="2"/>
      </rPr>
      <t xml:space="preserve"> </t>
    </r>
  </si>
  <si>
    <r>
      <t xml:space="preserve"> </t>
    </r>
    <r>
      <rPr>
        <sz val="12"/>
        <color indexed="63"/>
        <rFont val="Arial"/>
        <family val="2"/>
      </rPr>
      <t xml:space="preserve">0.76 </t>
    </r>
    <r>
      <rPr>
        <sz val="12"/>
        <rFont val="Arial"/>
        <family val="2"/>
      </rPr>
      <t xml:space="preserve"> </t>
    </r>
  </si>
  <si>
    <t>56–60</t>
  </si>
  <si>
    <r>
      <t xml:space="preserve"> </t>
    </r>
    <r>
      <rPr>
        <sz val="8.9"/>
        <color indexed="63"/>
        <rFont val="Arial"/>
        <family val="2"/>
      </rPr>
      <t xml:space="preserve">— </t>
    </r>
    <r>
      <rPr>
        <sz val="10"/>
        <rFont val="Arial"/>
        <family val="2"/>
      </rPr>
      <t xml:space="preserve"> </t>
    </r>
  </si>
  <si>
    <r>
      <t xml:space="preserve"> </t>
    </r>
    <r>
      <rPr>
        <sz val="12"/>
        <color indexed="63"/>
        <rFont val="Arial"/>
        <family val="2"/>
      </rPr>
      <t xml:space="preserve">0.71 </t>
    </r>
    <r>
      <rPr>
        <sz val="12"/>
        <rFont val="Arial"/>
        <family val="2"/>
      </rPr>
      <t xml:space="preserve"> </t>
    </r>
  </si>
  <si>
    <t>About control panels</t>
  </si>
  <si>
    <t>Editor:</t>
  </si>
  <si>
    <t>In reference to "Let's solve your problem" in the October EA, "The NEC and wiring inside equipment," some control panels are wired to Underwriters Laboratories Standard 508A, "Industrial Control Panels."</t>
  </si>
  <si>
    <t>section 29.2.1 states: "All internal wiring of power circuits shall have a temperature rating of 90°C minimum. . . ."</t>
  </si>
  <si>
    <t>Table 29.1, titled "Internal Conductor Ampacity," lists conductors at their 90°C ampacities.</t>
  </si>
  <si>
    <t>The ampacity for wire pulled in conduit, for instance, is typically based on the 75°C column in NEC Table 310.16. Control panels wired to the UL 508A standard may then use smaller conductor sizes for a given ampacity.</t>
  </si>
  <si>
    <t>David Bredhold</t>
  </si>
  <si>
    <t>Application Engineer</t>
  </si>
  <si>
    <t>Eaton/Cutler-Hammer</t>
  </si>
  <si>
    <t>EFG</t>
  </si>
  <si>
    <t>ND43xx25</t>
  </si>
  <si>
    <t>LD43xx50</t>
  </si>
  <si>
    <t>PD43xx07</t>
  </si>
  <si>
    <t>PS43xx15</t>
  </si>
  <si>
    <t>LS411260</t>
  </si>
  <si>
    <t>P3/120</t>
  </si>
  <si>
    <t>n</t>
  </si>
  <si>
    <r>
      <t>R</t>
    </r>
    <r>
      <rPr>
        <vertAlign val="subscript"/>
        <sz val="14"/>
        <rFont val="Calibri"/>
        <family val="2"/>
      </rPr>
      <t>θha</t>
    </r>
  </si>
  <si>
    <t>(")</t>
  </si>
  <si>
    <t>Natural Cooling</t>
  </si>
  <si>
    <t>Forced Cooling</t>
  </si>
  <si>
    <r>
      <rPr>
        <sz val="10"/>
        <rFont val="Calibri"/>
        <family val="2"/>
      </rPr>
      <t>(°</t>
    </r>
    <r>
      <rPr>
        <sz val="10"/>
        <rFont val="Arial"/>
        <family val="2"/>
      </rPr>
      <t>C/W)</t>
    </r>
  </si>
  <si>
    <t># of Modules</t>
  </si>
  <si>
    <t>P3/180</t>
  </si>
  <si>
    <t>HS250-6.5</t>
  </si>
  <si>
    <t>HS250-10</t>
  </si>
  <si>
    <t>HS250-13</t>
  </si>
  <si>
    <t>HS250-15</t>
  </si>
  <si>
    <r>
      <t>(cm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</si>
  <si>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Volume</t>
  </si>
  <si>
    <r>
      <t>(cm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</si>
  <si>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(cm)</t>
  </si>
  <si>
    <t>Perimeter</t>
  </si>
  <si>
    <t>HDS</t>
  </si>
  <si>
    <t>28% plus de courant dans un 3 phases que 2 phases</t>
  </si>
  <si>
    <t>Rtheta</t>
  </si>
  <si>
    <t>HS qty</t>
  </si>
  <si>
    <r>
      <t>1</t>
    </r>
    <r>
      <rPr>
        <i/>
        <sz val="10"/>
        <rFont val="Calibri"/>
        <family val="2"/>
      </rPr>
      <t>Φ</t>
    </r>
  </si>
  <si>
    <t>3Φ</t>
  </si>
  <si>
    <t>Max Power</t>
  </si>
  <si>
    <t>I Max</t>
  </si>
  <si>
    <r>
      <t>1</t>
    </r>
    <r>
      <rPr>
        <b/>
        <i/>
        <sz val="10"/>
        <rFont val="Calibri"/>
        <family val="2"/>
      </rPr>
      <t>Φ</t>
    </r>
    <r>
      <rPr>
        <b/>
        <i/>
        <sz val="10"/>
        <rFont val="Arial"/>
        <family val="2"/>
      </rPr>
      <t xml:space="preserve"> &amp; 3Φ</t>
    </r>
  </si>
  <si>
    <t>BD</t>
  </si>
  <si>
    <t>CY8697</t>
  </si>
  <si>
    <t>EFG01FF</t>
  </si>
  <si>
    <t>n/a</t>
  </si>
  <si>
    <t>CS61xx16B</t>
  </si>
  <si>
    <t># cap de 10000uF</t>
  </si>
  <si>
    <t>Vishay</t>
  </si>
  <si>
    <t>LS41xx60</t>
  </si>
  <si>
    <t>PS41xx25</t>
  </si>
  <si>
    <t>CD42xx90B</t>
  </si>
  <si>
    <t>Correction factor:x 1.25</t>
  </si>
  <si>
    <t xml:space="preserve">With BD </t>
  </si>
  <si>
    <t>Tested value 1</t>
  </si>
  <si>
    <t>Tested value 2</t>
  </si>
  <si>
    <t>Rough formula</t>
  </si>
  <si>
    <t>50/sqrt(surface)</t>
  </si>
  <si>
    <t>Calculator</t>
  </si>
  <si>
    <t>Tested value 3</t>
  </si>
  <si>
    <t>SCR Table</t>
  </si>
  <si>
    <t>Device   Parameters</t>
  </si>
  <si>
    <t>EQUIVALENT DEVICES</t>
  </si>
  <si>
    <t>Configuration</t>
  </si>
  <si>
    <t>Device   Part No</t>
  </si>
  <si>
    <r>
      <t>I</t>
    </r>
    <r>
      <rPr>
        <vertAlign val="subscript"/>
        <sz val="12"/>
        <color indexed="8"/>
        <rFont val="Calibri"/>
        <family val="2"/>
      </rPr>
      <t>dave Max</t>
    </r>
  </si>
  <si>
    <r>
      <t>I</t>
    </r>
    <r>
      <rPr>
        <vertAlign val="subscript"/>
        <sz val="12"/>
        <color indexed="8"/>
        <rFont val="Calibri"/>
        <family val="2"/>
      </rPr>
      <t>drms Max</t>
    </r>
  </si>
  <si>
    <r>
      <t>I</t>
    </r>
    <r>
      <rPr>
        <vertAlign val="subscript"/>
        <sz val="12"/>
        <color indexed="8"/>
        <rFont val="Calibri"/>
        <family val="2"/>
      </rPr>
      <t>fsm</t>
    </r>
  </si>
  <si>
    <r>
      <t>T</t>
    </r>
    <r>
      <rPr>
        <vertAlign val="subscript"/>
        <sz val="11"/>
        <color indexed="8"/>
        <rFont val="Calibri"/>
        <family val="2"/>
      </rPr>
      <t>j Max</t>
    </r>
  </si>
  <si>
    <r>
      <t>V</t>
    </r>
    <r>
      <rPr>
        <vertAlign val="subscript"/>
        <sz val="11"/>
        <color indexed="8"/>
        <rFont val="Calibri"/>
        <family val="2"/>
      </rPr>
      <t>TO</t>
    </r>
  </si>
  <si>
    <r>
      <t>r</t>
    </r>
    <r>
      <rPr>
        <vertAlign val="subscript"/>
        <sz val="11"/>
        <color indexed="8"/>
        <rFont val="Calibri"/>
        <family val="2"/>
      </rPr>
      <t>T</t>
    </r>
  </si>
  <si>
    <r>
      <t xml:space="preserve"> Per  Junction  R</t>
    </r>
    <r>
      <rPr>
        <vertAlign val="subscript"/>
        <sz val="11"/>
        <color indexed="8"/>
        <rFont val="Calibri"/>
        <family val="2"/>
      </rPr>
      <t>θjc</t>
    </r>
  </si>
  <si>
    <r>
      <t>Per Junction  R</t>
    </r>
    <r>
      <rPr>
        <vertAlign val="subscript"/>
        <sz val="11"/>
        <color indexed="8"/>
        <rFont val="Calibri"/>
        <family val="2"/>
      </rPr>
      <t>θcs</t>
    </r>
  </si>
  <si>
    <t>PRX</t>
  </si>
  <si>
    <t>International Rectifier</t>
  </si>
  <si>
    <r>
      <t>(</t>
    </r>
    <r>
      <rPr>
        <sz val="11"/>
        <color indexed="8"/>
        <rFont val="Calibri"/>
        <family val="2"/>
      </rPr>
      <t>°C)</t>
    </r>
  </si>
  <si>
    <r>
      <t>(m</t>
    </r>
    <r>
      <rPr>
        <sz val="11"/>
        <color indexed="8"/>
        <rFont val="Calibri"/>
        <family val="2"/>
      </rPr>
      <t>Ω)</t>
    </r>
  </si>
  <si>
    <r>
      <t>(</t>
    </r>
    <r>
      <rPr>
        <sz val="11"/>
        <color indexed="8"/>
        <rFont val="Calibri"/>
        <family val="2"/>
      </rPr>
      <t>°C/W)</t>
    </r>
  </si>
  <si>
    <r>
      <t>3</t>
    </r>
    <r>
      <rPr>
        <sz val="9"/>
        <color indexed="8"/>
        <rFont val="Calibri"/>
        <family val="2"/>
      </rPr>
      <t>Φ SCR/Diode Bridge</t>
    </r>
  </si>
  <si>
    <t>SEMIKRON</t>
  </si>
  <si>
    <t>3S/3D</t>
  </si>
  <si>
    <t>SK 40 DHxx</t>
  </si>
  <si>
    <r>
      <t>3</t>
    </r>
    <r>
      <rPr>
        <sz val="9"/>
        <color indexed="8"/>
        <rFont val="Calibri"/>
        <family val="2"/>
      </rPr>
      <t>Φ SCR Bridge</t>
    </r>
  </si>
  <si>
    <t>3S/3S</t>
  </si>
  <si>
    <t>SK70 DTxx</t>
  </si>
  <si>
    <t>1Φ SCR/Diode  Bridge+FWD</t>
  </si>
  <si>
    <t>2S/2D</t>
  </si>
  <si>
    <r>
      <t>3</t>
    </r>
    <r>
      <rPr>
        <sz val="9"/>
        <color indexed="8"/>
        <rFont val="Calibri"/>
        <family val="2"/>
      </rPr>
      <t>Φ SCR Bridge+FWD</t>
    </r>
  </si>
  <si>
    <t>Dual SCR</t>
  </si>
  <si>
    <t>S/S</t>
  </si>
  <si>
    <t>F1892SDxxxx</t>
  </si>
  <si>
    <t>CD43xx90B</t>
  </si>
  <si>
    <t>SCR/Diode</t>
  </si>
  <si>
    <t>S/D</t>
  </si>
  <si>
    <t>F1892HDxxxx</t>
  </si>
  <si>
    <t>CD63xx15B</t>
  </si>
  <si>
    <t>CD62xx15B</t>
  </si>
  <si>
    <t>ND42xx25</t>
  </si>
  <si>
    <t>Single SCR</t>
  </si>
  <si>
    <t>S</t>
  </si>
  <si>
    <t>DIODE Table</t>
  </si>
  <si>
    <r>
      <t>T</t>
    </r>
    <r>
      <rPr>
        <vertAlign val="subscript"/>
        <sz val="12"/>
        <color indexed="8"/>
        <rFont val="Calibri"/>
        <family val="2"/>
      </rPr>
      <t>j Max</t>
    </r>
  </si>
  <si>
    <r>
      <t>V</t>
    </r>
    <r>
      <rPr>
        <vertAlign val="subscript"/>
        <sz val="12"/>
        <color indexed="8"/>
        <rFont val="Calibri"/>
        <family val="2"/>
      </rPr>
      <t>TO</t>
    </r>
  </si>
  <si>
    <r>
      <t>r</t>
    </r>
    <r>
      <rPr>
        <vertAlign val="subscript"/>
        <sz val="12"/>
        <color indexed="8"/>
        <rFont val="Calibri"/>
        <family val="2"/>
      </rPr>
      <t>T</t>
    </r>
  </si>
  <si>
    <r>
      <t xml:space="preserve"> Per  Junction  R</t>
    </r>
    <r>
      <rPr>
        <vertAlign val="subscript"/>
        <sz val="12"/>
        <color indexed="8"/>
        <rFont val="Calibri"/>
        <family val="2"/>
      </rPr>
      <t>θjc</t>
    </r>
  </si>
  <si>
    <r>
      <t>Per Junction  R</t>
    </r>
    <r>
      <rPr>
        <vertAlign val="subscript"/>
        <sz val="12"/>
        <color indexed="8"/>
        <rFont val="Calibri"/>
        <family val="2"/>
      </rPr>
      <t>θcs</t>
    </r>
  </si>
  <si>
    <r>
      <t>(</t>
    </r>
    <r>
      <rPr>
        <sz val="12"/>
        <color indexed="8"/>
        <rFont val="Calibri"/>
        <family val="2"/>
      </rPr>
      <t>°C)</t>
    </r>
  </si>
  <si>
    <r>
      <t>(m</t>
    </r>
    <r>
      <rPr>
        <sz val="12"/>
        <color indexed="8"/>
        <rFont val="Calibri"/>
        <family val="2"/>
      </rPr>
      <t>Ω)</t>
    </r>
  </si>
  <si>
    <r>
      <t>(</t>
    </r>
    <r>
      <rPr>
        <sz val="12"/>
        <color indexed="8"/>
        <rFont val="Calibri"/>
        <family val="2"/>
      </rPr>
      <t>°C/W)</t>
    </r>
  </si>
  <si>
    <t>Single Diode</t>
  </si>
  <si>
    <t>F1892Dxxxx</t>
  </si>
  <si>
    <t>Dual Diode</t>
  </si>
  <si>
    <t>DD</t>
  </si>
  <si>
    <t>ND41xx35</t>
  </si>
  <si>
    <t>Circuit Type</t>
  </si>
  <si>
    <t>Number of HS</t>
  </si>
  <si>
    <r>
      <t>I</t>
    </r>
    <r>
      <rPr>
        <vertAlign val="subscript"/>
        <sz val="14"/>
        <color indexed="8"/>
        <rFont val="Calibri"/>
        <family val="2"/>
      </rPr>
      <t>fsm</t>
    </r>
  </si>
  <si>
    <r>
      <t>T</t>
    </r>
    <r>
      <rPr>
        <vertAlign val="subscript"/>
        <sz val="14"/>
        <color indexed="8"/>
        <rFont val="Calibri"/>
        <family val="2"/>
      </rPr>
      <t>s</t>
    </r>
  </si>
  <si>
    <r>
      <t>T</t>
    </r>
    <r>
      <rPr>
        <vertAlign val="subscript"/>
        <sz val="14"/>
        <color indexed="8"/>
        <rFont val="Calibri"/>
        <family val="2"/>
      </rPr>
      <t>a</t>
    </r>
  </si>
  <si>
    <t>TOTAL</t>
  </si>
  <si>
    <t>Unit Price may 2009</t>
  </si>
  <si>
    <t>1Mod</t>
  </si>
  <si>
    <t>HS250-AD</t>
  </si>
  <si>
    <t>3Mod</t>
  </si>
  <si>
    <t>forced Cooling</t>
  </si>
  <si>
    <t>UNIT PRICE MAY 2009</t>
  </si>
  <si>
    <r>
      <t>3</t>
    </r>
    <r>
      <rPr>
        <sz val="10"/>
        <color indexed="8"/>
        <rFont val="Calibri"/>
        <family val="2"/>
      </rPr>
      <t>Φ</t>
    </r>
    <r>
      <rPr>
        <sz val="10"/>
        <color indexed="8"/>
        <rFont val="Calibri"/>
        <family val="2"/>
      </rPr>
      <t>-1Φ-DC</t>
    </r>
  </si>
  <si>
    <r>
      <rPr>
        <sz val="8"/>
        <color indexed="8"/>
        <rFont val="Calibri"/>
        <family val="2"/>
      </rPr>
      <t xml:space="preserve">Total number of devices = </t>
    </r>
    <r>
      <rPr>
        <sz val="10"/>
        <color indexed="8"/>
        <rFont val="Calibri"/>
        <family val="2"/>
      </rPr>
      <t xml:space="preserve">  </t>
    </r>
    <r>
      <rPr>
        <sz val="12"/>
        <color indexed="8"/>
        <rFont val="Calibri"/>
        <family val="2"/>
      </rPr>
      <t>n</t>
    </r>
  </si>
  <si>
    <r>
      <rPr>
        <sz val="8"/>
        <color indexed="8"/>
        <rFont val="Calibri"/>
        <family val="2"/>
      </rPr>
      <t>Number of devices/HS=</t>
    </r>
    <r>
      <rPr>
        <sz val="10"/>
        <color indexed="8"/>
        <rFont val="Calibri"/>
        <family val="2"/>
      </rPr>
      <t xml:space="preserve">     </t>
    </r>
    <r>
      <rPr>
        <sz val="12"/>
        <color indexed="8"/>
        <rFont val="Calibri"/>
        <family val="2"/>
      </rPr>
      <t>n</t>
    </r>
    <r>
      <rPr>
        <vertAlign val="subscript"/>
        <sz val="12"/>
        <color indexed="8"/>
        <rFont val="Calibri"/>
        <family val="2"/>
      </rPr>
      <t>s</t>
    </r>
  </si>
  <si>
    <r>
      <t>I</t>
    </r>
    <r>
      <rPr>
        <vertAlign val="subscript"/>
        <sz val="14"/>
        <color indexed="8"/>
        <rFont val="Calibri"/>
        <family val="2"/>
      </rPr>
      <t>dc</t>
    </r>
  </si>
  <si>
    <r>
      <t>T</t>
    </r>
    <r>
      <rPr>
        <vertAlign val="subscript"/>
        <sz val="12"/>
        <color indexed="8"/>
        <rFont val="Calibri"/>
        <family val="2"/>
      </rPr>
      <t>s</t>
    </r>
  </si>
  <si>
    <r>
      <t>T</t>
    </r>
    <r>
      <rPr>
        <vertAlign val="subscript"/>
        <sz val="12"/>
        <color indexed="8"/>
        <rFont val="Calibri"/>
        <family val="2"/>
      </rPr>
      <t>a</t>
    </r>
  </si>
  <si>
    <r>
      <t>I</t>
    </r>
    <r>
      <rPr>
        <vertAlign val="subscript"/>
        <sz val="12"/>
        <color indexed="8"/>
        <rFont val="Calibri"/>
        <family val="2"/>
      </rPr>
      <t>dave</t>
    </r>
  </si>
  <si>
    <r>
      <t>F  I</t>
    </r>
    <r>
      <rPr>
        <vertAlign val="subscript"/>
        <sz val="12"/>
        <color indexed="8"/>
        <rFont val="Calibri"/>
        <family val="2"/>
      </rPr>
      <t>drms</t>
    </r>
    <r>
      <rPr>
        <sz val="12"/>
        <color indexed="8"/>
        <rFont val="Calibri"/>
        <family val="2"/>
      </rPr>
      <t>/I</t>
    </r>
    <r>
      <rPr>
        <vertAlign val="subscript"/>
        <sz val="12"/>
        <color indexed="8"/>
        <rFont val="Calibri"/>
        <family val="2"/>
      </rPr>
      <t>dave</t>
    </r>
  </si>
  <si>
    <r>
      <t>P</t>
    </r>
    <r>
      <rPr>
        <vertAlign val="subscript"/>
        <sz val="14"/>
        <color indexed="8"/>
        <rFont val="Calibri"/>
        <family val="2"/>
      </rPr>
      <t>d</t>
    </r>
  </si>
  <si>
    <r>
      <rPr>
        <sz val="14"/>
        <color indexed="8"/>
        <rFont val="Calibri"/>
        <family val="2"/>
      </rPr>
      <t>P</t>
    </r>
    <r>
      <rPr>
        <vertAlign val="subscript"/>
        <sz val="14"/>
        <color indexed="8"/>
        <rFont val="Calibri"/>
        <family val="2"/>
      </rPr>
      <t>t/HS</t>
    </r>
    <r>
      <rPr>
        <vertAlign val="subscript"/>
        <sz val="12"/>
        <color indexed="8"/>
        <rFont val="Calibri"/>
        <family val="2"/>
      </rPr>
      <t xml:space="preserve">     </t>
    </r>
    <r>
      <rPr>
        <sz val="12"/>
        <color indexed="8"/>
        <rFont val="Calibri"/>
        <family val="2"/>
      </rPr>
      <t>=n</t>
    </r>
    <r>
      <rPr>
        <vertAlign val="subscript"/>
        <sz val="12"/>
        <color indexed="8"/>
        <rFont val="Calibri"/>
        <family val="2"/>
      </rPr>
      <t>s</t>
    </r>
    <r>
      <rPr>
        <sz val="12"/>
        <color indexed="8"/>
        <rFont val="Calibri"/>
        <family val="2"/>
      </rPr>
      <t>xP</t>
    </r>
    <r>
      <rPr>
        <vertAlign val="subscript"/>
        <sz val="12"/>
        <color indexed="8"/>
        <rFont val="Calibri"/>
        <family val="2"/>
      </rPr>
      <t>d</t>
    </r>
  </si>
  <si>
    <r>
      <rPr>
        <sz val="14"/>
        <color indexed="8"/>
        <rFont val="Calibri"/>
        <family val="2"/>
      </rPr>
      <t>P</t>
    </r>
    <r>
      <rPr>
        <vertAlign val="subscript"/>
        <sz val="14"/>
        <color indexed="8"/>
        <rFont val="Calibri"/>
        <family val="2"/>
      </rPr>
      <t>t</t>
    </r>
    <r>
      <rPr>
        <vertAlign val="subscript"/>
        <sz val="12"/>
        <color indexed="8"/>
        <rFont val="Calibri"/>
        <family val="2"/>
      </rPr>
      <t xml:space="preserve">     </t>
    </r>
    <r>
      <rPr>
        <sz val="12"/>
        <color indexed="8"/>
        <rFont val="Calibri"/>
        <family val="2"/>
      </rPr>
      <t>=nxP</t>
    </r>
    <r>
      <rPr>
        <vertAlign val="subscript"/>
        <sz val="12"/>
        <color indexed="8"/>
        <rFont val="Calibri"/>
        <family val="2"/>
      </rPr>
      <t>d</t>
    </r>
  </si>
  <si>
    <r>
      <t xml:space="preserve">Deduction  </t>
    </r>
    <r>
      <rPr>
        <b/>
        <sz val="12"/>
        <color indexed="8"/>
        <rFont val="Calibri"/>
        <family val="2"/>
      </rPr>
      <t>R</t>
    </r>
    <r>
      <rPr>
        <b/>
        <vertAlign val="subscript"/>
        <sz val="12"/>
        <color indexed="8"/>
        <rFont val="Calibri"/>
        <family val="2"/>
      </rPr>
      <t>θsa</t>
    </r>
  </si>
  <si>
    <r>
      <t>T</t>
    </r>
    <r>
      <rPr>
        <vertAlign val="subscript"/>
        <sz val="14"/>
        <color indexed="8"/>
        <rFont val="Calibri"/>
        <family val="2"/>
      </rPr>
      <t>j</t>
    </r>
  </si>
  <si>
    <r>
      <t>(</t>
    </r>
    <r>
      <rPr>
        <b/>
        <sz val="11"/>
        <color indexed="8"/>
        <rFont val="Calibri"/>
        <family val="2"/>
      </rPr>
      <t>°C/W)</t>
    </r>
  </si>
  <si>
    <t>bd</t>
  </si>
  <si>
    <t>ND431225</t>
  </si>
  <si>
    <t>SK 70 DT</t>
  </si>
  <si>
    <t>CD61xx16B</t>
  </si>
  <si>
    <t>HS250 Length</t>
  </si>
  <si>
    <t>Y/N</t>
  </si>
  <si>
    <r>
      <t>T</t>
    </r>
    <r>
      <rPr>
        <vertAlign val="subscript"/>
        <sz val="11"/>
        <rFont val="Calibri"/>
        <family val="2"/>
      </rPr>
      <t>jmax</t>
    </r>
  </si>
  <si>
    <r>
      <t>I</t>
    </r>
    <r>
      <rPr>
        <b/>
        <vertAlign val="subscript"/>
        <sz val="24"/>
        <color indexed="8"/>
        <rFont val="Calibri"/>
        <family val="2"/>
      </rPr>
      <t>dcMax</t>
    </r>
  </si>
  <si>
    <r>
      <t>as a fonction of T</t>
    </r>
    <r>
      <rPr>
        <b/>
        <vertAlign val="subscript"/>
        <sz val="11"/>
        <color indexed="8"/>
        <rFont val="Calibri"/>
        <family val="2"/>
      </rPr>
      <t>jMax</t>
    </r>
  </si>
  <si>
    <t>HS250</t>
  </si>
  <si>
    <t>NO FAN</t>
  </si>
  <si>
    <t>Equation</t>
  </si>
  <si>
    <t>Solution</t>
  </si>
  <si>
    <t>Discriminant</t>
  </si>
  <si>
    <r>
      <t>3</t>
    </r>
    <r>
      <rPr>
        <b/>
        <sz val="10"/>
        <color indexed="8"/>
        <rFont val="Calibri"/>
        <family val="2"/>
      </rPr>
      <t>Φ</t>
    </r>
    <r>
      <rPr>
        <b/>
        <sz val="10"/>
        <color indexed="8"/>
        <rFont val="Calibri"/>
        <family val="2"/>
      </rPr>
      <t>-1Φ-BD-FWD</t>
    </r>
  </si>
  <si>
    <t>Operational Conditions</t>
  </si>
  <si>
    <r>
      <t>(-b</t>
    </r>
    <r>
      <rPr>
        <sz val="11"/>
        <color indexed="8"/>
        <rFont val="Calibri"/>
        <family val="2"/>
      </rPr>
      <t>±√(D))/2a</t>
    </r>
  </si>
  <si>
    <t>Total number of devices = n</t>
  </si>
  <si>
    <r>
      <t>Number of devices/HS = n</t>
    </r>
    <r>
      <rPr>
        <vertAlign val="subscript"/>
        <sz val="10"/>
        <color indexed="8"/>
        <rFont val="Calibri"/>
        <family val="2"/>
      </rPr>
      <t>s</t>
    </r>
  </si>
  <si>
    <t>Number of Modules/HS</t>
  </si>
  <si>
    <r>
      <t>I</t>
    </r>
    <r>
      <rPr>
        <b/>
        <vertAlign val="subscript"/>
        <sz val="22"/>
        <color indexed="62"/>
        <rFont val="Calibri"/>
        <family val="2"/>
      </rPr>
      <t>dcMax</t>
    </r>
  </si>
  <si>
    <r>
      <t>I</t>
    </r>
    <r>
      <rPr>
        <vertAlign val="subscript"/>
        <sz val="12"/>
        <color indexed="8"/>
        <rFont val="Calibri"/>
        <family val="2"/>
      </rPr>
      <t>daveMax</t>
    </r>
  </si>
  <si>
    <r>
      <t>F = I</t>
    </r>
    <r>
      <rPr>
        <vertAlign val="subscript"/>
        <sz val="12"/>
        <color indexed="8"/>
        <rFont val="Calibri"/>
        <family val="2"/>
      </rPr>
      <t>drms</t>
    </r>
    <r>
      <rPr>
        <sz val="12"/>
        <color indexed="8"/>
        <rFont val="Calibri"/>
        <family val="2"/>
      </rPr>
      <t>/I</t>
    </r>
    <r>
      <rPr>
        <vertAlign val="subscript"/>
        <sz val="12"/>
        <color indexed="8"/>
        <rFont val="Calibri"/>
        <family val="2"/>
      </rPr>
      <t>dave</t>
    </r>
  </si>
  <si>
    <r>
      <t>I</t>
    </r>
    <r>
      <rPr>
        <vertAlign val="subscript"/>
        <sz val="12"/>
        <color indexed="8"/>
        <rFont val="Calibri"/>
        <family val="2"/>
      </rPr>
      <t>drmsMax</t>
    </r>
  </si>
  <si>
    <r>
      <t>T</t>
    </r>
    <r>
      <rPr>
        <vertAlign val="subscript"/>
        <sz val="14"/>
        <color indexed="8"/>
        <rFont val="Calibri"/>
        <family val="2"/>
      </rPr>
      <t>j Max</t>
    </r>
  </si>
  <si>
    <r>
      <t>V</t>
    </r>
    <r>
      <rPr>
        <vertAlign val="subscript"/>
        <sz val="14"/>
        <color indexed="8"/>
        <rFont val="Calibri"/>
        <family val="2"/>
      </rPr>
      <t>TO</t>
    </r>
  </si>
  <si>
    <r>
      <t>r</t>
    </r>
    <r>
      <rPr>
        <vertAlign val="subscript"/>
        <sz val="14"/>
        <color indexed="8"/>
        <rFont val="Calibri"/>
        <family val="2"/>
      </rPr>
      <t>T</t>
    </r>
  </si>
  <si>
    <r>
      <t xml:space="preserve"> Per  Junction  </t>
    </r>
    <r>
      <rPr>
        <sz val="14"/>
        <color indexed="8"/>
        <rFont val="Calibri"/>
        <family val="2"/>
      </rPr>
      <t>R</t>
    </r>
    <r>
      <rPr>
        <vertAlign val="subscript"/>
        <sz val="14"/>
        <color indexed="8"/>
        <rFont val="Calibri"/>
        <family val="2"/>
      </rPr>
      <t>θjc</t>
    </r>
  </si>
  <si>
    <r>
      <t xml:space="preserve">Per Junction  </t>
    </r>
    <r>
      <rPr>
        <sz val="14"/>
        <color indexed="8"/>
        <rFont val="Calibri"/>
        <family val="2"/>
      </rPr>
      <t>R</t>
    </r>
    <r>
      <rPr>
        <vertAlign val="subscript"/>
        <sz val="14"/>
        <color indexed="8"/>
        <rFont val="Calibri"/>
        <family val="2"/>
      </rPr>
      <t>θcs</t>
    </r>
  </si>
  <si>
    <t>HS250 length</t>
  </si>
  <si>
    <r>
      <t>R</t>
    </r>
    <r>
      <rPr>
        <b/>
        <vertAlign val="subscript"/>
        <sz val="11"/>
        <color indexed="10"/>
        <rFont val="Calibri"/>
        <family val="2"/>
      </rPr>
      <t>θsa</t>
    </r>
  </si>
  <si>
    <r>
      <t>P</t>
    </r>
    <r>
      <rPr>
        <vertAlign val="subscript"/>
        <sz val="12"/>
        <color indexed="8"/>
        <rFont val="Calibri"/>
        <family val="2"/>
      </rPr>
      <t>d</t>
    </r>
  </si>
  <si>
    <r>
      <rPr>
        <sz val="14"/>
        <color indexed="8"/>
        <rFont val="Calibri"/>
        <family val="2"/>
      </rPr>
      <t>P</t>
    </r>
    <r>
      <rPr>
        <vertAlign val="subscript"/>
        <sz val="14"/>
        <color indexed="8"/>
        <rFont val="Calibri"/>
        <family val="2"/>
      </rPr>
      <t xml:space="preserve">t/HS </t>
    </r>
    <r>
      <rPr>
        <vertAlign val="subscript"/>
        <sz val="12"/>
        <color indexed="8"/>
        <rFont val="Calibri"/>
        <family val="2"/>
      </rPr>
      <t xml:space="preserve">    </t>
    </r>
    <r>
      <rPr>
        <sz val="12"/>
        <color indexed="8"/>
        <rFont val="Calibri"/>
        <family val="2"/>
      </rPr>
      <t>=n</t>
    </r>
    <r>
      <rPr>
        <vertAlign val="subscript"/>
        <sz val="12"/>
        <color indexed="8"/>
        <rFont val="Calibri"/>
        <family val="2"/>
      </rPr>
      <t>s</t>
    </r>
    <r>
      <rPr>
        <sz val="12"/>
        <color indexed="8"/>
        <rFont val="Calibri"/>
        <family val="2"/>
      </rPr>
      <t>xP</t>
    </r>
    <r>
      <rPr>
        <vertAlign val="subscript"/>
        <sz val="12"/>
        <color indexed="8"/>
        <rFont val="Calibri"/>
        <family val="2"/>
      </rPr>
      <t>d</t>
    </r>
  </si>
  <si>
    <r>
      <rPr>
        <sz val="14"/>
        <color indexed="8"/>
        <rFont val="Calibri"/>
        <family val="2"/>
      </rPr>
      <t>P</t>
    </r>
    <r>
      <rPr>
        <vertAlign val="subscript"/>
        <sz val="14"/>
        <color indexed="8"/>
        <rFont val="Calibri"/>
        <family val="2"/>
      </rPr>
      <t xml:space="preserve">t   </t>
    </r>
    <r>
      <rPr>
        <sz val="12"/>
        <color indexed="8"/>
        <rFont val="Calibri"/>
        <family val="2"/>
      </rPr>
      <t>=n</t>
    </r>
    <r>
      <rPr>
        <vertAlign val="subscript"/>
        <sz val="12"/>
        <color indexed="8"/>
        <rFont val="Calibri"/>
        <family val="2"/>
      </rPr>
      <t>s</t>
    </r>
    <r>
      <rPr>
        <sz val="12"/>
        <color indexed="8"/>
        <rFont val="Calibri"/>
        <family val="2"/>
      </rPr>
      <t>xP</t>
    </r>
    <r>
      <rPr>
        <vertAlign val="subscript"/>
        <sz val="12"/>
        <color indexed="8"/>
        <rFont val="Calibri"/>
        <family val="2"/>
      </rPr>
      <t>d</t>
    </r>
  </si>
  <si>
    <t>a</t>
  </si>
  <si>
    <t>b</t>
  </si>
  <si>
    <t>c</t>
  </si>
  <si>
    <r>
      <t>(</t>
    </r>
    <r>
      <rPr>
        <sz val="14"/>
        <color indexed="8"/>
        <rFont val="Calibri"/>
        <family val="2"/>
      </rPr>
      <t>°C)</t>
    </r>
  </si>
  <si>
    <r>
      <t>(</t>
    </r>
    <r>
      <rPr>
        <b/>
        <sz val="11"/>
        <color indexed="10"/>
        <rFont val="Calibri"/>
        <family val="2"/>
      </rPr>
      <t>°C/W)</t>
    </r>
  </si>
  <si>
    <r>
      <t>(</t>
    </r>
    <r>
      <rPr>
        <b/>
        <sz val="11"/>
        <color indexed="8"/>
        <rFont val="Calibri"/>
        <family val="2"/>
      </rPr>
      <t>°C)</t>
    </r>
  </si>
  <si>
    <r>
      <t>F</t>
    </r>
    <r>
      <rPr>
        <vertAlign val="super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r</t>
    </r>
    <r>
      <rPr>
        <vertAlign val="subscript"/>
        <sz val="11"/>
        <color indexed="8"/>
        <rFont val="Calibri"/>
        <family val="2"/>
      </rPr>
      <t>T</t>
    </r>
  </si>
  <si>
    <r>
      <t>(T</t>
    </r>
    <r>
      <rPr>
        <vertAlign val="subscript"/>
        <sz val="9"/>
        <color indexed="8"/>
        <rFont val="Calibri"/>
        <family val="2"/>
      </rPr>
      <t>a</t>
    </r>
    <r>
      <rPr>
        <sz val="9"/>
        <color indexed="8"/>
        <rFont val="Calibri"/>
        <family val="2"/>
      </rPr>
      <t>-T</t>
    </r>
    <r>
      <rPr>
        <vertAlign val="subscript"/>
        <sz val="9"/>
        <color indexed="8"/>
        <rFont val="Calibri"/>
        <family val="2"/>
      </rPr>
      <t>j</t>
    </r>
    <r>
      <rPr>
        <sz val="9"/>
        <color indexed="8"/>
        <rFont val="Calibri"/>
        <family val="2"/>
      </rPr>
      <t>)/(R</t>
    </r>
    <r>
      <rPr>
        <vertAlign val="subscript"/>
        <sz val="9"/>
        <color indexed="8"/>
        <rFont val="Calibri"/>
        <family val="2"/>
      </rPr>
      <t>θjc</t>
    </r>
    <r>
      <rPr>
        <sz val="9"/>
        <color indexed="8"/>
        <rFont val="Calibri"/>
        <family val="2"/>
      </rPr>
      <t>+R</t>
    </r>
    <r>
      <rPr>
        <vertAlign val="subscript"/>
        <sz val="9"/>
        <color indexed="8"/>
        <rFont val="Calibri"/>
        <family val="2"/>
      </rPr>
      <t>θcs</t>
    </r>
    <r>
      <rPr>
        <sz val="9"/>
        <color indexed="8"/>
        <rFont val="Calibri"/>
        <family val="2"/>
      </rPr>
      <t>+n</t>
    </r>
    <r>
      <rPr>
        <vertAlign val="subscript"/>
        <sz val="9"/>
        <color indexed="8"/>
        <rFont val="Calibri"/>
        <family val="2"/>
      </rPr>
      <t>s</t>
    </r>
    <r>
      <rPr>
        <sz val="9"/>
        <color indexed="8"/>
        <rFont val="Calibri"/>
        <family val="2"/>
      </rPr>
      <t>R</t>
    </r>
    <r>
      <rPr>
        <vertAlign val="subscript"/>
        <sz val="9"/>
        <color indexed="8"/>
        <rFont val="Calibri"/>
        <family val="2"/>
      </rPr>
      <t>θsa</t>
    </r>
    <r>
      <rPr>
        <sz val="9"/>
        <color indexed="8"/>
        <rFont val="Calibri"/>
        <family val="2"/>
      </rPr>
      <t>)</t>
    </r>
  </si>
  <si>
    <r>
      <t>D = b</t>
    </r>
    <r>
      <rPr>
        <vertAlign val="superscript"/>
        <sz val="10"/>
        <color indexed="8"/>
        <rFont val="Calibri"/>
        <family val="2"/>
      </rPr>
      <t>2</t>
    </r>
    <r>
      <rPr>
        <sz val="10"/>
        <color indexed="8"/>
        <rFont val="Calibri"/>
        <family val="2"/>
      </rPr>
      <t>-4ac</t>
    </r>
  </si>
  <si>
    <t>N</t>
  </si>
  <si>
    <r>
      <t>ax</t>
    </r>
    <r>
      <rPr>
        <vertAlign val="superscript"/>
        <sz val="10"/>
        <color indexed="8"/>
        <rFont val="Calibri"/>
        <family val="2"/>
      </rPr>
      <t>2</t>
    </r>
    <r>
      <rPr>
        <sz val="10"/>
        <color indexed="8"/>
        <rFont val="Calibri"/>
        <family val="2"/>
      </rPr>
      <t>+bx+c=0</t>
    </r>
  </si>
  <si>
    <t>Includes safety factor on Tj</t>
  </si>
  <si>
    <t>Y</t>
  </si>
  <si>
    <r>
      <rPr>
        <b/>
        <sz val="14"/>
        <color indexed="8"/>
        <rFont val="Calibri"/>
        <family val="2"/>
      </rPr>
      <t>T</t>
    </r>
    <r>
      <rPr>
        <b/>
        <vertAlign val="subscript"/>
        <sz val="14"/>
        <color indexed="8"/>
        <rFont val="Calibri"/>
        <family val="2"/>
      </rPr>
      <t xml:space="preserve">j       </t>
    </r>
    <r>
      <rPr>
        <b/>
        <sz val="11"/>
        <color indexed="8"/>
        <rFont val="Calibri"/>
        <family val="2"/>
      </rPr>
      <t>=T</t>
    </r>
    <r>
      <rPr>
        <b/>
        <vertAlign val="subscript"/>
        <sz val="11"/>
        <color indexed="8"/>
        <rFont val="Calibri"/>
        <family val="2"/>
      </rPr>
      <t>jMax-5</t>
    </r>
    <r>
      <rPr>
        <b/>
        <sz val="12"/>
        <color indexed="8"/>
        <rFont val="Calibri"/>
        <family val="2"/>
      </rPr>
      <t xml:space="preserve"> </t>
    </r>
  </si>
  <si>
    <t>ASSEMBLY COST</t>
  </si>
  <si>
    <t>MODULE</t>
  </si>
  <si>
    <t>$/(A)</t>
  </si>
  <si>
    <t>Fig8</t>
  </si>
  <si>
    <t>±15%</t>
  </si>
  <si>
    <t>Fig9</t>
  </si>
  <si>
    <t>Fig11</t>
  </si>
  <si>
    <t>Fig10</t>
  </si>
  <si>
    <t>Fig12</t>
  </si>
  <si>
    <t>FWD AMPERAGE</t>
  </si>
  <si>
    <t>FUSE AT 1.8x</t>
  </si>
  <si>
    <t>FUSE A30QS</t>
  </si>
  <si>
    <t>A / 10ms</t>
  </si>
  <si>
    <t>FWD COMPARED TO FUSE A / 10ms</t>
  </si>
  <si>
    <t xml:space="preserve">FWD </t>
  </si>
  <si>
    <t xml:space="preserve">BD </t>
  </si>
  <si>
    <t>SCR Assemblies final</t>
  </si>
  <si>
    <t>1 phase systems</t>
  </si>
  <si>
    <t>LD42xx50</t>
  </si>
  <si>
    <t>PD42xx07</t>
  </si>
  <si>
    <r>
      <t>T</t>
    </r>
    <r>
      <rPr>
        <i/>
        <vertAlign val="subscript"/>
        <sz val="12"/>
        <color indexed="8"/>
        <rFont val="Calibri"/>
        <family val="2"/>
      </rPr>
      <t>s</t>
    </r>
  </si>
  <si>
    <r>
      <t>(</t>
    </r>
    <r>
      <rPr>
        <i/>
        <sz val="12"/>
        <color indexed="8"/>
        <rFont val="Calibri"/>
        <family val="2"/>
      </rPr>
      <t>°C)</t>
    </r>
  </si>
  <si>
    <t>Capacitor Discharge Current</t>
  </si>
  <si>
    <r>
      <t>Capacitor energy = ½ CV</t>
    </r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(j)</t>
    </r>
  </si>
  <si>
    <t>Capacitor discharge Current = CV/t (A)</t>
  </si>
  <si>
    <t>Capacitor discharge Current @ 10 ms = CV/0.01  (A)</t>
  </si>
  <si>
    <t>Transformer  Short Circuit Current Capability Calculation</t>
  </si>
  <si>
    <t>Exemple:</t>
  </si>
  <si>
    <t>1/0.0575 = 17.4</t>
  </si>
  <si>
    <r>
      <t xml:space="preserve">TX: 28kVA, </t>
    </r>
    <r>
      <rPr>
        <b/>
        <sz val="10"/>
        <rFont val="Arial"/>
        <family val="2"/>
      </rPr>
      <t>3ph</t>
    </r>
    <r>
      <rPr>
        <sz val="10"/>
        <rFont val="Arial"/>
        <family val="2"/>
      </rPr>
      <t>, Vsec=127V (line-line), impedance = 5.75%</t>
    </r>
  </si>
  <si>
    <t>Isc= 127.3 x 17.4 = 2215A      (on The Secondary)</t>
  </si>
  <si>
    <t>VSKE250-12</t>
  </si>
  <si>
    <t>VSKE270-12</t>
  </si>
  <si>
    <t>VSKE320-12</t>
  </si>
  <si>
    <t>y</t>
  </si>
  <si>
    <t>SKKE320/12</t>
  </si>
  <si>
    <t>VSKT162/xxPbF</t>
  </si>
  <si>
    <t>VSKH162/xxPbF</t>
  </si>
  <si>
    <t>VSKE166/12pbf</t>
  </si>
  <si>
    <t>x2???</t>
  </si>
  <si>
    <t>F1892Sxxxx</t>
  </si>
  <si>
    <t>FWD</t>
  </si>
  <si>
    <t>Number of HS250</t>
  </si>
  <si>
    <t>Electrolytic Capacitor Service Life</t>
  </si>
  <si>
    <t>L</t>
  </si>
  <si>
    <t>Estimated Life Time</t>
  </si>
  <si>
    <t>Stadard Life Time (Given in the Data Sheet)</t>
  </si>
  <si>
    <t>Maximum Capacitor Core Temperature / Hot Spot (Given in the Data Sheet)</t>
  </si>
  <si>
    <t>Note: this value is given for Maximum Ripple Current and Maximum Operating Temperature</t>
  </si>
  <si>
    <t>T</t>
  </si>
  <si>
    <r>
      <t>L</t>
    </r>
    <r>
      <rPr>
        <b/>
        <vertAlign val="subscript"/>
        <sz val="12"/>
        <rFont val="Arial"/>
        <family val="2"/>
      </rPr>
      <t>0</t>
    </r>
  </si>
  <si>
    <r>
      <t>T</t>
    </r>
    <r>
      <rPr>
        <b/>
        <vertAlign val="subscript"/>
        <sz val="12"/>
        <rFont val="Arial"/>
        <family val="2"/>
      </rPr>
      <t>0</t>
    </r>
  </si>
  <si>
    <t>Actual Capacitor Core Temperature @ Actual Temperature Ta and Ripple Current</t>
  </si>
  <si>
    <r>
      <t>T</t>
    </r>
    <r>
      <rPr>
        <b/>
        <vertAlign val="subscript"/>
        <sz val="12"/>
        <rFont val="Arial"/>
        <family val="2"/>
      </rPr>
      <t>a</t>
    </r>
  </si>
  <si>
    <r>
      <t>ΔT</t>
    </r>
    <r>
      <rPr>
        <b/>
        <vertAlign val="subscript"/>
        <sz val="12"/>
        <rFont val="Calibri"/>
        <family val="2"/>
      </rPr>
      <t>0</t>
    </r>
  </si>
  <si>
    <t>Actual Ambient Temperature</t>
  </si>
  <si>
    <t>Maximum Capacitor Core temperature increase</t>
  </si>
  <si>
    <r>
      <t>I</t>
    </r>
    <r>
      <rPr>
        <b/>
        <vertAlign val="subscript"/>
        <sz val="12"/>
        <rFont val="Arial"/>
        <family val="2"/>
      </rPr>
      <t>R</t>
    </r>
  </si>
  <si>
    <r>
      <t>T = T</t>
    </r>
    <r>
      <rPr>
        <b/>
        <vertAlign val="subscript"/>
        <sz val="12"/>
        <rFont val="Arial"/>
        <family val="2"/>
      </rPr>
      <t>a</t>
    </r>
    <r>
      <rPr>
        <b/>
        <sz val="12"/>
        <rFont val="Arial"/>
        <family val="2"/>
      </rPr>
      <t xml:space="preserve"> + </t>
    </r>
    <r>
      <rPr>
        <b/>
        <sz val="12"/>
        <rFont val="Calibri"/>
        <family val="2"/>
      </rPr>
      <t>Δ</t>
    </r>
    <r>
      <rPr>
        <b/>
        <sz val="12"/>
        <rFont val="Arial"/>
        <family val="2"/>
      </rPr>
      <t>T</t>
    </r>
    <r>
      <rPr>
        <b/>
        <vertAlign val="subscript"/>
        <sz val="12"/>
        <rFont val="Arial"/>
        <family val="2"/>
      </rPr>
      <t>0</t>
    </r>
    <r>
      <rPr>
        <b/>
        <sz val="12"/>
        <rFont val="Arial"/>
        <family val="2"/>
      </rPr>
      <t xml:space="preserve"> x (I/I</t>
    </r>
    <r>
      <rPr>
        <b/>
        <vertAlign val="subscript"/>
        <sz val="12"/>
        <rFont val="Arial"/>
        <family val="2"/>
      </rPr>
      <t>R</t>
    </r>
    <r>
      <rPr>
        <b/>
        <sz val="12"/>
        <rFont val="Arial"/>
        <family val="2"/>
      </rPr>
      <t>)</t>
    </r>
    <r>
      <rPr>
        <b/>
        <vertAlign val="superscript"/>
        <sz val="12"/>
        <rFont val="Arial"/>
        <family val="2"/>
      </rPr>
      <t>2</t>
    </r>
  </si>
  <si>
    <t>I</t>
  </si>
  <si>
    <t>Actual Ripple Curent @ Ta and given Ripple Frequency</t>
  </si>
  <si>
    <t>Maximum allowable  Ripple Curent @ Ta and given Ripple Frequency</t>
  </si>
  <si>
    <r>
      <t>(</t>
    </r>
    <r>
      <rPr>
        <sz val="10"/>
        <rFont val="Calibri"/>
        <family val="2"/>
      </rPr>
      <t>°</t>
    </r>
    <r>
      <rPr>
        <sz val="10"/>
        <rFont val="Arial"/>
        <family val="2"/>
      </rPr>
      <t>C)</t>
    </r>
  </si>
  <si>
    <t>To、Lo、保証寿命、温度上昇設定値</t>
    <rPh sb="6" eb="8">
      <t>ホショウ</t>
    </rPh>
    <rPh sb="8" eb="10">
      <t>ジュミョウ</t>
    </rPh>
    <rPh sb="11" eb="13">
      <t>オンド</t>
    </rPh>
    <rPh sb="13" eb="15">
      <t>ジョウショウ</t>
    </rPh>
    <rPh sb="15" eb="18">
      <t>セッテイチ</t>
    </rPh>
    <phoneticPr fontId="0"/>
  </si>
  <si>
    <t>周囲温度</t>
    <rPh sb="0" eb="2">
      <t>シュウイ</t>
    </rPh>
    <rPh sb="2" eb="4">
      <t>オンド</t>
    </rPh>
    <phoneticPr fontId="0"/>
  </si>
  <si>
    <t>HCG7</t>
  </si>
  <si>
    <t>HCGH 　　　(～250WV)</t>
  </si>
  <si>
    <t>HCGH　(400WV)</t>
  </si>
  <si>
    <t>HCGF5/6</t>
  </si>
  <si>
    <t>FXA/FX2</t>
  </si>
  <si>
    <t>GXA/GX2</t>
  </si>
  <si>
    <t>HXA</t>
  </si>
  <si>
    <t>FXR</t>
  </si>
  <si>
    <t>GXR</t>
  </si>
  <si>
    <t>GXH</t>
  </si>
  <si>
    <t>各温度毎の中心部温度上昇設定値（K）</t>
    <rPh sb="0" eb="3">
      <t>カクオンド</t>
    </rPh>
    <rPh sb="3" eb="4">
      <t>マイ</t>
    </rPh>
    <rPh sb="5" eb="8">
      <t>チュウシンブ</t>
    </rPh>
    <rPh sb="8" eb="10">
      <t>オンド</t>
    </rPh>
    <rPh sb="10" eb="12">
      <t>ジョウショウ</t>
    </rPh>
    <rPh sb="12" eb="15">
      <t>セッテイチ</t>
    </rPh>
    <phoneticPr fontId="0"/>
  </si>
  <si>
    <t>60(55)</t>
  </si>
  <si>
    <t>To（℃）</t>
  </si>
  <si>
    <t>Lo（h）</t>
  </si>
  <si>
    <t>保証寿命（h）</t>
    <rPh sb="0" eb="2">
      <t>ホショウ</t>
    </rPh>
    <rPh sb="2" eb="4">
      <t>ジュミョウ</t>
    </rPh>
    <phoneticPr fontId="0"/>
  </si>
  <si>
    <t>リプル補正係数（ただし、04年カタログ記載値をベースとする）</t>
    <rPh sb="3" eb="5">
      <t>ホセイ</t>
    </rPh>
    <rPh sb="5" eb="7">
      <t>ケイスウ</t>
    </rPh>
    <rPh sb="14" eb="15">
      <t>ネン</t>
    </rPh>
    <rPh sb="19" eb="21">
      <t>キサイ</t>
    </rPh>
    <rPh sb="21" eb="22">
      <t>チ</t>
    </rPh>
    <phoneticPr fontId="0"/>
  </si>
  <si>
    <t>（周波数）</t>
    <rPh sb="1" eb="4">
      <t>シュウハスウ</t>
    </rPh>
    <phoneticPr fontId="0"/>
  </si>
  <si>
    <t>50/60</t>
  </si>
  <si>
    <t>1K</t>
  </si>
  <si>
    <t>≧10K</t>
  </si>
  <si>
    <t>HCGH</t>
  </si>
  <si>
    <t>HCGF5</t>
  </si>
  <si>
    <t>HCGF6</t>
  </si>
  <si>
    <t>FXA</t>
  </si>
  <si>
    <t>FX2</t>
  </si>
  <si>
    <t>GXA</t>
  </si>
  <si>
    <t>GX2</t>
  </si>
  <si>
    <t>（周囲温度）</t>
    <rPh sb="1" eb="3">
      <t>シュウイ</t>
    </rPh>
    <rPh sb="3" eb="5">
      <t>オンド</t>
    </rPh>
    <phoneticPr fontId="0"/>
  </si>
  <si>
    <t>HCGH(～250WV)</t>
  </si>
  <si>
    <t>(55℃)　3.9</t>
  </si>
  <si>
    <t>If V/WV&lt;0.6, use V/WV = 0.6.</t>
  </si>
  <si>
    <t>Frequency Correction Factor</t>
  </si>
  <si>
    <r>
      <t>T</t>
    </r>
    <r>
      <rPr>
        <b/>
        <vertAlign val="subscript"/>
        <sz val="12"/>
        <rFont val="Arial"/>
        <family val="2"/>
      </rPr>
      <t>a</t>
    </r>
    <r>
      <rPr>
        <b/>
        <sz val="12"/>
        <rFont val="Arial"/>
        <family val="2"/>
      </rPr>
      <t xml:space="preserve"> </t>
    </r>
    <r>
      <rPr>
        <sz val="8"/>
        <rFont val="Arial"/>
        <family val="2"/>
      </rPr>
      <t>Correction Factor</t>
    </r>
  </si>
  <si>
    <r>
      <t>(</t>
    </r>
    <r>
      <rPr>
        <sz val="10"/>
        <rFont val="Calibri"/>
        <family val="2"/>
      </rPr>
      <t>°</t>
    </r>
    <r>
      <rPr>
        <sz val="10"/>
        <rFont val="Arial"/>
        <family val="2"/>
      </rPr>
      <t>K)</t>
    </r>
  </si>
  <si>
    <t>(hrs)</t>
  </si>
  <si>
    <t>Maximum Ripple Current at 40°C,120Hz (Given in Data Sheet)</t>
  </si>
  <si>
    <r>
      <t>I</t>
    </r>
    <r>
      <rPr>
        <b/>
        <vertAlign val="subscript"/>
        <sz val="12"/>
        <rFont val="Arial"/>
        <family val="2"/>
      </rPr>
      <t>r</t>
    </r>
  </si>
  <si>
    <t>days</t>
  </si>
  <si>
    <t>years</t>
  </si>
  <si>
    <t>Data Sheet</t>
  </si>
  <si>
    <t>V</t>
  </si>
  <si>
    <t>WV</t>
  </si>
  <si>
    <t>Computed Value</t>
  </si>
  <si>
    <r>
      <t>L = L</t>
    </r>
    <r>
      <rPr>
        <b/>
        <vertAlign val="subscript"/>
        <sz val="12"/>
        <rFont val="Arial"/>
        <family val="2"/>
      </rPr>
      <t>0</t>
    </r>
    <r>
      <rPr>
        <b/>
        <sz val="12"/>
        <rFont val="Arial"/>
        <family val="2"/>
      </rPr>
      <t xml:space="preserve"> x 2</t>
    </r>
    <r>
      <rPr>
        <b/>
        <vertAlign val="superscript"/>
        <sz val="12"/>
        <rFont val="Arial"/>
        <family val="2"/>
      </rPr>
      <t>(T0-T)/10</t>
    </r>
    <r>
      <rPr>
        <b/>
        <sz val="12"/>
        <rFont val="Arial"/>
        <family val="2"/>
      </rPr>
      <t xml:space="preserve"> x (VW/V)</t>
    </r>
    <r>
      <rPr>
        <b/>
        <vertAlign val="superscript"/>
        <sz val="12"/>
        <rFont val="Arial"/>
        <family val="2"/>
      </rPr>
      <t>2.5</t>
    </r>
  </si>
  <si>
    <t>Automatic Calculation</t>
  </si>
  <si>
    <t>S (kA)</t>
  </si>
  <si>
    <t>Z (imp)</t>
  </si>
  <si>
    <t>Isc</t>
  </si>
  <si>
    <t>Result</t>
  </si>
  <si>
    <t>Input Value</t>
  </si>
  <si>
    <t>I = 28000/(127*1.732) = 127.3A  (on The Secondary)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</si>
</sst>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00"/>
    <numFmt numFmtId="166" formatCode="0.0000"/>
    <numFmt numFmtId="167" formatCode="0.0"/>
    <numFmt numFmtId="168" formatCode="0.00_ "/>
    <numFmt numFmtId="169" formatCode="0.0_ "/>
  </numFmts>
  <fonts count="164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u/>
      <sz val="14"/>
      <color indexed="12"/>
      <name val="Arial"/>
      <family val="2"/>
    </font>
    <font>
      <b/>
      <u/>
      <sz val="14"/>
      <color indexed="17"/>
      <name val="Arial"/>
      <family val="2"/>
    </font>
    <font>
      <sz val="10"/>
      <color indexed="17"/>
      <name val="Arial"/>
      <family val="2"/>
    </font>
    <font>
      <b/>
      <u/>
      <sz val="14"/>
      <color indexed="60"/>
      <name val="Arial"/>
      <family val="2"/>
    </font>
    <font>
      <sz val="10"/>
      <color indexed="6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indexed="60"/>
      <name val="Arial"/>
      <family val="2"/>
    </font>
    <font>
      <b/>
      <u/>
      <sz val="14"/>
      <color indexed="58"/>
      <name val="Arial"/>
      <family val="2"/>
    </font>
    <font>
      <sz val="8"/>
      <color indexed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0"/>
      <color indexed="60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b/>
      <u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14"/>
      <color indexed="10"/>
      <name val="Arial"/>
      <family val="2"/>
    </font>
    <font>
      <b/>
      <sz val="14"/>
      <color indexed="10"/>
      <name val="Arial"/>
      <family val="2"/>
    </font>
    <font>
      <b/>
      <sz val="14"/>
      <color indexed="10"/>
      <name val="Arial"/>
      <family val="2"/>
    </font>
    <font>
      <sz val="10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8"/>
      <color indexed="10"/>
      <name val="Arial"/>
      <family val="2"/>
    </font>
    <font>
      <b/>
      <u/>
      <sz val="10"/>
      <name val="Arial"/>
      <family val="2"/>
    </font>
    <font>
      <sz val="8"/>
      <color indexed="21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sz val="6"/>
      <color indexed="10"/>
      <name val="Arial"/>
      <family val="2"/>
    </font>
    <font>
      <sz val="6"/>
      <color indexed="10"/>
      <name val="Arial"/>
      <family val="2"/>
    </font>
    <font>
      <sz val="7"/>
      <color indexed="10"/>
      <name val="Arial"/>
      <family val="2"/>
    </font>
    <font>
      <b/>
      <sz val="7"/>
      <name val="Arial"/>
      <family val="2"/>
    </font>
    <font>
      <sz val="7"/>
      <color indexed="10"/>
      <name val="Arial"/>
      <family val="2"/>
    </font>
    <font>
      <sz val="10"/>
      <color indexed="63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10"/>
      <color indexed="12"/>
      <name val="Arial"/>
      <family val="2"/>
    </font>
    <font>
      <b/>
      <sz val="10"/>
      <color indexed="63"/>
      <name val="Arial"/>
      <family val="2"/>
    </font>
    <font>
      <b/>
      <u/>
      <sz val="8"/>
      <name val="Arial"/>
      <family val="2"/>
    </font>
    <font>
      <b/>
      <sz val="9"/>
      <color indexed="63"/>
      <name val="Arial"/>
      <family val="2"/>
    </font>
    <font>
      <b/>
      <sz val="8.9"/>
      <color indexed="63"/>
      <name val="Arial"/>
      <family val="2"/>
    </font>
    <font>
      <b/>
      <sz val="8"/>
      <color indexed="63"/>
      <name val="Arial"/>
      <family val="2"/>
    </font>
    <font>
      <b/>
      <sz val="12"/>
      <name val="Times New Roman"/>
      <family val="1"/>
    </font>
    <font>
      <sz val="12"/>
      <color indexed="63"/>
      <name val="Arial"/>
      <family val="2"/>
    </font>
    <font>
      <sz val="9"/>
      <color indexed="63"/>
      <name val="Arial"/>
      <family val="2"/>
    </font>
    <font>
      <sz val="8.9"/>
      <color indexed="63"/>
      <name val="Arial"/>
      <family val="2"/>
    </font>
    <font>
      <b/>
      <sz val="14"/>
      <name val="Times New Roman"/>
      <family val="1"/>
    </font>
    <font>
      <sz val="12"/>
      <name val="Times New Roman"/>
      <family val="1"/>
    </font>
    <font>
      <i/>
      <sz val="12"/>
      <color indexed="10"/>
      <name val="Arial"/>
      <family val="2"/>
    </font>
    <font>
      <i/>
      <sz val="10"/>
      <color indexed="10"/>
      <name val="Arial"/>
      <family val="2"/>
    </font>
    <font>
      <i/>
      <sz val="9"/>
      <color indexed="10"/>
      <name val="Arial"/>
      <family val="2"/>
    </font>
    <font>
      <i/>
      <sz val="8"/>
      <color indexed="10"/>
      <name val="Arial"/>
      <family val="2"/>
    </font>
    <font>
      <b/>
      <sz val="12"/>
      <color indexed="63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4"/>
      <name val="Calibri"/>
      <family val="2"/>
    </font>
    <font>
      <vertAlign val="subscript"/>
      <sz val="14"/>
      <name val="Calibri"/>
      <family val="2"/>
    </font>
    <font>
      <sz val="14"/>
      <color indexed="10"/>
      <name val="Arial"/>
      <family val="2"/>
    </font>
    <font>
      <vertAlign val="superscript"/>
      <sz val="10"/>
      <name val="Arial"/>
      <family val="2"/>
    </font>
    <font>
      <i/>
      <sz val="10"/>
      <name val="Calibri"/>
      <family val="2"/>
    </font>
    <font>
      <b/>
      <i/>
      <sz val="10"/>
      <name val="Calibri"/>
      <family val="2"/>
    </font>
    <font>
      <sz val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vertAlign val="subscript"/>
      <sz val="11"/>
      <color indexed="8"/>
      <name val="Calibri"/>
      <family val="2"/>
    </font>
    <font>
      <sz val="12"/>
      <color indexed="8"/>
      <name val="Calibri"/>
      <family val="2"/>
    </font>
    <font>
      <vertAlign val="subscript"/>
      <sz val="12"/>
      <color indexed="8"/>
      <name val="Calibri"/>
      <family val="2"/>
    </font>
    <font>
      <sz val="8"/>
      <color indexed="8"/>
      <name val="Calibri"/>
      <family val="2"/>
    </font>
    <font>
      <sz val="14"/>
      <color indexed="8"/>
      <name val="Calibri"/>
      <family val="2"/>
    </font>
    <font>
      <vertAlign val="subscript"/>
      <sz val="14"/>
      <color indexed="8"/>
      <name val="Calibri"/>
      <family val="2"/>
    </font>
    <font>
      <b/>
      <sz val="12"/>
      <color indexed="8"/>
      <name val="Calibri"/>
      <family val="2"/>
    </font>
    <font>
      <b/>
      <vertAlign val="subscript"/>
      <sz val="12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b/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sz val="11"/>
      <name val="Calibri"/>
      <family val="2"/>
    </font>
    <font>
      <vertAlign val="subscript"/>
      <sz val="11"/>
      <name val="Calibri"/>
      <family val="2"/>
    </font>
    <font>
      <b/>
      <vertAlign val="sub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vertAlign val="subscript"/>
      <sz val="10"/>
      <color indexed="8"/>
      <name val="Calibri"/>
      <family val="2"/>
    </font>
    <font>
      <b/>
      <sz val="14"/>
      <color indexed="8"/>
      <name val="Calibri"/>
      <family val="2"/>
    </font>
    <font>
      <b/>
      <vertAlign val="subscript"/>
      <sz val="14"/>
      <color indexed="8"/>
      <name val="Calibri"/>
      <family val="2"/>
    </font>
    <font>
      <vertAlign val="subscript"/>
      <sz val="9"/>
      <color indexed="8"/>
      <name val="Calibri"/>
      <family val="2"/>
    </font>
    <font>
      <vertAlign val="superscript"/>
      <sz val="10"/>
      <color indexed="8"/>
      <name val="Calibri"/>
      <family val="2"/>
    </font>
    <font>
      <b/>
      <vertAlign val="subscript"/>
      <sz val="11"/>
      <color indexed="10"/>
      <name val="Calibri"/>
      <family val="2"/>
    </font>
    <font>
      <b/>
      <sz val="11"/>
      <color indexed="10"/>
      <name val="Calibri"/>
      <family val="2"/>
    </font>
    <font>
      <b/>
      <vertAlign val="subscript"/>
      <sz val="24"/>
      <color indexed="8"/>
      <name val="Calibri"/>
      <family val="2"/>
    </font>
    <font>
      <b/>
      <vertAlign val="subscript"/>
      <sz val="22"/>
      <color indexed="62"/>
      <name val="Calibri"/>
      <family val="2"/>
    </font>
    <font>
      <i/>
      <sz val="12"/>
      <name val="Arial"/>
      <family val="2"/>
    </font>
    <font>
      <i/>
      <vertAlign val="subscript"/>
      <sz val="12"/>
      <color indexed="8"/>
      <name val="Calibri"/>
      <family val="2"/>
    </font>
    <font>
      <i/>
      <sz val="12"/>
      <color indexed="8"/>
      <name val="Calibri"/>
      <family val="2"/>
    </font>
    <font>
      <vertAlign val="superscript"/>
      <sz val="11"/>
      <name val="Calibri"/>
      <family val="2"/>
    </font>
    <font>
      <sz val="18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"/>
      <family val="2"/>
    </font>
    <font>
      <b/>
      <sz val="12"/>
      <name val="Calibri"/>
      <family val="2"/>
    </font>
    <font>
      <b/>
      <vertAlign val="subscript"/>
      <sz val="12"/>
      <name val="Calibri"/>
      <family val="2"/>
    </font>
    <font>
      <sz val="12"/>
      <name val="ＭＳ Ｐゴシック"/>
      <family val="3"/>
      <charset val="128"/>
    </font>
    <font>
      <u/>
      <sz val="12"/>
      <color indexed="12"/>
      <name val="ＭＳ Ｐゴシック"/>
      <family val="3"/>
      <charset val="128"/>
    </font>
    <font>
      <i/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theme="3" tint="0.3999755851924192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3" tint="0.3999755851924192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9C6500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7">
    <xf numFmtId="0" fontId="0" fillId="0" borderId="0"/>
    <xf numFmtId="38" fontId="132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/>
    <xf numFmtId="44" fontId="91" fillId="0" borderId="0" applyFont="0" applyFill="0" applyBorder="0" applyAlignment="0" applyProtection="0"/>
    <xf numFmtId="44" fontId="89" fillId="0" borderId="0" applyFont="0" applyFill="0" applyBorder="0" applyAlignment="0" applyProtection="0"/>
    <xf numFmtId="44" fontId="91" fillId="0" borderId="0" applyFont="0" applyFill="0" applyBorder="0" applyAlignment="0" applyProtection="0"/>
    <xf numFmtId="44" fontId="89" fillId="0" borderId="0" applyFont="0" applyFill="0" applyBorder="0" applyAlignment="0" applyProtection="0"/>
    <xf numFmtId="0" fontId="133" fillId="0" borderId="0" applyNumberFormat="0" applyFill="0" applyBorder="0" applyAlignment="0" applyProtection="0">
      <alignment vertical="top"/>
      <protection locked="0"/>
    </xf>
    <xf numFmtId="0" fontId="136" fillId="11" borderId="0" applyNumberFormat="0" applyBorder="0" applyAlignment="0" applyProtection="0"/>
    <xf numFmtId="0" fontId="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5" fillId="0" borderId="0"/>
    <xf numFmtId="0" fontId="135" fillId="0" borderId="0"/>
    <xf numFmtId="0" fontId="5" fillId="0" borderId="0"/>
    <xf numFmtId="0" fontId="135" fillId="0" borderId="0"/>
    <xf numFmtId="0" fontId="5" fillId="0" borderId="0"/>
    <xf numFmtId="0" fontId="5" fillId="0" borderId="0"/>
    <xf numFmtId="0" fontId="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2" fillId="0" borderId="0">
      <alignment vertical="center"/>
    </xf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5" fillId="0" borderId="0"/>
    <xf numFmtId="0" fontId="5" fillId="0" borderId="0"/>
  </cellStyleXfs>
  <cellXfs count="218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/>
    <xf numFmtId="0" fontId="0" fillId="0" borderId="3" xfId="0" applyBorder="1"/>
    <xf numFmtId="0" fontId="0" fillId="0" borderId="0" xfId="0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6" xfId="0" applyFont="1" applyBorder="1"/>
    <xf numFmtId="0" fontId="5" fillId="0" borderId="7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8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1" xfId="0" applyFont="1" applyBorder="1" applyAlignment="1">
      <alignment horizontal="center"/>
    </xf>
    <xf numFmtId="167" fontId="0" fillId="0" borderId="1" xfId="0" applyNumberFormat="1" applyBorder="1"/>
    <xf numFmtId="1" fontId="0" fillId="0" borderId="0" xfId="0" applyNumberFormat="1"/>
    <xf numFmtId="1" fontId="0" fillId="0" borderId="1" xfId="0" applyNumberFormat="1" applyBorder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7" fillId="0" borderId="15" xfId="0" applyFont="1" applyBorder="1"/>
    <xf numFmtId="0" fontId="8" fillId="0" borderId="15" xfId="0" applyFont="1" applyBorder="1"/>
    <xf numFmtId="0" fontId="9" fillId="0" borderId="3" xfId="0" applyFont="1" applyBorder="1"/>
    <xf numFmtId="0" fontId="10" fillId="0" borderId="15" xfId="0" applyFont="1" applyBorder="1"/>
    <xf numFmtId="0" fontId="11" fillId="0" borderId="3" xfId="0" applyFont="1" applyBorder="1"/>
    <xf numFmtId="0" fontId="5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0" fillId="0" borderId="0" xfId="0" applyFont="1" applyBorder="1"/>
    <xf numFmtId="0" fontId="0" fillId="0" borderId="15" xfId="0" applyBorder="1"/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center"/>
    </xf>
    <xf numFmtId="167" fontId="0" fillId="0" borderId="0" xfId="0" applyNumberFormat="1" applyBorder="1"/>
    <xf numFmtId="0" fontId="0" fillId="0" borderId="17" xfId="0" applyBorder="1"/>
    <xf numFmtId="1" fontId="5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7" fontId="2" fillId="0" borderId="21" xfId="0" applyNumberFormat="1" applyFont="1" applyBorder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7" fontId="2" fillId="0" borderId="6" xfId="0" applyNumberFormat="1" applyFont="1" applyBorder="1" applyAlignment="1">
      <alignment horizontal="center"/>
    </xf>
    <xf numFmtId="0" fontId="0" fillId="0" borderId="2" xfId="0" applyBorder="1"/>
    <xf numFmtId="167" fontId="0" fillId="0" borderId="13" xfId="0" applyNumberForma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20" xfId="0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2" xfId="0" applyFon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21" xfId="0" applyBorder="1"/>
    <xf numFmtId="167" fontId="2" fillId="0" borderId="22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2" fontId="0" fillId="0" borderId="2" xfId="0" applyNumberFormat="1" applyBorder="1" applyAlignment="1">
      <alignment horizontal="center"/>
    </xf>
    <xf numFmtId="0" fontId="0" fillId="0" borderId="13" xfId="0" applyBorder="1"/>
    <xf numFmtId="0" fontId="4" fillId="0" borderId="0" xfId="0" applyFont="1" applyBorder="1"/>
    <xf numFmtId="0" fontId="0" fillId="0" borderId="0" xfId="0" applyFill="1"/>
    <xf numFmtId="0" fontId="4" fillId="0" borderId="15" xfId="0" applyFont="1" applyBorder="1"/>
    <xf numFmtId="0" fontId="11" fillId="0" borderId="17" xfId="0" applyFont="1" applyBorder="1"/>
    <xf numFmtId="0" fontId="11" fillId="0" borderId="3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0" fillId="0" borderId="0" xfId="0" applyNumberFormat="1" applyBorder="1"/>
    <xf numFmtId="0" fontId="2" fillId="0" borderId="9" xfId="0" applyFont="1" applyBorder="1" applyAlignment="1">
      <alignment horizontal="center"/>
    </xf>
    <xf numFmtId="0" fontId="4" fillId="0" borderId="18" xfId="0" applyFont="1" applyBorder="1"/>
    <xf numFmtId="0" fontId="0" fillId="0" borderId="27" xfId="0" applyBorder="1"/>
    <xf numFmtId="0" fontId="3" fillId="0" borderId="18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167" fontId="0" fillId="3" borderId="9" xfId="0" applyNumberFormat="1" applyFill="1" applyBorder="1" applyAlignment="1">
      <alignment horizontal="center"/>
    </xf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3" fillId="0" borderId="0" xfId="0" applyFont="1" applyBorder="1"/>
    <xf numFmtId="0" fontId="13" fillId="0" borderId="0" xfId="0" applyFont="1"/>
    <xf numFmtId="1" fontId="13" fillId="0" borderId="0" xfId="0" applyNumberFormat="1" applyFont="1" applyBorder="1"/>
    <xf numFmtId="0" fontId="13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15" xfId="0" applyFont="1" applyBorder="1"/>
    <xf numFmtId="0" fontId="15" fillId="0" borderId="0" xfId="0" applyFont="1" applyBorder="1"/>
    <xf numFmtId="0" fontId="15" fillId="0" borderId="0" xfId="0" applyFont="1"/>
    <xf numFmtId="0" fontId="14" fillId="0" borderId="18" xfId="0" applyFont="1" applyBorder="1" applyAlignment="1">
      <alignment horizontal="center"/>
    </xf>
    <xf numFmtId="0" fontId="15" fillId="0" borderId="19" xfId="0" applyFont="1" applyBorder="1"/>
    <xf numFmtId="0" fontId="15" fillId="0" borderId="28" xfId="0" applyFont="1" applyBorder="1"/>
    <xf numFmtId="0" fontId="15" fillId="0" borderId="25" xfId="0" applyFont="1" applyBorder="1"/>
    <xf numFmtId="0" fontId="15" fillId="0" borderId="26" xfId="0" applyFont="1" applyBorder="1"/>
    <xf numFmtId="0" fontId="15" fillId="0" borderId="17" xfId="0" applyFont="1" applyBorder="1" applyAlignment="1">
      <alignment horizontal="left"/>
    </xf>
    <xf numFmtId="0" fontId="15" fillId="0" borderId="25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" fontId="13" fillId="2" borderId="9" xfId="0" applyNumberFormat="1" applyFont="1" applyFill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167" fontId="16" fillId="0" borderId="12" xfId="0" applyNumberFormat="1" applyFont="1" applyBorder="1" applyAlignment="1">
      <alignment horizontal="center"/>
    </xf>
    <xf numFmtId="0" fontId="16" fillId="0" borderId="21" xfId="0" applyFont="1" applyBorder="1"/>
    <xf numFmtId="0" fontId="16" fillId="0" borderId="13" xfId="0" applyFont="1" applyBorder="1"/>
    <xf numFmtId="0" fontId="16" fillId="0" borderId="0" xfId="0" applyFont="1" applyBorder="1" applyAlignment="1">
      <alignment horizontal="center"/>
    </xf>
    <xf numFmtId="0" fontId="16" fillId="0" borderId="0" xfId="0" applyFont="1"/>
    <xf numFmtId="0" fontId="4" fillId="0" borderId="17" xfId="0" applyFont="1" applyBorder="1"/>
    <xf numFmtId="0" fontId="18" fillId="0" borderId="17" xfId="0" applyFont="1" applyBorder="1"/>
    <xf numFmtId="0" fontId="18" fillId="0" borderId="3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0" fontId="4" fillId="0" borderId="1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24" xfId="0" applyFont="1" applyBorder="1" applyAlignment="1">
      <alignment horizontal="left"/>
    </xf>
    <xf numFmtId="0" fontId="4" fillId="0" borderId="24" xfId="0" applyFont="1" applyBorder="1"/>
    <xf numFmtId="0" fontId="4" fillId="0" borderId="2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0" xfId="0" applyFont="1"/>
    <xf numFmtId="167" fontId="3" fillId="0" borderId="13" xfId="0" applyNumberFormat="1" applyFont="1" applyBorder="1" applyAlignment="1">
      <alignment horizontal="center"/>
    </xf>
    <xf numFmtId="167" fontId="3" fillId="0" borderId="9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67" fontId="12" fillId="2" borderId="9" xfId="0" applyNumberFormat="1" applyFont="1" applyFill="1" applyBorder="1" applyAlignment="1">
      <alignment horizontal="center"/>
    </xf>
    <xf numFmtId="167" fontId="4" fillId="0" borderId="13" xfId="0" applyNumberFormat="1" applyFont="1" applyBorder="1" applyAlignment="1">
      <alignment horizontal="center"/>
    </xf>
    <xf numFmtId="0" fontId="9" fillId="0" borderId="17" xfId="0" applyFont="1" applyBorder="1"/>
    <xf numFmtId="0" fontId="19" fillId="0" borderId="15" xfId="0" applyFont="1" applyBorder="1"/>
    <xf numFmtId="0" fontId="13" fillId="2" borderId="29" xfId="0" applyFont="1" applyFill="1" applyBorder="1" applyAlignment="1">
      <alignment horizontal="center"/>
    </xf>
    <xf numFmtId="1" fontId="13" fillId="3" borderId="11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1" fontId="13" fillId="3" borderId="10" xfId="0" applyNumberFormat="1" applyFont="1" applyFill="1" applyBorder="1" applyAlignment="1">
      <alignment horizontal="center"/>
    </xf>
    <xf numFmtId="0" fontId="13" fillId="3" borderId="30" xfId="0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12" fillId="3" borderId="6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167" fontId="20" fillId="0" borderId="21" xfId="0" applyNumberFormat="1" applyFont="1" applyBorder="1" applyAlignment="1">
      <alignment horizontal="center"/>
    </xf>
    <xf numFmtId="1" fontId="13" fillId="0" borderId="0" xfId="0" applyNumberFormat="1" applyFont="1" applyFill="1" applyBorder="1"/>
    <xf numFmtId="0" fontId="13" fillId="0" borderId="0" xfId="0" applyFont="1" applyFill="1" applyAlignment="1">
      <alignment horizontal="center"/>
    </xf>
    <xf numFmtId="0" fontId="13" fillId="0" borderId="0" xfId="0" applyFont="1" applyFill="1"/>
    <xf numFmtId="0" fontId="2" fillId="0" borderId="27" xfId="0" applyFont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left"/>
    </xf>
    <xf numFmtId="0" fontId="0" fillId="0" borderId="33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15" xfId="0" applyFont="1" applyBorder="1" applyAlignment="1"/>
    <xf numFmtId="0" fontId="4" fillId="0" borderId="18" xfId="0" applyFont="1" applyBorder="1" applyAlignment="1">
      <alignment horizontal="left"/>
    </xf>
    <xf numFmtId="0" fontId="3" fillId="3" borderId="29" xfId="0" applyFont="1" applyFill="1" applyBorder="1" applyAlignment="1">
      <alignment horizontal="center"/>
    </xf>
    <xf numFmtId="0" fontId="3" fillId="0" borderId="15" xfId="0" applyFont="1" applyBorder="1"/>
    <xf numFmtId="0" fontId="3" fillId="0" borderId="3" xfId="0" applyFont="1" applyBorder="1"/>
    <xf numFmtId="0" fontId="3" fillId="0" borderId="2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3" fillId="0" borderId="27" xfId="0" applyFont="1" applyBorder="1"/>
    <xf numFmtId="0" fontId="3" fillId="0" borderId="19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11" xfId="0" applyFont="1" applyBorder="1" applyAlignment="1">
      <alignment horizontal="center"/>
    </xf>
    <xf numFmtId="167" fontId="3" fillId="0" borderId="11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35" xfId="0" applyBorder="1" applyAlignment="1">
      <alignment horizontal="center"/>
    </xf>
    <xf numFmtId="167" fontId="2" fillId="0" borderId="30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167" fontId="2" fillId="0" borderId="23" xfId="0" applyNumberFormat="1" applyFont="1" applyBorder="1" applyAlignment="1">
      <alignment horizontal="center"/>
    </xf>
    <xf numFmtId="0" fontId="0" fillId="0" borderId="22" xfId="0" applyBorder="1"/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0" xfId="0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38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4" fillId="0" borderId="28" xfId="0" applyFont="1" applyBorder="1"/>
    <xf numFmtId="0" fontId="17" fillId="0" borderId="22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18" xfId="0" applyFont="1" applyBorder="1"/>
    <xf numFmtId="0" fontId="15" fillId="0" borderId="27" xfId="0" applyFont="1" applyBorder="1"/>
    <xf numFmtId="0" fontId="15" fillId="0" borderId="1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3" borderId="36" xfId="0" applyFont="1" applyFill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1" fontId="12" fillId="2" borderId="2" xfId="0" applyNumberFormat="1" applyFont="1" applyFill="1" applyBorder="1" applyAlignment="1">
      <alignment horizontal="center"/>
    </xf>
    <xf numFmtId="1" fontId="12" fillId="3" borderId="6" xfId="0" applyNumberFormat="1" applyFont="1" applyFill="1" applyBorder="1" applyAlignment="1">
      <alignment horizontal="center"/>
    </xf>
    <xf numFmtId="0" fontId="15" fillId="0" borderId="42" xfId="0" applyFont="1" applyBorder="1" applyAlignment="1">
      <alignment horizontal="center"/>
    </xf>
    <xf numFmtId="167" fontId="14" fillId="0" borderId="39" xfId="0" applyNumberFormat="1" applyFont="1" applyBorder="1" applyAlignment="1">
      <alignment horizontal="center"/>
    </xf>
    <xf numFmtId="167" fontId="14" fillId="0" borderId="11" xfId="0" applyNumberFormat="1" applyFont="1" applyBorder="1" applyAlignment="1">
      <alignment horizontal="center"/>
    </xf>
    <xf numFmtId="167" fontId="15" fillId="0" borderId="38" xfId="0" applyNumberFormat="1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18" xfId="0" applyFont="1" applyBorder="1" applyAlignment="1">
      <alignment horizontal="left"/>
    </xf>
    <xf numFmtId="167" fontId="2" fillId="0" borderId="0" xfId="0" applyNumberFormat="1" applyFont="1" applyBorder="1" applyAlignment="1">
      <alignment horizontal="center"/>
    </xf>
    <xf numFmtId="167" fontId="15" fillId="0" borderId="7" xfId="0" applyNumberFormat="1" applyFont="1" applyBorder="1"/>
    <xf numFmtId="0" fontId="15" fillId="0" borderId="36" xfId="0" applyFont="1" applyBorder="1" applyAlignment="1">
      <alignment horizontal="center"/>
    </xf>
    <xf numFmtId="0" fontId="15" fillId="0" borderId="18" xfId="0" applyFont="1" applyBorder="1"/>
    <xf numFmtId="0" fontId="15" fillId="0" borderId="6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5" fillId="0" borderId="43" xfId="0" applyFont="1" applyBorder="1"/>
    <xf numFmtId="0" fontId="5" fillId="0" borderId="33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167" fontId="3" fillId="3" borderId="9" xfId="0" applyNumberFormat="1" applyFon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67" fontId="3" fillId="3" borderId="1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167" fontId="0" fillId="0" borderId="12" xfId="0" applyNumberFormat="1" applyBorder="1"/>
    <xf numFmtId="2" fontId="0" fillId="3" borderId="6" xfId="0" applyNumberForma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3" borderId="2" xfId="0" applyNumberForma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167" fontId="0" fillId="3" borderId="11" xfId="0" applyNumberFormat="1" applyFill="1" applyBorder="1" applyAlignment="1">
      <alignment horizontal="center"/>
    </xf>
    <xf numFmtId="0" fontId="0" fillId="3" borderId="6" xfId="0" applyFill="1" applyBorder="1"/>
    <xf numFmtId="0" fontId="0" fillId="3" borderId="10" xfId="0" applyFill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167" fontId="0" fillId="3" borderId="20" xfId="0" applyNumberFormat="1" applyFill="1" applyBorder="1" applyAlignment="1">
      <alignment horizontal="center"/>
    </xf>
    <xf numFmtId="167" fontId="0" fillId="3" borderId="36" xfId="0" applyNumberFormat="1" applyFill="1" applyBorder="1" applyAlignment="1">
      <alignment horizontal="center"/>
    </xf>
    <xf numFmtId="0" fontId="0" fillId="0" borderId="41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0" fillId="0" borderId="43" xfId="0" applyBorder="1"/>
    <xf numFmtId="1" fontId="0" fillId="0" borderId="45" xfId="0" applyNumberFormat="1" applyBorder="1"/>
    <xf numFmtId="1" fontId="0" fillId="3" borderId="45" xfId="0" applyNumberFormat="1" applyFill="1" applyBorder="1"/>
    <xf numFmtId="1" fontId="0" fillId="3" borderId="35" xfId="0" applyNumberFormat="1" applyFill="1" applyBorder="1"/>
    <xf numFmtId="0" fontId="3" fillId="0" borderId="1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0" borderId="37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167" fontId="21" fillId="0" borderId="6" xfId="0" applyNumberFormat="1" applyFont="1" applyBorder="1" applyAlignment="1">
      <alignment horizontal="center"/>
    </xf>
    <xf numFmtId="167" fontId="21" fillId="0" borderId="41" xfId="0" applyNumberFormat="1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167" fontId="3" fillId="0" borderId="2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167" fontId="3" fillId="3" borderId="2" xfId="0" applyNumberFormat="1" applyFont="1" applyFill="1" applyBorder="1" applyAlignment="1">
      <alignment horizontal="center"/>
    </xf>
    <xf numFmtId="167" fontId="3" fillId="3" borderId="6" xfId="0" applyNumberFormat="1" applyFont="1" applyFill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24" fillId="0" borderId="17" xfId="0" applyFont="1" applyBorder="1"/>
    <xf numFmtId="0" fontId="24" fillId="0" borderId="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7" xfId="0" applyFont="1" applyBorder="1"/>
    <xf numFmtId="0" fontId="3" fillId="0" borderId="24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/>
    <xf numFmtId="1" fontId="0" fillId="3" borderId="20" xfId="0" applyNumberFormat="1" applyFill="1" applyBorder="1" applyAlignment="1">
      <alignment horizontal="center"/>
    </xf>
    <xf numFmtId="1" fontId="0" fillId="3" borderId="36" xfId="0" applyNumberForma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8" xfId="0" applyFont="1" applyBorder="1" applyAlignment="1">
      <alignment horizontal="center"/>
    </xf>
    <xf numFmtId="167" fontId="21" fillId="0" borderId="21" xfId="0" applyNumberFormat="1" applyFont="1" applyBorder="1" applyAlignment="1">
      <alignment horizontal="center"/>
    </xf>
    <xf numFmtId="0" fontId="21" fillId="0" borderId="46" xfId="0" applyFont="1" applyBorder="1" applyAlignment="1">
      <alignment horizontal="center"/>
    </xf>
    <xf numFmtId="0" fontId="1" fillId="0" borderId="15" xfId="0" applyFont="1" applyBorder="1"/>
    <xf numFmtId="0" fontId="1" fillId="0" borderId="3" xfId="0" applyFont="1" applyBorder="1"/>
    <xf numFmtId="0" fontId="1" fillId="0" borderId="17" xfId="0" applyFont="1" applyBorder="1"/>
    <xf numFmtId="0" fontId="1" fillId="0" borderId="3" xfId="0" applyFont="1" applyBorder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25" xfId="0" applyFont="1" applyBorder="1"/>
    <xf numFmtId="0" fontId="1" fillId="0" borderId="26" xfId="0" applyFont="1" applyBorder="1"/>
    <xf numFmtId="0" fontId="1" fillId="0" borderId="17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" fontId="3" fillId="2" borderId="9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167" fontId="2" fillId="2" borderId="2" xfId="0" applyNumberFormat="1" applyFon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165" fontId="0" fillId="2" borderId="20" xfId="0" applyNumberFormat="1" applyFill="1" applyBorder="1" applyAlignment="1">
      <alignment horizontal="center"/>
    </xf>
    <xf numFmtId="1" fontId="0" fillId="2" borderId="45" xfId="0" applyNumberFormat="1" applyFill="1" applyBorder="1"/>
    <xf numFmtId="167" fontId="12" fillId="0" borderId="13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" fontId="3" fillId="4" borderId="9" xfId="0" applyNumberFormat="1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7" fontId="2" fillId="4" borderId="2" xfId="0" applyNumberFormat="1" applyFont="1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1" fontId="0" fillId="4" borderId="20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4" borderId="1" xfId="0" applyFill="1" applyBorder="1" applyAlignment="1">
      <alignment horizontal="center"/>
    </xf>
    <xf numFmtId="165" fontId="0" fillId="4" borderId="20" xfId="0" applyNumberFormat="1" applyFill="1" applyBorder="1" applyAlignment="1">
      <alignment horizontal="center"/>
    </xf>
    <xf numFmtId="1" fontId="0" fillId="4" borderId="45" xfId="0" applyNumberFormat="1" applyFill="1" applyBorder="1"/>
    <xf numFmtId="0" fontId="3" fillId="5" borderId="2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29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" fontId="3" fillId="5" borderId="2" xfId="0" applyNumberFormat="1" applyFont="1" applyFill="1" applyBorder="1" applyAlignment="1">
      <alignment horizontal="center"/>
    </xf>
    <xf numFmtId="1" fontId="3" fillId="5" borderId="9" xfId="0" applyNumberFormat="1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7" fontId="2" fillId="5" borderId="2" xfId="0" applyNumberFormat="1" applyFont="1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1" fontId="0" fillId="5" borderId="20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0" fillId="5" borderId="1" xfId="0" applyFill="1" applyBorder="1" applyAlignment="1">
      <alignment horizontal="center"/>
    </xf>
    <xf numFmtId="165" fontId="0" fillId="5" borderId="20" xfId="0" applyNumberFormat="1" applyFill="1" applyBorder="1" applyAlignment="1">
      <alignment horizontal="center"/>
    </xf>
    <xf numFmtId="1" fontId="0" fillId="5" borderId="45" xfId="0" applyNumberFormat="1" applyFill="1" applyBorder="1"/>
    <xf numFmtId="0" fontId="3" fillId="0" borderId="6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1" fontId="5" fillId="0" borderId="10" xfId="0" applyNumberFormat="1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" fontId="3" fillId="0" borderId="6" xfId="0" applyNumberFormat="1" applyFont="1" applyFill="1" applyBorder="1" applyAlignment="1">
      <alignment horizontal="center"/>
    </xf>
    <xf numFmtId="1" fontId="3" fillId="0" borderId="11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67" fontId="2" fillId="0" borderId="6" xfId="0" applyNumberFormat="1" applyFon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1" fontId="0" fillId="0" borderId="36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7" fontId="0" fillId="0" borderId="6" xfId="0" applyNumberFormat="1" applyFill="1" applyBorder="1" applyAlignment="1">
      <alignment horizontal="center"/>
    </xf>
    <xf numFmtId="167" fontId="0" fillId="0" borderId="11" xfId="0" applyNumberFormat="1" applyFill="1" applyBorder="1" applyAlignment="1">
      <alignment horizontal="center"/>
    </xf>
    <xf numFmtId="0" fontId="0" fillId="0" borderId="6" xfId="0" applyFill="1" applyBorder="1"/>
    <xf numFmtId="0" fontId="0" fillId="0" borderId="10" xfId="0" applyFill="1" applyBorder="1" applyAlignment="1">
      <alignment horizontal="center"/>
    </xf>
    <xf numFmtId="165" fontId="0" fillId="0" borderId="36" xfId="0" applyNumberFormat="1" applyFill="1" applyBorder="1" applyAlignment="1">
      <alignment horizontal="center"/>
    </xf>
    <xf numFmtId="1" fontId="0" fillId="0" borderId="35" xfId="0" applyNumberFormat="1" applyFill="1" applyBorder="1"/>
    <xf numFmtId="0" fontId="14" fillId="0" borderId="24" xfId="0" applyFont="1" applyBorder="1" applyAlignment="1">
      <alignment horizontal="left"/>
    </xf>
    <xf numFmtId="167" fontId="26" fillId="0" borderId="11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3" borderId="9" xfId="0" applyNumberFormat="1" applyFont="1" applyFill="1" applyBorder="1" applyAlignment="1">
      <alignment horizontal="center"/>
    </xf>
    <xf numFmtId="167" fontId="12" fillId="3" borderId="11" xfId="0" applyNumberFormat="1" applyFont="1" applyFill="1" applyBorder="1" applyAlignment="1">
      <alignment horizontal="center"/>
    </xf>
    <xf numFmtId="2" fontId="3" fillId="2" borderId="9" xfId="0" applyNumberFormat="1" applyFont="1" applyFill="1" applyBorder="1" applyAlignment="1">
      <alignment horizontal="center"/>
    </xf>
    <xf numFmtId="167" fontId="3" fillId="0" borderId="11" xfId="0" applyNumberFormat="1" applyFont="1" applyFill="1" applyBorder="1" applyAlignment="1">
      <alignment horizontal="center"/>
    </xf>
    <xf numFmtId="0" fontId="27" fillId="0" borderId="0" xfId="0" applyFont="1"/>
    <xf numFmtId="2" fontId="3" fillId="3" borderId="11" xfId="0" applyNumberFormat="1" applyFont="1" applyFill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1" fontId="23" fillId="2" borderId="45" xfId="0" applyNumberFormat="1" applyFont="1" applyFill="1" applyBorder="1" applyAlignment="1">
      <alignment horizontal="center"/>
    </xf>
    <xf numFmtId="1" fontId="23" fillId="5" borderId="35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1" fontId="23" fillId="2" borderId="1" xfId="0" applyNumberFormat="1" applyFont="1" applyFill="1" applyBorder="1" applyAlignment="1">
      <alignment horizontal="center"/>
    </xf>
    <xf numFmtId="0" fontId="23" fillId="2" borderId="9" xfId="0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167" fontId="23" fillId="2" borderId="1" xfId="0" applyNumberFormat="1" applyFont="1" applyFill="1" applyBorder="1" applyAlignment="1">
      <alignment horizontal="center"/>
    </xf>
    <xf numFmtId="1" fontId="23" fillId="2" borderId="9" xfId="0" applyNumberFormat="1" applyFont="1" applyFill="1" applyBorder="1" applyAlignment="1">
      <alignment horizontal="center"/>
    </xf>
    <xf numFmtId="1" fontId="23" fillId="2" borderId="20" xfId="0" applyNumberFormat="1" applyFont="1" applyFill="1" applyBorder="1" applyAlignment="1">
      <alignment horizontal="center"/>
    </xf>
    <xf numFmtId="2" fontId="23" fillId="2" borderId="20" xfId="0" applyNumberFormat="1" applyFont="1" applyFill="1" applyBorder="1" applyAlignment="1">
      <alignment horizontal="center"/>
    </xf>
    <xf numFmtId="2" fontId="23" fillId="2" borderId="2" xfId="0" applyNumberFormat="1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/>
    </xf>
    <xf numFmtId="167" fontId="23" fillId="2" borderId="9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167" fontId="23" fillId="2" borderId="20" xfId="0" applyNumberFormat="1" applyFont="1" applyFill="1" applyBorder="1" applyAlignment="1">
      <alignment horizontal="center"/>
    </xf>
    <xf numFmtId="1" fontId="23" fillId="0" borderId="0" xfId="0" applyNumberFormat="1" applyFont="1" applyBorder="1"/>
    <xf numFmtId="0" fontId="23" fillId="0" borderId="0" xfId="0" applyFont="1" applyAlignment="1">
      <alignment horizontal="center"/>
    </xf>
    <xf numFmtId="0" fontId="23" fillId="0" borderId="0" xfId="0" applyFont="1"/>
    <xf numFmtId="0" fontId="4" fillId="5" borderId="6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1" fontId="23" fillId="5" borderId="10" xfId="0" applyNumberFormat="1" applyFont="1" applyFill="1" applyBorder="1" applyAlignment="1">
      <alignment horizontal="center"/>
    </xf>
    <xf numFmtId="0" fontId="23" fillId="5" borderId="11" xfId="0" applyFont="1" applyFill="1" applyBorder="1" applyAlignment="1">
      <alignment horizontal="center"/>
    </xf>
    <xf numFmtId="1" fontId="4" fillId="5" borderId="6" xfId="0" applyNumberFormat="1" applyFont="1" applyFill="1" applyBorder="1" applyAlignment="1">
      <alignment horizontal="center"/>
    </xf>
    <xf numFmtId="1" fontId="4" fillId="5" borderId="11" xfId="0" applyNumberFormat="1" applyFont="1" applyFill="1" applyBorder="1" applyAlignment="1">
      <alignment horizontal="center"/>
    </xf>
    <xf numFmtId="167" fontId="23" fillId="5" borderId="10" xfId="0" applyNumberFormat="1" applyFont="1" applyFill="1" applyBorder="1" applyAlignment="1">
      <alignment horizontal="center"/>
    </xf>
    <xf numFmtId="1" fontId="23" fillId="5" borderId="11" xfId="0" applyNumberFormat="1" applyFont="1" applyFill="1" applyBorder="1" applyAlignment="1">
      <alignment horizontal="center"/>
    </xf>
    <xf numFmtId="1" fontId="23" fillId="5" borderId="36" xfId="0" applyNumberFormat="1" applyFont="1" applyFill="1" applyBorder="1" applyAlignment="1">
      <alignment horizontal="center"/>
    </xf>
    <xf numFmtId="2" fontId="23" fillId="5" borderId="6" xfId="0" applyNumberFormat="1" applyFont="1" applyFill="1" applyBorder="1" applyAlignment="1">
      <alignment horizontal="center"/>
    </xf>
    <xf numFmtId="0" fontId="23" fillId="5" borderId="6" xfId="0" applyFont="1" applyFill="1" applyBorder="1" applyAlignment="1">
      <alignment horizontal="center"/>
    </xf>
    <xf numFmtId="0" fontId="23" fillId="5" borderId="10" xfId="0" applyFont="1" applyFill="1" applyBorder="1" applyAlignment="1">
      <alignment horizontal="center"/>
    </xf>
    <xf numFmtId="167" fontId="23" fillId="5" borderId="36" xfId="0" applyNumberFormat="1" applyFont="1" applyFill="1" applyBorder="1" applyAlignment="1">
      <alignment horizontal="center"/>
    </xf>
    <xf numFmtId="0" fontId="0" fillId="6" borderId="15" xfId="0" applyFill="1" applyBorder="1"/>
    <xf numFmtId="0" fontId="0" fillId="6" borderId="17" xfId="0" applyFill="1" applyBorder="1"/>
    <xf numFmtId="0" fontId="0" fillId="6" borderId="17" xfId="0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167" fontId="4" fillId="2" borderId="9" xfId="0" applyNumberFormat="1" applyFont="1" applyFill="1" applyBorder="1" applyAlignment="1">
      <alignment horizontal="center"/>
    </xf>
    <xf numFmtId="167" fontId="4" fillId="5" borderId="11" xfId="0" applyNumberFormat="1" applyFont="1" applyFill="1" applyBorder="1" applyAlignment="1">
      <alignment horizontal="center"/>
    </xf>
    <xf numFmtId="1" fontId="3" fillId="3" borderId="9" xfId="0" applyNumberFormat="1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2" fontId="3" fillId="4" borderId="9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67" fontId="25" fillId="0" borderId="13" xfId="0" applyNumberFormat="1" applyFont="1" applyBorder="1" applyAlignment="1">
      <alignment horizontal="center"/>
    </xf>
    <xf numFmtId="0" fontId="3" fillId="0" borderId="47" xfId="0" applyFont="1" applyBorder="1" applyAlignment="1">
      <alignment horizontal="center" wrapText="1"/>
    </xf>
    <xf numFmtId="0" fontId="3" fillId="0" borderId="48" xfId="0" applyFont="1" applyBorder="1" applyAlignment="1">
      <alignment horizontal="center" wrapText="1"/>
    </xf>
    <xf numFmtId="0" fontId="0" fillId="0" borderId="29" xfId="0" applyBorder="1"/>
    <xf numFmtId="2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49" xfId="0" applyBorder="1"/>
    <xf numFmtId="0" fontId="0" fillId="0" borderId="12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38" xfId="0" applyBorder="1"/>
    <xf numFmtId="0" fontId="0" fillId="0" borderId="39" xfId="0" applyBorder="1"/>
    <xf numFmtId="164" fontId="0" fillId="0" borderId="1" xfId="2" applyFont="1" applyBorder="1"/>
    <xf numFmtId="164" fontId="0" fillId="0" borderId="10" xfId="2" applyFont="1" applyBorder="1"/>
    <xf numFmtId="0" fontId="0" fillId="0" borderId="50" xfId="0" applyBorder="1"/>
    <xf numFmtId="0" fontId="0" fillId="0" borderId="51" xfId="0" applyBorder="1"/>
    <xf numFmtId="0" fontId="0" fillId="0" borderId="44" xfId="0" applyBorder="1"/>
    <xf numFmtId="0" fontId="0" fillId="0" borderId="46" xfId="0" applyBorder="1"/>
    <xf numFmtId="0" fontId="0" fillId="0" borderId="37" xfId="0" applyBorder="1"/>
    <xf numFmtId="164" fontId="0" fillId="0" borderId="9" xfId="2" applyFont="1" applyBorder="1"/>
    <xf numFmtId="164" fontId="0" fillId="0" borderId="11" xfId="2" applyFont="1" applyBorder="1"/>
    <xf numFmtId="0" fontId="0" fillId="0" borderId="52" xfId="0" applyBorder="1"/>
    <xf numFmtId="0" fontId="0" fillId="0" borderId="40" xfId="0" applyBorder="1"/>
    <xf numFmtId="0" fontId="0" fillId="0" borderId="20" xfId="0" applyBorder="1"/>
    <xf numFmtId="0" fontId="0" fillId="0" borderId="53" xfId="0" applyBorder="1"/>
    <xf numFmtId="164" fontId="0" fillId="0" borderId="0" xfId="2" applyFont="1"/>
    <xf numFmtId="43" fontId="0" fillId="0" borderId="0" xfId="0" applyNumberFormat="1"/>
    <xf numFmtId="0" fontId="0" fillId="0" borderId="35" xfId="0" applyBorder="1"/>
    <xf numFmtId="0" fontId="0" fillId="0" borderId="54" xfId="0" applyBorder="1"/>
    <xf numFmtId="0" fontId="0" fillId="0" borderId="45" xfId="0" applyBorder="1"/>
    <xf numFmtId="165" fontId="0" fillId="0" borderId="45" xfId="0" applyNumberFormat="1" applyBorder="1"/>
    <xf numFmtId="0" fontId="30" fillId="0" borderId="35" xfId="0" applyFont="1" applyBorder="1"/>
    <xf numFmtId="1" fontId="0" fillId="0" borderId="45" xfId="0" applyNumberFormat="1" applyBorder="1" applyAlignment="1">
      <alignment horizontal="center"/>
    </xf>
    <xf numFmtId="0" fontId="0" fillId="0" borderId="55" xfId="0" applyBorder="1"/>
    <xf numFmtId="0" fontId="0" fillId="0" borderId="28" xfId="0" applyBorder="1"/>
    <xf numFmtId="0" fontId="0" fillId="0" borderId="56" xfId="0" applyBorder="1"/>
    <xf numFmtId="0" fontId="0" fillId="0" borderId="57" xfId="0" applyBorder="1"/>
    <xf numFmtId="0" fontId="0" fillId="0" borderId="41" xfId="0" applyBorder="1"/>
    <xf numFmtId="164" fontId="0" fillId="0" borderId="14" xfId="2" applyFont="1" applyBorder="1"/>
    <xf numFmtId="164" fontId="0" fillId="0" borderId="34" xfId="2" applyFont="1" applyBorder="1"/>
    <xf numFmtId="0" fontId="0" fillId="0" borderId="23" xfId="0" applyBorder="1"/>
    <xf numFmtId="164" fontId="0" fillId="0" borderId="29" xfId="2" applyFont="1" applyBorder="1"/>
    <xf numFmtId="164" fontId="0" fillId="0" borderId="30" xfId="2" applyFont="1" applyBorder="1"/>
    <xf numFmtId="1" fontId="0" fillId="0" borderId="2" xfId="0" applyNumberFormat="1" applyBorder="1"/>
    <xf numFmtId="0" fontId="0" fillId="0" borderId="57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2" borderId="29" xfId="0" applyFill="1" applyBorder="1"/>
    <xf numFmtId="0" fontId="0" fillId="4" borderId="29" xfId="0" applyFill="1" applyBorder="1"/>
    <xf numFmtId="0" fontId="0" fillId="5" borderId="29" xfId="0" applyFill="1" applyBorder="1"/>
    <xf numFmtId="0" fontId="0" fillId="0" borderId="30" xfId="0" applyFill="1" applyBorder="1"/>
    <xf numFmtId="0" fontId="0" fillId="0" borderId="27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7" fontId="2" fillId="0" borderId="38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0" fillId="0" borderId="59" xfId="0" applyBorder="1" applyAlignment="1">
      <alignment horizontal="left"/>
    </xf>
    <xf numFmtId="0" fontId="23" fillId="5" borderId="60" xfId="0" applyFont="1" applyFill="1" applyBorder="1" applyAlignment="1">
      <alignment horizontal="center"/>
    </xf>
    <xf numFmtId="0" fontId="23" fillId="2" borderId="20" xfId="0" applyFont="1" applyFill="1" applyBorder="1" applyAlignment="1">
      <alignment horizontal="center"/>
    </xf>
    <xf numFmtId="0" fontId="23" fillId="5" borderId="36" xfId="0" applyFont="1" applyFill="1" applyBorder="1" applyAlignment="1">
      <alignment horizontal="center"/>
    </xf>
    <xf numFmtId="0" fontId="23" fillId="2" borderId="29" xfId="0" applyFont="1" applyFill="1" applyBorder="1" applyAlignment="1">
      <alignment horizontal="center"/>
    </xf>
    <xf numFmtId="0" fontId="23" fillId="5" borderId="30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1" fontId="31" fillId="2" borderId="1" xfId="0" applyNumberFormat="1" applyFont="1" applyFill="1" applyBorder="1" applyAlignment="1">
      <alignment horizontal="center"/>
    </xf>
    <xf numFmtId="1" fontId="31" fillId="2" borderId="9" xfId="0" applyNumberFormat="1" applyFont="1" applyFill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1" fontId="0" fillId="2" borderId="45" xfId="0" applyNumberFormat="1" applyFill="1" applyBorder="1" applyAlignment="1">
      <alignment horizontal="center"/>
    </xf>
    <xf numFmtId="1" fontId="0" fillId="4" borderId="45" xfId="0" applyNumberFormat="1" applyFill="1" applyBorder="1" applyAlignment="1">
      <alignment horizontal="center"/>
    </xf>
    <xf numFmtId="1" fontId="0" fillId="5" borderId="45" xfId="0" applyNumberFormat="1" applyFill="1" applyBorder="1" applyAlignment="1">
      <alignment horizontal="center"/>
    </xf>
    <xf numFmtId="1" fontId="0" fillId="0" borderId="35" xfId="0" applyNumberFormat="1" applyFill="1" applyBorder="1" applyAlignment="1">
      <alignment horizontal="center"/>
    </xf>
    <xf numFmtId="0" fontId="0" fillId="0" borderId="16" xfId="0" applyBorder="1" applyAlignment="1">
      <alignment horizontal="left"/>
    </xf>
    <xf numFmtId="0" fontId="2" fillId="0" borderId="62" xfId="0" applyFont="1" applyBorder="1" applyAlignment="1">
      <alignment horizontal="center"/>
    </xf>
    <xf numFmtId="1" fontId="31" fillId="2" borderId="20" xfId="0" applyNumberFormat="1" applyFont="1" applyFill="1" applyBorder="1" applyAlignment="1">
      <alignment horizontal="center"/>
    </xf>
    <xf numFmtId="0" fontId="0" fillId="0" borderId="63" xfId="0" applyBorder="1" applyAlignment="1">
      <alignment horizontal="center"/>
    </xf>
    <xf numFmtId="1" fontId="31" fillId="2" borderId="45" xfId="0" applyNumberFormat="1" applyFont="1" applyFill="1" applyBorder="1" applyAlignment="1">
      <alignment horizontal="center"/>
    </xf>
    <xf numFmtId="0" fontId="23" fillId="5" borderId="35" xfId="0" applyFont="1" applyFill="1" applyBorder="1" applyAlignment="1">
      <alignment horizontal="center"/>
    </xf>
    <xf numFmtId="1" fontId="31" fillId="2" borderId="2" xfId="0" applyNumberFormat="1" applyFont="1" applyFill="1" applyBorder="1" applyAlignment="1">
      <alignment horizontal="center"/>
    </xf>
    <xf numFmtId="0" fontId="23" fillId="5" borderId="64" xfId="0" applyFont="1" applyFill="1" applyBorder="1" applyAlignment="1">
      <alignment horizontal="center"/>
    </xf>
    <xf numFmtId="0" fontId="4" fillId="0" borderId="27" xfId="0" applyFont="1" applyBorder="1"/>
    <xf numFmtId="0" fontId="1" fillId="0" borderId="16" xfId="0" applyFont="1" applyBorder="1" applyAlignment="1">
      <alignment horizontal="left"/>
    </xf>
    <xf numFmtId="2" fontId="0" fillId="0" borderId="0" xfId="0" applyNumberFormat="1"/>
    <xf numFmtId="0" fontId="0" fillId="0" borderId="45" xfId="0" applyBorder="1" applyAlignment="1">
      <alignment horizontal="center"/>
    </xf>
    <xf numFmtId="1" fontId="0" fillId="0" borderId="35" xfId="0" applyNumberForma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2" fontId="0" fillId="0" borderId="1" xfId="0" applyNumberFormat="1" applyBorder="1"/>
    <xf numFmtId="0" fontId="5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Fill="1" applyBorder="1" applyAlignment="1">
      <alignment horizontal="center"/>
    </xf>
    <xf numFmtId="0" fontId="34" fillId="0" borderId="1" xfId="0" applyFont="1" applyBorder="1"/>
    <xf numFmtId="0" fontId="30" fillId="0" borderId="1" xfId="0" applyFont="1" applyBorder="1"/>
    <xf numFmtId="0" fontId="30" fillId="0" borderId="0" xfId="0" applyFont="1"/>
    <xf numFmtId="0" fontId="35" fillId="0" borderId="0" xfId="0" applyFont="1"/>
    <xf numFmtId="0" fontId="3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7" fillId="0" borderId="1" xfId="0" applyFont="1" applyBorder="1" applyAlignment="1">
      <alignment horizontal="left"/>
    </xf>
    <xf numFmtId="0" fontId="38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0" fillId="2" borderId="42" xfId="0" applyFill="1" applyBorder="1"/>
    <xf numFmtId="1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65" xfId="0" applyFont="1" applyFill="1" applyBorder="1" applyAlignment="1">
      <alignment horizontal="center"/>
    </xf>
    <xf numFmtId="0" fontId="0" fillId="2" borderId="38" xfId="0" applyFill="1" applyBorder="1"/>
    <xf numFmtId="0" fontId="2" fillId="0" borderId="25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50" xfId="0" applyFont="1" applyBorder="1" applyAlignment="1">
      <alignment horizontal="right"/>
    </xf>
    <xf numFmtId="1" fontId="0" fillId="2" borderId="54" xfId="0" applyNumberFormat="1" applyFill="1" applyBorder="1" applyAlignment="1">
      <alignment horizontal="right"/>
    </xf>
    <xf numFmtId="1" fontId="0" fillId="0" borderId="45" xfId="0" applyNumberFormat="1" applyBorder="1" applyAlignment="1">
      <alignment horizontal="right"/>
    </xf>
    <xf numFmtId="1" fontId="0" fillId="4" borderId="45" xfId="0" applyNumberFormat="1" applyFill="1" applyBorder="1" applyAlignment="1">
      <alignment horizontal="right"/>
    </xf>
    <xf numFmtId="1" fontId="0" fillId="5" borderId="45" xfId="0" applyNumberFormat="1" applyFill="1" applyBorder="1" applyAlignment="1">
      <alignment horizontal="right"/>
    </xf>
    <xf numFmtId="1" fontId="0" fillId="2" borderId="45" xfId="0" applyNumberFormat="1" applyFill="1" applyBorder="1" applyAlignment="1">
      <alignment horizontal="right"/>
    </xf>
    <xf numFmtId="1" fontId="0" fillId="0" borderId="35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0" applyFont="1" applyFill="1" applyBorder="1" applyAlignment="1">
      <alignment horizontal="center"/>
    </xf>
    <xf numFmtId="167" fontId="35" fillId="0" borderId="0" xfId="0" applyNumberFormat="1" applyFont="1" applyAlignment="1">
      <alignment horizontal="center"/>
    </xf>
    <xf numFmtId="167" fontId="35" fillId="0" borderId="0" xfId="0" applyNumberFormat="1" applyFont="1"/>
    <xf numFmtId="2" fontId="35" fillId="0" borderId="0" xfId="0" applyNumberFormat="1" applyFont="1" applyAlignment="1">
      <alignment horizontal="center"/>
    </xf>
    <xf numFmtId="2" fontId="35" fillId="0" borderId="0" xfId="0" applyNumberFormat="1" applyFont="1"/>
    <xf numFmtId="0" fontId="30" fillId="0" borderId="2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2" fillId="0" borderId="0" xfId="0" applyFont="1" applyFill="1"/>
    <xf numFmtId="167" fontId="12" fillId="0" borderId="0" xfId="0" applyNumberFormat="1" applyFont="1" applyFill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1" fontId="26" fillId="0" borderId="2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0" xfId="0" applyFont="1"/>
    <xf numFmtId="0" fontId="40" fillId="3" borderId="2" xfId="0" applyFont="1" applyFill="1" applyBorder="1" applyAlignment="1">
      <alignment horizontal="center"/>
    </xf>
    <xf numFmtId="0" fontId="40" fillId="3" borderId="9" xfId="0" applyFont="1" applyFill="1" applyBorder="1" applyAlignment="1">
      <alignment horizontal="center"/>
    </xf>
    <xf numFmtId="0" fontId="41" fillId="3" borderId="2" xfId="0" applyFont="1" applyFill="1" applyBorder="1" applyAlignment="1">
      <alignment horizontal="center"/>
    </xf>
    <xf numFmtId="0" fontId="41" fillId="3" borderId="9" xfId="0" applyFont="1" applyFill="1" applyBorder="1" applyAlignment="1">
      <alignment horizontal="center"/>
    </xf>
    <xf numFmtId="1" fontId="40" fillId="3" borderId="1" xfId="0" applyNumberFormat="1" applyFont="1" applyFill="1" applyBorder="1" applyAlignment="1">
      <alignment horizontal="center"/>
    </xf>
    <xf numFmtId="1" fontId="41" fillId="3" borderId="2" xfId="0" applyNumberFormat="1" applyFont="1" applyFill="1" applyBorder="1" applyAlignment="1">
      <alignment horizontal="center"/>
    </xf>
    <xf numFmtId="0" fontId="40" fillId="3" borderId="1" xfId="0" applyFont="1" applyFill="1" applyBorder="1" applyAlignment="1">
      <alignment horizontal="center"/>
    </xf>
    <xf numFmtId="0" fontId="40" fillId="0" borderId="0" xfId="0" applyFont="1"/>
    <xf numFmtId="0" fontId="40" fillId="0" borderId="2" xfId="0" applyFont="1" applyBorder="1" applyAlignment="1">
      <alignment horizontal="center"/>
    </xf>
    <xf numFmtId="0" fontId="40" fillId="0" borderId="9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41" fillId="0" borderId="9" xfId="0" applyFont="1" applyBorder="1" applyAlignment="1">
      <alignment horizontal="center"/>
    </xf>
    <xf numFmtId="1" fontId="40" fillId="0" borderId="1" xfId="0" applyNumberFormat="1" applyFont="1" applyBorder="1" applyAlignment="1">
      <alignment horizontal="center"/>
    </xf>
    <xf numFmtId="1" fontId="41" fillId="0" borderId="2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9" xfId="0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" fontId="42" fillId="0" borderId="2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42" fillId="0" borderId="0" xfId="0" applyFont="1"/>
    <xf numFmtId="167" fontId="3" fillId="0" borderId="22" xfId="0" applyNumberFormat="1" applyFont="1" applyBorder="1" applyAlignment="1">
      <alignment horizontal="center"/>
    </xf>
    <xf numFmtId="167" fontId="3" fillId="0" borderId="36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2" fontId="3" fillId="3" borderId="20" xfId="0" applyNumberFormat="1" applyFont="1" applyFill="1" applyBorder="1" applyAlignment="1">
      <alignment horizontal="center"/>
    </xf>
    <xf numFmtId="2" fontId="26" fillId="0" borderId="20" xfId="0" applyNumberFormat="1" applyFont="1" applyBorder="1" applyAlignment="1">
      <alignment horizontal="center"/>
    </xf>
    <xf numFmtId="167" fontId="3" fillId="0" borderId="20" xfId="0" applyNumberFormat="1" applyFont="1" applyBorder="1" applyAlignment="1">
      <alignment horizontal="center"/>
    </xf>
    <xf numFmtId="167" fontId="3" fillId="3" borderId="20" xfId="0" applyNumberFormat="1" applyFont="1" applyFill="1" applyBorder="1" applyAlignment="1">
      <alignment horizontal="center"/>
    </xf>
    <xf numFmtId="167" fontId="41" fillId="3" borderId="20" xfId="0" applyNumberFormat="1" applyFont="1" applyFill="1" applyBorder="1" applyAlignment="1">
      <alignment horizontal="center"/>
    </xf>
    <xf numFmtId="167" fontId="41" fillId="0" borderId="20" xfId="0" applyNumberFormat="1" applyFont="1" applyBorder="1" applyAlignment="1">
      <alignment horizontal="center"/>
    </xf>
    <xf numFmtId="167" fontId="42" fillId="0" borderId="20" xfId="0" applyNumberFormat="1" applyFont="1" applyBorder="1" applyAlignment="1">
      <alignment horizontal="center"/>
    </xf>
    <xf numFmtId="167" fontId="3" fillId="3" borderId="36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167" fontId="26" fillId="0" borderId="1" xfId="0" applyNumberFormat="1" applyFont="1" applyBorder="1" applyAlignment="1">
      <alignment horizontal="center"/>
    </xf>
    <xf numFmtId="1" fontId="25" fillId="0" borderId="1" xfId="0" applyNumberFormat="1" applyFont="1" applyBorder="1" applyAlignment="1">
      <alignment horizontal="center"/>
    </xf>
    <xf numFmtId="0" fontId="23" fillId="0" borderId="29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6" fillId="0" borderId="29" xfId="0" applyFont="1" applyBorder="1" applyAlignment="1">
      <alignment horizontal="center"/>
    </xf>
    <xf numFmtId="167" fontId="26" fillId="0" borderId="2" xfId="0" applyNumberFormat="1" applyFont="1" applyBorder="1"/>
    <xf numFmtId="167" fontId="26" fillId="0" borderId="9" xfId="0" applyNumberFormat="1" applyFont="1" applyBorder="1"/>
    <xf numFmtId="0" fontId="23" fillId="0" borderId="21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9" xfId="0" applyBorder="1" applyAlignment="1">
      <alignment horizontal="center"/>
    </xf>
    <xf numFmtId="167" fontId="26" fillId="0" borderId="9" xfId="0" applyNumberFormat="1" applyFont="1" applyBorder="1" applyAlignment="1">
      <alignment horizontal="center"/>
    </xf>
    <xf numFmtId="1" fontId="25" fillId="0" borderId="9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67" xfId="0" applyBorder="1"/>
    <xf numFmtId="9" fontId="0" fillId="0" borderId="7" xfId="0" applyNumberForma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167" fontId="0" fillId="0" borderId="25" xfId="0" applyNumberFormat="1" applyBorder="1" applyAlignment="1">
      <alignment horizontal="center"/>
    </xf>
    <xf numFmtId="167" fontId="0" fillId="0" borderId="66" xfId="0" applyNumberFormat="1" applyBorder="1" applyAlignment="1">
      <alignment horizontal="center"/>
    </xf>
    <xf numFmtId="167" fontId="0" fillId="0" borderId="26" xfId="0" applyNumberFormat="1" applyBorder="1" applyAlignment="1">
      <alignment horizontal="center"/>
    </xf>
    <xf numFmtId="167" fontId="0" fillId="0" borderId="67" xfId="0" applyNumberFormat="1" applyBorder="1"/>
    <xf numFmtId="167" fontId="0" fillId="0" borderId="25" xfId="0" applyNumberFormat="1" applyBorder="1" applyAlignment="1">
      <alignment horizontal="left"/>
    </xf>
    <xf numFmtId="167" fontId="26" fillId="0" borderId="2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5" fillId="3" borderId="7" xfId="0" applyFont="1" applyFill="1" applyBorder="1"/>
    <xf numFmtId="0" fontId="5" fillId="3" borderId="1" xfId="0" applyFont="1" applyFill="1" applyBorder="1"/>
    <xf numFmtId="0" fontId="4" fillId="3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1" fontId="43" fillId="8" borderId="1" xfId="0" applyNumberFormat="1" applyFont="1" applyFill="1" applyBorder="1" applyAlignment="1">
      <alignment horizontal="center" wrapText="1"/>
    </xf>
    <xf numFmtId="2" fontId="43" fillId="8" borderId="1" xfId="0" applyNumberFormat="1" applyFont="1" applyFill="1" applyBorder="1" applyAlignment="1">
      <alignment horizontal="center" wrapText="1"/>
    </xf>
    <xf numFmtId="0" fontId="43" fillId="8" borderId="1" xfId="0" applyFont="1" applyFill="1" applyBorder="1" applyAlignment="1">
      <alignment horizontal="center" wrapText="1"/>
    </xf>
    <xf numFmtId="0" fontId="0" fillId="0" borderId="1" xfId="0" applyBorder="1" applyAlignment="1"/>
    <xf numFmtId="14" fontId="0" fillId="0" borderId="1" xfId="0" applyNumberFormat="1" applyBorder="1" applyAlignment="1">
      <alignment horizontal="center"/>
    </xf>
    <xf numFmtId="167" fontId="43" fillId="8" borderId="1" xfId="0" applyNumberFormat="1" applyFont="1" applyFill="1" applyBorder="1" applyAlignment="1">
      <alignment horizontal="center" wrapText="1"/>
    </xf>
    <xf numFmtId="1" fontId="0" fillId="0" borderId="27" xfId="0" applyNumberFormat="1" applyBorder="1" applyAlignment="1">
      <alignment horizontal="center"/>
    </xf>
    <xf numFmtId="0" fontId="0" fillId="0" borderId="50" xfId="0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55" xfId="0" applyNumberFormat="1" applyBorder="1" applyAlignment="1">
      <alignment horizontal="center"/>
    </xf>
    <xf numFmtId="167" fontId="0" fillId="0" borderId="45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0" fontId="0" fillId="0" borderId="62" xfId="0" applyBorder="1"/>
    <xf numFmtId="0" fontId="0" fillId="0" borderId="68" xfId="0" applyBorder="1"/>
    <xf numFmtId="0" fontId="0" fillId="0" borderId="62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62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51" xfId="0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4" fillId="0" borderId="0" xfId="0" applyFont="1"/>
    <xf numFmtId="0" fontId="43" fillId="8" borderId="20" xfId="0" applyFont="1" applyFill="1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14" xfId="0" applyBorder="1" applyAlignment="1"/>
    <xf numFmtId="1" fontId="43" fillId="8" borderId="7" xfId="0" applyNumberFormat="1" applyFont="1" applyFill="1" applyBorder="1" applyAlignment="1">
      <alignment horizontal="center" wrapText="1"/>
    </xf>
    <xf numFmtId="0" fontId="3" fillId="0" borderId="68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" fontId="3" fillId="0" borderId="18" xfId="0" applyNumberFormat="1" applyFont="1" applyBorder="1" applyAlignment="1">
      <alignment horizontal="left"/>
    </xf>
    <xf numFmtId="0" fontId="31" fillId="0" borderId="2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0" fontId="45" fillId="0" borderId="2" xfId="0" applyFont="1" applyBorder="1" applyAlignment="1">
      <alignment horizontal="center"/>
    </xf>
    <xf numFmtId="0" fontId="45" fillId="0" borderId="9" xfId="0" applyFont="1" applyBorder="1" applyAlignment="1">
      <alignment horizontal="center"/>
    </xf>
    <xf numFmtId="0" fontId="45" fillId="0" borderId="29" xfId="0" applyFont="1" applyBorder="1" applyAlignment="1">
      <alignment horizontal="center"/>
    </xf>
    <xf numFmtId="1" fontId="31" fillId="0" borderId="1" xfId="0" applyNumberFormat="1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1" fontId="45" fillId="0" borderId="2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2" fontId="45" fillId="0" borderId="9" xfId="0" applyNumberFormat="1" applyFont="1" applyBorder="1" applyAlignment="1">
      <alignment horizontal="center"/>
    </xf>
    <xf numFmtId="167" fontId="31" fillId="0" borderId="0" xfId="0" applyNumberFormat="1" applyFont="1" applyAlignment="1">
      <alignment horizontal="center"/>
    </xf>
    <xf numFmtId="167" fontId="31" fillId="0" borderId="0" xfId="0" applyNumberFormat="1" applyFont="1"/>
    <xf numFmtId="1" fontId="31" fillId="0" borderId="0" xfId="0" applyNumberFormat="1" applyFont="1" applyAlignment="1">
      <alignment horizontal="center"/>
    </xf>
    <xf numFmtId="0" fontId="31" fillId="0" borderId="0" xfId="0" applyFont="1"/>
    <xf numFmtId="0" fontId="31" fillId="3" borderId="2" xfId="0" applyFont="1" applyFill="1" applyBorder="1" applyAlignment="1">
      <alignment horizontal="center"/>
    </xf>
    <xf numFmtId="0" fontId="31" fillId="3" borderId="20" xfId="0" applyFont="1" applyFill="1" applyBorder="1" applyAlignment="1">
      <alignment horizontal="center"/>
    </xf>
    <xf numFmtId="0" fontId="45" fillId="3" borderId="2" xfId="0" applyFont="1" applyFill="1" applyBorder="1" applyAlignment="1">
      <alignment horizontal="center"/>
    </xf>
    <xf numFmtId="0" fontId="45" fillId="3" borderId="9" xfId="0" applyFont="1" applyFill="1" applyBorder="1" applyAlignment="1">
      <alignment horizontal="center"/>
    </xf>
    <xf numFmtId="0" fontId="45" fillId="3" borderId="29" xfId="0" applyFont="1" applyFill="1" applyBorder="1" applyAlignment="1">
      <alignment horizontal="center"/>
    </xf>
    <xf numFmtId="1" fontId="31" fillId="3" borderId="1" xfId="0" applyNumberFormat="1" applyFont="1" applyFill="1" applyBorder="1" applyAlignment="1">
      <alignment horizontal="center"/>
    </xf>
    <xf numFmtId="0" fontId="31" fillId="3" borderId="9" xfId="0" applyFont="1" applyFill="1" applyBorder="1" applyAlignment="1">
      <alignment horizontal="center"/>
    </xf>
    <xf numFmtId="1" fontId="45" fillId="3" borderId="2" xfId="0" applyNumberFormat="1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/>
    </xf>
    <xf numFmtId="2" fontId="45" fillId="3" borderId="9" xfId="0" applyNumberFormat="1" applyFont="1" applyFill="1" applyBorder="1" applyAlignment="1">
      <alignment horizontal="center"/>
    </xf>
    <xf numFmtId="167" fontId="31" fillId="3" borderId="0" xfId="0" applyNumberFormat="1" applyFont="1" applyFill="1" applyAlignment="1">
      <alignment horizontal="center"/>
    </xf>
    <xf numFmtId="167" fontId="31" fillId="3" borderId="0" xfId="0" applyNumberFormat="1" applyFont="1" applyFill="1"/>
    <xf numFmtId="1" fontId="31" fillId="3" borderId="0" xfId="0" applyNumberFormat="1" applyFont="1" applyFill="1" applyAlignment="1">
      <alignment horizontal="center"/>
    </xf>
    <xf numFmtId="0" fontId="31" fillId="3" borderId="0" xfId="0" applyFont="1" applyFill="1"/>
    <xf numFmtId="0" fontId="25" fillId="0" borderId="2" xfId="0" applyFont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46" fillId="0" borderId="2" xfId="0" applyFont="1" applyBorder="1" applyAlignment="1">
      <alignment horizontal="center"/>
    </xf>
    <xf numFmtId="0" fontId="46" fillId="0" borderId="9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1" fontId="46" fillId="0" borderId="2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1" fontId="46" fillId="0" borderId="9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2" fontId="25" fillId="0" borderId="2" xfId="0" applyNumberFormat="1" applyFont="1" applyBorder="1" applyAlignment="1">
      <alignment horizontal="center"/>
    </xf>
    <xf numFmtId="1" fontId="25" fillId="0" borderId="20" xfId="0" applyNumberFormat="1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167" fontId="25" fillId="0" borderId="2" xfId="0" applyNumberFormat="1" applyFont="1" applyBorder="1" applyAlignment="1">
      <alignment horizontal="center"/>
    </xf>
    <xf numFmtId="167" fontId="25" fillId="0" borderId="20" xfId="0" applyNumberFormat="1" applyFont="1" applyBorder="1" applyAlignment="1">
      <alignment horizontal="center"/>
    </xf>
    <xf numFmtId="0" fontId="25" fillId="0" borderId="2" xfId="0" applyFont="1" applyBorder="1"/>
    <xf numFmtId="165" fontId="25" fillId="0" borderId="9" xfId="0" applyNumberFormat="1" applyFont="1" applyBorder="1" applyAlignment="1">
      <alignment horizontal="center"/>
    </xf>
    <xf numFmtId="1" fontId="25" fillId="0" borderId="45" xfId="0" applyNumberFormat="1" applyFont="1" applyBorder="1"/>
    <xf numFmtId="1" fontId="25" fillId="0" borderId="0" xfId="0" applyNumberFormat="1" applyFont="1" applyBorder="1"/>
    <xf numFmtId="0" fontId="25" fillId="0" borderId="0" xfId="0" applyFont="1" applyAlignment="1">
      <alignment horizontal="center"/>
    </xf>
    <xf numFmtId="0" fontId="25" fillId="0" borderId="0" xfId="0" applyFont="1"/>
    <xf numFmtId="0" fontId="47" fillId="0" borderId="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48" fillId="0" borderId="9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1" fontId="48" fillId="0" borderId="2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2" fontId="48" fillId="0" borderId="20" xfId="0" applyNumberFormat="1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1" xfId="0" applyFont="1" applyBorder="1"/>
    <xf numFmtId="0" fontId="47" fillId="0" borderId="0" xfId="0" applyFont="1"/>
    <xf numFmtId="0" fontId="0" fillId="9" borderId="0" xfId="0" applyFill="1"/>
    <xf numFmtId="0" fontId="0" fillId="0" borderId="34" xfId="0" applyBorder="1"/>
    <xf numFmtId="0" fontId="27" fillId="0" borderId="15" xfId="0" applyFont="1" applyBorder="1"/>
    <xf numFmtId="0" fontId="3" fillId="0" borderId="6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0" fillId="0" borderId="70" xfId="0" applyBorder="1" applyAlignment="1">
      <alignment horizontal="center"/>
    </xf>
    <xf numFmtId="167" fontId="49" fillId="0" borderId="2" xfId="0" applyNumberFormat="1" applyFont="1" applyBorder="1" applyAlignment="1">
      <alignment horizontal="center"/>
    </xf>
    <xf numFmtId="167" fontId="3" fillId="4" borderId="9" xfId="0" applyNumberFormat="1" applyFont="1" applyFill="1" applyBorder="1" applyAlignment="1">
      <alignment horizontal="center"/>
    </xf>
    <xf numFmtId="167" fontId="49" fillId="4" borderId="2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49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50" fillId="0" borderId="62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2" fillId="4" borderId="20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3" fillId="0" borderId="38" xfId="0" applyFont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1" fontId="3" fillId="0" borderId="21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43" xfId="0" applyNumberFormat="1" applyBorder="1"/>
    <xf numFmtId="0" fontId="3" fillId="0" borderId="16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67" fontId="16" fillId="0" borderId="6" xfId="0" applyNumberFormat="1" applyFont="1" applyBorder="1" applyAlignment="1">
      <alignment horizontal="center"/>
    </xf>
    <xf numFmtId="1" fontId="5" fillId="0" borderId="11" xfId="0" applyNumberFormat="1" applyFont="1" applyBorder="1" applyAlignment="1">
      <alignment horizontal="center"/>
    </xf>
    <xf numFmtId="1" fontId="5" fillId="0" borderId="36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6" fillId="0" borderId="10" xfId="0" applyNumberFormat="1" applyFont="1" applyBorder="1" applyAlignment="1">
      <alignment horizontal="center"/>
    </xf>
    <xf numFmtId="1" fontId="16" fillId="0" borderId="36" xfId="0" applyNumberFormat="1" applyFont="1" applyBorder="1" applyAlignment="1">
      <alignment horizontal="center"/>
    </xf>
    <xf numFmtId="1" fontId="5" fillId="0" borderId="35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" fontId="5" fillId="0" borderId="35" xfId="0" applyNumberFormat="1" applyFont="1" applyBorder="1"/>
    <xf numFmtId="0" fontId="5" fillId="0" borderId="11" xfId="0" applyFont="1" applyBorder="1"/>
    <xf numFmtId="0" fontId="5" fillId="0" borderId="6" xfId="0" applyFont="1" applyBorder="1"/>
    <xf numFmtId="0" fontId="3" fillId="2" borderId="21" xfId="0" applyFont="1" applyFill="1" applyBorder="1" applyAlignment="1">
      <alignment horizontal="center"/>
    </xf>
    <xf numFmtId="167" fontId="3" fillId="2" borderId="13" xfId="0" applyNumberFormat="1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1" fontId="5" fillId="2" borderId="12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" fontId="3" fillId="2" borderId="21" xfId="0" applyNumberFormat="1" applyFont="1" applyFill="1" applyBorder="1" applyAlignment="1">
      <alignment horizontal="center"/>
    </xf>
    <xf numFmtId="1" fontId="3" fillId="2" borderId="13" xfId="0" applyNumberFormat="1" applyFont="1" applyFill="1" applyBorder="1" applyAlignment="1">
      <alignment horizontal="center"/>
    </xf>
    <xf numFmtId="167" fontId="49" fillId="2" borderId="21" xfId="0" applyNumberFormat="1" applyFon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67" fontId="2" fillId="2" borderId="21" xfId="0" applyNumberFormat="1" applyFont="1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1" fontId="0" fillId="2" borderId="22" xfId="0" applyNumberFormat="1" applyFill="1" applyBorder="1" applyAlignment="1">
      <alignment horizontal="center"/>
    </xf>
    <xf numFmtId="2" fontId="0" fillId="2" borderId="21" xfId="0" applyNumberForma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1" fontId="2" fillId="2" borderId="22" xfId="0" applyNumberFormat="1" applyFont="1" applyFill="1" applyBorder="1" applyAlignment="1">
      <alignment horizontal="center"/>
    </xf>
    <xf numFmtId="1" fontId="0" fillId="2" borderId="43" xfId="0" applyNumberFormat="1" applyFill="1" applyBorder="1" applyAlignment="1">
      <alignment horizontal="center"/>
    </xf>
    <xf numFmtId="1" fontId="0" fillId="2" borderId="21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" fontId="0" fillId="2" borderId="43" xfId="0" applyNumberFormat="1" applyFill="1" applyBorder="1"/>
    <xf numFmtId="0" fontId="3" fillId="4" borderId="38" xfId="0" applyFont="1" applyFill="1" applyBorder="1" applyAlignment="1">
      <alignment horizontal="center"/>
    </xf>
    <xf numFmtId="167" fontId="49" fillId="0" borderId="6" xfId="0" applyNumberFormat="1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36" xfId="0" applyNumberFormat="1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35" xfId="0" applyNumberFormat="1" applyBorder="1"/>
    <xf numFmtId="167" fontId="46" fillId="0" borderId="9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7" fontId="3" fillId="4" borderId="1" xfId="0" applyNumberFormat="1" applyFont="1" applyFill="1" applyBorder="1" applyAlignment="1">
      <alignment horizontal="center"/>
    </xf>
    <xf numFmtId="167" fontId="2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7" fontId="3" fillId="5" borderId="1" xfId="0" applyNumberFormat="1" applyFont="1" applyFill="1" applyBorder="1" applyAlignment="1">
      <alignment horizontal="center"/>
    </xf>
    <xf numFmtId="167" fontId="2" fillId="5" borderId="1" xfId="0" applyNumberFormat="1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65" xfId="0" applyBorder="1"/>
    <xf numFmtId="0" fontId="0" fillId="0" borderId="36" xfId="0" applyBorder="1"/>
    <xf numFmtId="0" fontId="5" fillId="0" borderId="36" xfId="0" applyFont="1" applyBorder="1"/>
    <xf numFmtId="1" fontId="0" fillId="0" borderId="29" xfId="0" applyNumberFormat="1" applyBorder="1"/>
    <xf numFmtId="1" fontId="5" fillId="0" borderId="30" xfId="0" applyNumberFormat="1" applyFont="1" applyBorder="1"/>
    <xf numFmtId="1" fontId="0" fillId="0" borderId="23" xfId="0" applyNumberFormat="1" applyBorder="1"/>
    <xf numFmtId="1" fontId="0" fillId="0" borderId="30" xfId="0" applyNumberFormat="1" applyBorder="1"/>
    <xf numFmtId="0" fontId="2" fillId="0" borderId="33" xfId="0" applyFont="1" applyBorder="1" applyAlignment="1">
      <alignment horizontal="center"/>
    </xf>
    <xf numFmtId="0" fontId="3" fillId="4" borderId="2" xfId="0" applyFont="1" applyFill="1" applyBorder="1"/>
    <xf numFmtId="165" fontId="0" fillId="4" borderId="9" xfId="0" applyNumberForma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0" fontId="3" fillId="2" borderId="21" xfId="0" applyFont="1" applyFill="1" applyBorder="1"/>
    <xf numFmtId="165" fontId="0" fillId="2" borderId="13" xfId="0" applyNumberFormat="1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" fontId="0" fillId="2" borderId="71" xfId="0" applyNumberFormat="1" applyFill="1" applyBorder="1" applyAlignment="1">
      <alignment horizontal="center"/>
    </xf>
    <xf numFmtId="1" fontId="0" fillId="0" borderId="72" xfId="0" applyNumberFormat="1" applyBorder="1" applyAlignment="1">
      <alignment horizontal="center"/>
    </xf>
    <xf numFmtId="1" fontId="0" fillId="4" borderId="72" xfId="0" applyNumberFormat="1" applyFill="1" applyBorder="1" applyAlignment="1">
      <alignment horizontal="center"/>
    </xf>
    <xf numFmtId="1" fontId="0" fillId="5" borderId="72" xfId="0" applyNumberFormat="1" applyFill="1" applyBorder="1" applyAlignment="1">
      <alignment horizontal="center"/>
    </xf>
    <xf numFmtId="1" fontId="5" fillId="0" borderId="64" xfId="0" applyNumberFormat="1" applyFont="1" applyBorder="1" applyAlignment="1">
      <alignment horizontal="center"/>
    </xf>
    <xf numFmtId="1" fontId="0" fillId="0" borderId="64" xfId="0" applyNumberFormat="1" applyBorder="1" applyAlignment="1">
      <alignment horizontal="center"/>
    </xf>
    <xf numFmtId="0" fontId="3" fillId="2" borderId="59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167" fontId="3" fillId="2" borderId="34" xfId="0" applyNumberFormat="1" applyFont="1" applyFill="1" applyBorder="1" applyAlignment="1">
      <alignment horizontal="center"/>
    </xf>
    <xf numFmtId="0" fontId="3" fillId="2" borderId="73" xfId="0" applyFont="1" applyFill="1" applyBorder="1" applyAlignment="1">
      <alignment horizontal="center"/>
    </xf>
    <xf numFmtId="1" fontId="5" fillId="2" borderId="14" xfId="0" applyNumberFormat="1" applyFont="1" applyFill="1" applyBorder="1" applyAlignment="1">
      <alignment horizontal="center"/>
    </xf>
    <xf numFmtId="167" fontId="0" fillId="2" borderId="34" xfId="0" applyNumberFormat="1" applyFill="1" applyBorder="1" applyAlignment="1">
      <alignment horizontal="center"/>
    </xf>
    <xf numFmtId="1" fontId="3" fillId="2" borderId="41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167" fontId="49" fillId="2" borderId="41" xfId="0" applyNumberFormat="1" applyFont="1" applyFill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167" fontId="2" fillId="2" borderId="41" xfId="0" applyNumberFormat="1" applyFont="1" applyFill="1" applyBorder="1" applyAlignment="1">
      <alignment horizontal="center"/>
    </xf>
    <xf numFmtId="1" fontId="0" fillId="2" borderId="34" xfId="0" applyNumberFormat="1" applyFill="1" applyBorder="1" applyAlignment="1">
      <alignment horizontal="center"/>
    </xf>
    <xf numFmtId="1" fontId="0" fillId="2" borderId="57" xfId="0" applyNumberForma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2" fontId="0" fillId="2" borderId="41" xfId="0" applyNumberFormat="1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1" fontId="2" fillId="2" borderId="57" xfId="0" applyNumberFormat="1" applyFont="1" applyFill="1" applyBorder="1" applyAlignment="1">
      <alignment horizontal="center"/>
    </xf>
    <xf numFmtId="1" fontId="0" fillId="2" borderId="63" xfId="0" applyNumberFormat="1" applyFill="1" applyBorder="1" applyAlignment="1">
      <alignment horizontal="center"/>
    </xf>
    <xf numFmtId="1" fontId="0" fillId="2" borderId="41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/>
    </xf>
    <xf numFmtId="0" fontId="3" fillId="2" borderId="41" xfId="0" applyFont="1" applyFill="1" applyBorder="1"/>
    <xf numFmtId="0" fontId="0" fillId="2" borderId="14" xfId="0" applyFill="1" applyBorder="1" applyAlignment="1">
      <alignment horizontal="center"/>
    </xf>
    <xf numFmtId="165" fontId="0" fillId="2" borderId="34" xfId="0" applyNumberFormat="1" applyFill="1" applyBorder="1" applyAlignment="1">
      <alignment horizontal="center"/>
    </xf>
    <xf numFmtId="1" fontId="0" fillId="2" borderId="63" xfId="0" applyNumberFormat="1" applyFill="1" applyBorder="1"/>
    <xf numFmtId="1" fontId="0" fillId="0" borderId="63" xfId="0" applyNumberFormat="1" applyBorder="1" applyAlignment="1">
      <alignment horizontal="center"/>
    </xf>
    <xf numFmtId="1" fontId="0" fillId="0" borderId="73" xfId="0" applyNumberFormat="1" applyBorder="1"/>
    <xf numFmtId="1" fontId="0" fillId="0" borderId="71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5" fillId="0" borderId="21" xfId="0" applyFont="1" applyBorder="1"/>
    <xf numFmtId="0" fontId="5" fillId="4" borderId="2" xfId="0" applyFont="1" applyFill="1" applyBorder="1"/>
    <xf numFmtId="0" fontId="5" fillId="0" borderId="2" xfId="0" applyFont="1" applyBorder="1"/>
    <xf numFmtId="0" fontId="5" fillId="5" borderId="2" xfId="0" applyFont="1" applyFill="1" applyBorder="1"/>
    <xf numFmtId="0" fontId="3" fillId="0" borderId="59" xfId="0" applyFont="1" applyBorder="1" applyAlignment="1">
      <alignment horizontal="center"/>
    </xf>
    <xf numFmtId="167" fontId="3" fillId="0" borderId="58" xfId="0" applyNumberFormat="1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0" fontId="5" fillId="0" borderId="5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8" xfId="0" applyNumberFormat="1" applyFont="1" applyBorder="1" applyAlignment="1">
      <alignment horizontal="center"/>
    </xf>
    <xf numFmtId="167" fontId="49" fillId="0" borderId="59" xfId="0" applyNumberFormat="1" applyFont="1" applyBorder="1" applyAlignment="1">
      <alignment horizontal="center"/>
    </xf>
    <xf numFmtId="167" fontId="16" fillId="0" borderId="59" xfId="0" applyNumberFormat="1" applyFont="1" applyBorder="1" applyAlignment="1">
      <alignment horizontal="center"/>
    </xf>
    <xf numFmtId="1" fontId="5" fillId="0" borderId="58" xfId="0" applyNumberFormat="1" applyFont="1" applyBorder="1" applyAlignment="1">
      <alignment horizontal="center"/>
    </xf>
    <xf numFmtId="1" fontId="5" fillId="0" borderId="61" xfId="0" applyNumberFormat="1" applyFont="1" applyBorder="1" applyAlignment="1">
      <alignment horizontal="center"/>
    </xf>
    <xf numFmtId="2" fontId="5" fillId="0" borderId="59" xfId="0" applyNumberFormat="1" applyFont="1" applyBorder="1" applyAlignment="1">
      <alignment horizontal="center"/>
    </xf>
    <xf numFmtId="0" fontId="5" fillId="0" borderId="59" xfId="0" applyFont="1" applyBorder="1" applyAlignment="1">
      <alignment horizontal="center"/>
    </xf>
    <xf numFmtId="0" fontId="5" fillId="0" borderId="61" xfId="0" applyFont="1" applyBorder="1" applyAlignment="1">
      <alignment horizontal="center"/>
    </xf>
    <xf numFmtId="1" fontId="16" fillId="0" borderId="8" xfId="0" applyNumberFormat="1" applyFont="1" applyBorder="1" applyAlignment="1">
      <alignment horizontal="center"/>
    </xf>
    <xf numFmtId="1" fontId="16" fillId="0" borderId="61" xfId="0" applyNumberFormat="1" applyFont="1" applyBorder="1" applyAlignment="1">
      <alignment horizontal="center"/>
    </xf>
    <xf numFmtId="1" fontId="5" fillId="0" borderId="62" xfId="0" applyNumberFormat="1" applyFont="1" applyBorder="1" applyAlignment="1">
      <alignment horizontal="center"/>
    </xf>
    <xf numFmtId="1" fontId="5" fillId="0" borderId="59" xfId="0" applyNumberFormat="1" applyFont="1" applyBorder="1" applyAlignment="1">
      <alignment horizontal="center"/>
    </xf>
    <xf numFmtId="1" fontId="5" fillId="0" borderId="55" xfId="0" applyNumberFormat="1" applyFont="1" applyBorder="1" applyAlignment="1">
      <alignment horizontal="center"/>
    </xf>
    <xf numFmtId="0" fontId="5" fillId="0" borderId="59" xfId="0" applyFont="1" applyBorder="1"/>
    <xf numFmtId="165" fontId="5" fillId="0" borderId="58" xfId="0" applyNumberFormat="1" applyFont="1" applyBorder="1" applyAlignment="1">
      <alignment horizontal="center"/>
    </xf>
    <xf numFmtId="1" fontId="5" fillId="0" borderId="62" xfId="0" applyNumberFormat="1" applyFont="1" applyBorder="1"/>
    <xf numFmtId="1" fontId="5" fillId="0" borderId="74" xfId="0" applyNumberFormat="1" applyFont="1" applyBorder="1"/>
    <xf numFmtId="0" fontId="5" fillId="0" borderId="61" xfId="0" applyFont="1" applyBorder="1"/>
    <xf numFmtId="0" fontId="5" fillId="0" borderId="58" xfId="0" applyFont="1" applyBorder="1"/>
    <xf numFmtId="0" fontId="3" fillId="0" borderId="59" xfId="0" applyFont="1" applyFill="1" applyBorder="1" applyAlignment="1">
      <alignment horizontal="center"/>
    </xf>
    <xf numFmtId="167" fontId="3" fillId="0" borderId="58" xfId="0" applyNumberFormat="1" applyFont="1" applyFill="1" applyBorder="1" applyAlignment="1">
      <alignment horizontal="center"/>
    </xf>
    <xf numFmtId="0" fontId="3" fillId="0" borderId="74" xfId="0" applyFont="1" applyFill="1" applyBorder="1" applyAlignment="1">
      <alignment horizontal="center"/>
    </xf>
    <xf numFmtId="1" fontId="5" fillId="0" borderId="8" xfId="0" applyNumberFormat="1" applyFont="1" applyFill="1" applyBorder="1" applyAlignment="1">
      <alignment horizontal="center"/>
    </xf>
    <xf numFmtId="167" fontId="0" fillId="0" borderId="58" xfId="0" applyNumberFormat="1" applyFill="1" applyBorder="1" applyAlignment="1">
      <alignment horizontal="center"/>
    </xf>
    <xf numFmtId="1" fontId="3" fillId="0" borderId="59" xfId="0" applyNumberFormat="1" applyFont="1" applyFill="1" applyBorder="1" applyAlignment="1">
      <alignment horizontal="center"/>
    </xf>
    <xf numFmtId="1" fontId="3" fillId="0" borderId="58" xfId="0" applyNumberFormat="1" applyFont="1" applyFill="1" applyBorder="1" applyAlignment="1">
      <alignment horizontal="center"/>
    </xf>
    <xf numFmtId="167" fontId="49" fillId="0" borderId="59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67" fontId="2" fillId="0" borderId="59" xfId="0" applyNumberFormat="1" applyFont="1" applyFill="1" applyBorder="1" applyAlignment="1">
      <alignment horizontal="center"/>
    </xf>
    <xf numFmtId="1" fontId="0" fillId="0" borderId="58" xfId="0" applyNumberFormat="1" applyFill="1" applyBorder="1" applyAlignment="1">
      <alignment horizontal="center"/>
    </xf>
    <xf numFmtId="1" fontId="0" fillId="0" borderId="61" xfId="0" applyNumberFormat="1" applyFill="1" applyBorder="1" applyAlignment="1">
      <alignment horizontal="center"/>
    </xf>
    <xf numFmtId="0" fontId="0" fillId="0" borderId="58" xfId="0" applyFill="1" applyBorder="1" applyAlignment="1">
      <alignment horizontal="center"/>
    </xf>
    <xf numFmtId="2" fontId="0" fillId="0" borderId="59" xfId="0" applyNumberFormat="1" applyFill="1" applyBorder="1" applyAlignment="1">
      <alignment horizontal="center"/>
    </xf>
    <xf numFmtId="0" fontId="0" fillId="0" borderId="5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2" fillId="0" borderId="61" xfId="0" applyNumberFormat="1" applyFont="1" applyFill="1" applyBorder="1" applyAlignment="1">
      <alignment horizontal="center"/>
    </xf>
    <xf numFmtId="1" fontId="0" fillId="0" borderId="62" xfId="0" applyNumberFormat="1" applyFill="1" applyBorder="1" applyAlignment="1">
      <alignment horizontal="center"/>
    </xf>
    <xf numFmtId="1" fontId="0" fillId="0" borderId="59" xfId="0" applyNumberFormat="1" applyFill="1" applyBorder="1" applyAlignment="1">
      <alignment horizontal="center"/>
    </xf>
    <xf numFmtId="1" fontId="0" fillId="0" borderId="19" xfId="0" applyNumberFormat="1" applyFill="1" applyBorder="1" applyAlignment="1">
      <alignment horizontal="center"/>
    </xf>
    <xf numFmtId="0" fontId="3" fillId="0" borderId="59" xfId="0" applyFont="1" applyFill="1" applyBorder="1"/>
    <xf numFmtId="0" fontId="0" fillId="0" borderId="8" xfId="0" applyFill="1" applyBorder="1" applyAlignment="1">
      <alignment horizontal="center"/>
    </xf>
    <xf numFmtId="165" fontId="0" fillId="0" borderId="58" xfId="0" applyNumberFormat="1" applyFill="1" applyBorder="1" applyAlignment="1">
      <alignment horizontal="center"/>
    </xf>
    <xf numFmtId="1" fontId="0" fillId="0" borderId="62" xfId="0" applyNumberFormat="1" applyFill="1" applyBorder="1"/>
    <xf numFmtId="1" fontId="0" fillId="0" borderId="74" xfId="0" applyNumberFormat="1" applyFill="1" applyBorder="1"/>
    <xf numFmtId="0" fontId="0" fillId="0" borderId="61" xfId="0" applyFill="1" applyBorder="1"/>
    <xf numFmtId="0" fontId="0" fillId="0" borderId="59" xfId="0" applyFill="1" applyBorder="1"/>
    <xf numFmtId="0" fontId="0" fillId="0" borderId="58" xfId="0" applyFill="1" applyBorder="1"/>
    <xf numFmtId="0" fontId="25" fillId="0" borderId="17" xfId="0" applyFont="1" applyBorder="1" applyAlignment="1">
      <alignment horizontal="center"/>
    </xf>
    <xf numFmtId="0" fontId="49" fillId="0" borderId="1" xfId="0" applyFont="1" applyBorder="1"/>
    <xf numFmtId="0" fontId="51" fillId="0" borderId="1" xfId="0" applyFont="1" applyBorder="1"/>
    <xf numFmtId="0" fontId="52" fillId="0" borderId="10" xfId="0" applyFont="1" applyBorder="1" applyAlignment="1">
      <alignment horizontal="center"/>
    </xf>
    <xf numFmtId="0" fontId="5" fillId="0" borderId="7" xfId="0" applyFont="1" applyFill="1" applyBorder="1"/>
    <xf numFmtId="0" fontId="5" fillId="0" borderId="1" xfId="0" applyFont="1" applyFill="1" applyBorder="1"/>
    <xf numFmtId="0" fontId="3" fillId="0" borderId="35" xfId="0" applyFont="1" applyBorder="1" applyAlignment="1">
      <alignment horizontal="center"/>
    </xf>
    <xf numFmtId="0" fontId="3" fillId="0" borderId="11" xfId="0" applyFont="1" applyBorder="1"/>
    <xf numFmtId="0" fontId="53" fillId="0" borderId="43" xfId="0" applyFont="1" applyBorder="1" applyAlignment="1">
      <alignment horizontal="center"/>
    </xf>
    <xf numFmtId="0" fontId="5" fillId="0" borderId="45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45" xfId="0" applyFont="1" applyBorder="1" applyAlignment="1">
      <alignment horizontal="center"/>
    </xf>
    <xf numFmtId="0" fontId="5" fillId="0" borderId="0" xfId="0" applyFont="1" applyAlignment="1"/>
    <xf numFmtId="0" fontId="0" fillId="0" borderId="0" xfId="0" applyAlignment="1"/>
    <xf numFmtId="1" fontId="5" fillId="2" borderId="9" xfId="0" applyNumberFormat="1" applyFont="1" applyFill="1" applyBorder="1" applyAlignment="1">
      <alignment horizontal="center"/>
    </xf>
    <xf numFmtId="1" fontId="5" fillId="3" borderId="11" xfId="0" applyNumberFormat="1" applyFont="1" applyFill="1" applyBorder="1" applyAlignment="1">
      <alignment horizontal="center"/>
    </xf>
    <xf numFmtId="0" fontId="54" fillId="0" borderId="47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167" fontId="5" fillId="0" borderId="75" xfId="0" applyNumberFormat="1" applyFont="1" applyBorder="1" applyAlignment="1">
      <alignment horizontal="center"/>
    </xf>
    <xf numFmtId="167" fontId="0" fillId="0" borderId="75" xfId="0" applyNumberFormat="1" applyBorder="1" applyAlignment="1">
      <alignment horizontal="center"/>
    </xf>
    <xf numFmtId="2" fontId="0" fillId="0" borderId="60" xfId="0" applyNumberFormat="1" applyBorder="1" applyAlignment="1">
      <alignment horizontal="center"/>
    </xf>
    <xf numFmtId="167" fontId="2" fillId="0" borderId="70" xfId="0" applyNumberFormat="1" applyFont="1" applyBorder="1" applyAlignment="1">
      <alignment horizontal="center"/>
    </xf>
    <xf numFmtId="167" fontId="2" fillId="2" borderId="75" xfId="0" applyNumberFormat="1" applyFont="1" applyFill="1" applyBorder="1" applyAlignment="1">
      <alignment horizontal="center"/>
    </xf>
    <xf numFmtId="167" fontId="2" fillId="0" borderId="75" xfId="0" applyNumberFormat="1" applyFont="1" applyBorder="1" applyAlignment="1">
      <alignment horizontal="center"/>
    </xf>
    <xf numFmtId="167" fontId="2" fillId="4" borderId="75" xfId="0" applyNumberFormat="1" applyFont="1" applyFill="1" applyBorder="1" applyAlignment="1">
      <alignment horizontal="center"/>
    </xf>
    <xf numFmtId="167" fontId="2" fillId="5" borderId="75" xfId="0" applyNumberFormat="1" applyFont="1" applyFill="1" applyBorder="1" applyAlignment="1">
      <alignment horizontal="center"/>
    </xf>
    <xf numFmtId="167" fontId="2" fillId="0" borderId="60" xfId="0" applyNumberFormat="1" applyFont="1" applyFill="1" applyBorder="1" applyAlignment="1">
      <alignment horizontal="center"/>
    </xf>
    <xf numFmtId="167" fontId="2" fillId="0" borderId="60" xfId="0" applyNumberFormat="1" applyFont="1" applyBorder="1" applyAlignment="1">
      <alignment horizontal="center"/>
    </xf>
    <xf numFmtId="1" fontId="2" fillId="0" borderId="75" xfId="0" applyNumberFormat="1" applyFont="1" applyBorder="1" applyAlignment="1">
      <alignment horizontal="center"/>
    </xf>
    <xf numFmtId="1" fontId="2" fillId="3" borderId="75" xfId="0" applyNumberFormat="1" applyFont="1" applyFill="1" applyBorder="1" applyAlignment="1">
      <alignment horizontal="center"/>
    </xf>
    <xf numFmtId="1" fontId="2" fillId="3" borderId="60" xfId="0" applyNumberFormat="1" applyFont="1" applyFill="1" applyBorder="1" applyAlignment="1">
      <alignment horizontal="center"/>
    </xf>
    <xf numFmtId="167" fontId="2" fillId="0" borderId="12" xfId="0" applyNumberFormat="1" applyFont="1" applyBorder="1" applyAlignment="1">
      <alignment horizontal="center"/>
    </xf>
    <xf numFmtId="1" fontId="2" fillId="3" borderId="20" xfId="0" applyNumberFormat="1" applyFont="1" applyFill="1" applyBorder="1" applyAlignment="1">
      <alignment horizontal="center"/>
    </xf>
    <xf numFmtId="1" fontId="2" fillId="3" borderId="36" xfId="0" applyNumberFormat="1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1" fontId="3" fillId="0" borderId="20" xfId="0" applyNumberFormat="1" applyFont="1" applyBorder="1" applyAlignment="1">
      <alignment horizontal="center"/>
    </xf>
    <xf numFmtId="1" fontId="3" fillId="3" borderId="20" xfId="0" applyNumberFormat="1" applyFont="1" applyFill="1" applyBorder="1" applyAlignment="1">
      <alignment horizontal="center"/>
    </xf>
    <xf numFmtId="1" fontId="3" fillId="3" borderId="36" xfId="0" applyNumberFormat="1" applyFont="1" applyFill="1" applyBorder="1" applyAlignment="1">
      <alignment horizontal="center"/>
    </xf>
    <xf numFmtId="167" fontId="20" fillId="0" borderId="6" xfId="0" applyNumberFormat="1" applyFont="1" applyBorder="1" applyAlignment="1">
      <alignment horizontal="center"/>
    </xf>
    <xf numFmtId="167" fontId="4" fillId="0" borderId="22" xfId="0" applyNumberFormat="1" applyFont="1" applyBorder="1" applyAlignment="1">
      <alignment horizontal="center"/>
    </xf>
    <xf numFmtId="167" fontId="14" fillId="0" borderId="36" xfId="0" applyNumberFormat="1" applyFont="1" applyBorder="1" applyAlignment="1">
      <alignment horizontal="center"/>
    </xf>
    <xf numFmtId="167" fontId="14" fillId="0" borderId="40" xfId="0" applyNumberFormat="1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67" fontId="5" fillId="0" borderId="38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4" fillId="0" borderId="27" xfId="0" applyFont="1" applyBorder="1" applyAlignment="1">
      <alignment horizontal="left"/>
    </xf>
    <xf numFmtId="167" fontId="20" fillId="0" borderId="38" xfId="0" applyNumberFormat="1" applyFont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7" fontId="2" fillId="0" borderId="29" xfId="0" applyNumberFormat="1" applyFont="1" applyBorder="1" applyAlignment="1">
      <alignment horizontal="center"/>
    </xf>
    <xf numFmtId="167" fontId="2" fillId="3" borderId="2" xfId="0" applyNumberFormat="1" applyFont="1" applyFill="1" applyBorder="1" applyAlignment="1">
      <alignment horizontal="center"/>
    </xf>
    <xf numFmtId="0" fontId="3" fillId="0" borderId="17" xfId="0" applyFont="1" applyBorder="1" applyAlignment="1">
      <alignment horizontal="left"/>
    </xf>
    <xf numFmtId="167" fontId="3" fillId="2" borderId="57" xfId="0" applyNumberFormat="1" applyFont="1" applyFill="1" applyBorder="1" applyAlignment="1">
      <alignment horizontal="center"/>
    </xf>
    <xf numFmtId="167" fontId="3" fillId="0" borderId="61" xfId="0" applyNumberFormat="1" applyFont="1" applyFill="1" applyBorder="1" applyAlignment="1">
      <alignment horizontal="center"/>
    </xf>
    <xf numFmtId="167" fontId="3" fillId="4" borderId="20" xfId="0" applyNumberFormat="1" applyFont="1" applyFill="1" applyBorder="1" applyAlignment="1">
      <alignment horizontal="center"/>
    </xf>
    <xf numFmtId="167" fontId="3" fillId="5" borderId="20" xfId="0" applyNumberFormat="1" applyFont="1" applyFill="1" applyBorder="1" applyAlignment="1">
      <alignment horizontal="center"/>
    </xf>
    <xf numFmtId="167" fontId="3" fillId="0" borderId="61" xfId="0" applyNumberFormat="1" applyFont="1" applyBorder="1" applyAlignment="1">
      <alignment horizontal="center"/>
    </xf>
    <xf numFmtId="167" fontId="3" fillId="2" borderId="22" xfId="0" applyNumberFormat="1" applyFont="1" applyFill="1" applyBorder="1" applyAlignment="1">
      <alignment horizontal="center"/>
    </xf>
    <xf numFmtId="167" fontId="2" fillId="2" borderId="73" xfId="0" applyNumberFormat="1" applyFont="1" applyFill="1" applyBorder="1" applyAlignment="1">
      <alignment horizontal="center"/>
    </xf>
    <xf numFmtId="167" fontId="2" fillId="0" borderId="74" xfId="0" applyNumberFormat="1" applyFont="1" applyFill="1" applyBorder="1" applyAlignment="1">
      <alignment horizontal="center"/>
    </xf>
    <xf numFmtId="167" fontId="2" fillId="4" borderId="29" xfId="0" applyNumberFormat="1" applyFont="1" applyFill="1" applyBorder="1" applyAlignment="1">
      <alignment horizontal="center"/>
    </xf>
    <xf numFmtId="167" fontId="2" fillId="5" borderId="29" xfId="0" applyNumberFormat="1" applyFont="1" applyFill="1" applyBorder="1" applyAlignment="1">
      <alignment horizontal="center"/>
    </xf>
    <xf numFmtId="167" fontId="16" fillId="0" borderId="30" xfId="0" applyNumberFormat="1" applyFont="1" applyBorder="1" applyAlignment="1">
      <alignment horizontal="center"/>
    </xf>
    <xf numFmtId="167" fontId="16" fillId="0" borderId="74" xfId="0" applyNumberFormat="1" applyFont="1" applyBorder="1" applyAlignment="1">
      <alignment horizontal="center"/>
    </xf>
    <xf numFmtId="167" fontId="2" fillId="2" borderId="23" xfId="0" applyNumberFormat="1" applyFont="1" applyFill="1" applyBorder="1" applyAlignment="1">
      <alignment horizontal="center"/>
    </xf>
    <xf numFmtId="167" fontId="2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4" fillId="4" borderId="9" xfId="0" applyNumberFormat="1" applyFont="1" applyFill="1" applyBorder="1" applyAlignment="1">
      <alignment horizontal="center"/>
    </xf>
    <xf numFmtId="1" fontId="4" fillId="5" borderId="9" xfId="0" applyNumberFormat="1" applyFont="1" applyFill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167" fontId="49" fillId="0" borderId="23" xfId="0" applyNumberFormat="1" applyFont="1" applyBorder="1" applyAlignment="1">
      <alignment horizontal="center"/>
    </xf>
    <xf numFmtId="167" fontId="49" fillId="4" borderId="29" xfId="0" applyNumberFormat="1" applyFont="1" applyFill="1" applyBorder="1" applyAlignment="1">
      <alignment horizontal="center"/>
    </xf>
    <xf numFmtId="167" fontId="49" fillId="0" borderId="29" xfId="0" applyNumberFormat="1" applyFont="1" applyBorder="1" applyAlignment="1">
      <alignment horizontal="center"/>
    </xf>
    <xf numFmtId="167" fontId="49" fillId="5" borderId="29" xfId="0" applyNumberFormat="1" applyFont="1" applyFill="1" applyBorder="1" applyAlignment="1">
      <alignment horizontal="center"/>
    </xf>
    <xf numFmtId="167" fontId="49" fillId="0" borderId="30" xfId="0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1" fontId="4" fillId="0" borderId="58" xfId="0" applyNumberFormat="1" applyFont="1" applyBorder="1" applyAlignment="1">
      <alignment horizontal="center"/>
    </xf>
    <xf numFmtId="1" fontId="4" fillId="0" borderId="11" xfId="0" applyNumberFormat="1" applyFont="1" applyFill="1" applyBorder="1" applyAlignment="1">
      <alignment horizontal="center"/>
    </xf>
    <xf numFmtId="1" fontId="4" fillId="2" borderId="20" xfId="0" applyNumberFormat="1" applyFont="1" applyFill="1" applyBorder="1" applyAlignment="1">
      <alignment horizontal="center"/>
    </xf>
    <xf numFmtId="1" fontId="4" fillId="4" borderId="20" xfId="0" applyNumberFormat="1" applyFont="1" applyFill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36" xfId="0" applyNumberFormat="1" applyFont="1" applyBorder="1" applyAlignment="1">
      <alignment horizontal="center"/>
    </xf>
    <xf numFmtId="1" fontId="4" fillId="2" borderId="22" xfId="0" applyNumberFormat="1" applyFont="1" applyFill="1" applyBorder="1" applyAlignment="1">
      <alignment horizontal="center"/>
    </xf>
    <xf numFmtId="167" fontId="2" fillId="2" borderId="29" xfId="0" applyNumberFormat="1" applyFont="1" applyFill="1" applyBorder="1" applyAlignment="1">
      <alignment horizontal="center"/>
    </xf>
    <xf numFmtId="167" fontId="2" fillId="0" borderId="30" xfId="0" applyNumberFormat="1" applyFont="1" applyFill="1" applyBorder="1" applyAlignment="1">
      <alignment horizontal="center"/>
    </xf>
    <xf numFmtId="167" fontId="2" fillId="0" borderId="10" xfId="0" applyNumberFormat="1" applyFont="1" applyFill="1" applyBorder="1" applyAlignment="1">
      <alignment horizontal="center"/>
    </xf>
    <xf numFmtId="167" fontId="16" fillId="0" borderId="10" xfId="0" applyNumberFormat="1" applyFont="1" applyBorder="1" applyAlignment="1">
      <alignment horizontal="center"/>
    </xf>
    <xf numFmtId="167" fontId="16" fillId="0" borderId="8" xfId="0" applyNumberFormat="1" applyFont="1" applyBorder="1" applyAlignment="1">
      <alignment horizontal="center"/>
    </xf>
    <xf numFmtId="167" fontId="2" fillId="2" borderId="12" xfId="0" applyNumberFormat="1" applyFont="1" applyFill="1" applyBorder="1" applyAlignment="1">
      <alignment horizontal="center"/>
    </xf>
    <xf numFmtId="167" fontId="21" fillId="0" borderId="38" xfId="0" applyNumberFormat="1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167" fontId="3" fillId="2" borderId="9" xfId="0" applyNumberFormat="1" applyFont="1" applyFill="1" applyBorder="1" applyAlignment="1">
      <alignment horizontal="center"/>
    </xf>
    <xf numFmtId="1" fontId="4" fillId="5" borderId="36" xfId="0" applyNumberFormat="1" applyFont="1" applyFill="1" applyBorder="1" applyAlignment="1">
      <alignment horizontal="center"/>
    </xf>
    <xf numFmtId="1" fontId="3" fillId="2" borderId="20" xfId="0" applyNumberFormat="1" applyFont="1" applyFill="1" applyBorder="1" applyAlignment="1">
      <alignment horizontal="center"/>
    </xf>
    <xf numFmtId="1" fontId="3" fillId="4" borderId="20" xfId="0" applyNumberFormat="1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167" fontId="56" fillId="0" borderId="6" xfId="0" applyNumberFormat="1" applyFont="1" applyBorder="1" applyAlignment="1">
      <alignment horizontal="center"/>
    </xf>
    <xf numFmtId="0" fontId="55" fillId="0" borderId="34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167" fontId="17" fillId="0" borderId="13" xfId="0" applyNumberFormat="1" applyFont="1" applyBorder="1" applyAlignment="1">
      <alignment horizontal="center"/>
    </xf>
    <xf numFmtId="0" fontId="30" fillId="0" borderId="37" xfId="0" applyFont="1" applyBorder="1" applyAlignment="1">
      <alignment horizontal="center"/>
    </xf>
    <xf numFmtId="0" fontId="30" fillId="0" borderId="3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2" fontId="23" fillId="2" borderId="9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2" fontId="4" fillId="2" borderId="20" xfId="0" applyNumberFormat="1" applyFont="1" applyFill="1" applyBorder="1" applyAlignment="1">
      <alignment horizontal="center"/>
    </xf>
    <xf numFmtId="0" fontId="23" fillId="3" borderId="6" xfId="0" applyFont="1" applyFill="1" applyBorder="1" applyAlignment="1">
      <alignment horizontal="center"/>
    </xf>
    <xf numFmtId="2" fontId="23" fillId="3" borderId="11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36" xfId="0" applyFont="1" applyFill="1" applyBorder="1" applyAlignment="1">
      <alignment horizontal="center"/>
    </xf>
    <xf numFmtId="1" fontId="23" fillId="3" borderId="10" xfId="0" applyNumberFormat="1" applyFont="1" applyFill="1" applyBorder="1" applyAlignment="1">
      <alignment horizontal="center"/>
    </xf>
    <xf numFmtId="0" fontId="23" fillId="3" borderId="11" xfId="0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" fontId="23" fillId="3" borderId="11" xfId="0" applyNumberFormat="1" applyFont="1" applyFill="1" applyBorder="1" applyAlignment="1">
      <alignment horizontal="center"/>
    </xf>
    <xf numFmtId="0" fontId="23" fillId="3" borderId="30" xfId="0" applyFont="1" applyFill="1" applyBorder="1" applyAlignment="1">
      <alignment horizontal="center"/>
    </xf>
    <xf numFmtId="2" fontId="4" fillId="3" borderId="36" xfId="0" applyNumberFormat="1" applyFont="1" applyFill="1" applyBorder="1" applyAlignment="1">
      <alignment horizontal="center"/>
    </xf>
    <xf numFmtId="1" fontId="4" fillId="3" borderId="11" xfId="0" applyNumberFormat="1" applyFont="1" applyFill="1" applyBorder="1" applyAlignment="1">
      <alignment horizontal="center"/>
    </xf>
    <xf numFmtId="1" fontId="23" fillId="2" borderId="2" xfId="0" applyNumberFormat="1" applyFont="1" applyFill="1" applyBorder="1" applyAlignment="1">
      <alignment horizontal="center"/>
    </xf>
    <xf numFmtId="167" fontId="23" fillId="2" borderId="2" xfId="0" applyNumberFormat="1" applyFont="1" applyFill="1" applyBorder="1" applyAlignment="1">
      <alignment horizontal="center"/>
    </xf>
    <xf numFmtId="0" fontId="23" fillId="2" borderId="2" xfId="0" applyFont="1" applyFill="1" applyBorder="1"/>
    <xf numFmtId="1" fontId="23" fillId="2" borderId="45" xfId="0" applyNumberFormat="1" applyFont="1" applyFill="1" applyBorder="1"/>
    <xf numFmtId="1" fontId="23" fillId="3" borderId="6" xfId="0" applyNumberFormat="1" applyFont="1" applyFill="1" applyBorder="1" applyAlignment="1">
      <alignment horizontal="center"/>
    </xf>
    <xf numFmtId="0" fontId="23" fillId="3" borderId="36" xfId="0" applyFont="1" applyFill="1" applyBorder="1" applyAlignment="1">
      <alignment horizontal="center"/>
    </xf>
    <xf numFmtId="2" fontId="23" fillId="3" borderId="6" xfId="0" applyNumberFormat="1" applyFont="1" applyFill="1" applyBorder="1" applyAlignment="1">
      <alignment horizontal="center"/>
    </xf>
    <xf numFmtId="167" fontId="23" fillId="3" borderId="6" xfId="0" applyNumberFormat="1" applyFont="1" applyFill="1" applyBorder="1" applyAlignment="1">
      <alignment horizontal="center"/>
    </xf>
    <xf numFmtId="167" fontId="23" fillId="3" borderId="11" xfId="0" applyNumberFormat="1" applyFont="1" applyFill="1" applyBorder="1" applyAlignment="1">
      <alignment horizontal="center"/>
    </xf>
    <xf numFmtId="0" fontId="23" fillId="3" borderId="6" xfId="0" applyFont="1" applyFill="1" applyBorder="1"/>
    <xf numFmtId="0" fontId="23" fillId="3" borderId="10" xfId="0" applyFont="1" applyFill="1" applyBorder="1" applyAlignment="1">
      <alignment horizontal="center"/>
    </xf>
    <xf numFmtId="167" fontId="23" fillId="3" borderId="36" xfId="0" applyNumberFormat="1" applyFont="1" applyFill="1" applyBorder="1" applyAlignment="1">
      <alignment horizontal="center"/>
    </xf>
    <xf numFmtId="1" fontId="23" fillId="3" borderId="35" xfId="0" applyNumberFormat="1" applyFont="1" applyFill="1" applyBorder="1"/>
    <xf numFmtId="167" fontId="4" fillId="0" borderId="39" xfId="0" applyNumberFormat="1" applyFont="1" applyBorder="1"/>
    <xf numFmtId="0" fontId="4" fillId="3" borderId="11" xfId="0" applyFont="1" applyFill="1" applyBorder="1" applyAlignment="1">
      <alignment horizontal="center"/>
    </xf>
    <xf numFmtId="167" fontId="4" fillId="3" borderId="11" xfId="0" applyNumberFormat="1" applyFont="1" applyFill="1" applyBorder="1" applyAlignment="1">
      <alignment horizontal="center"/>
    </xf>
    <xf numFmtId="0" fontId="14" fillId="0" borderId="27" xfId="0" applyFont="1" applyBorder="1"/>
    <xf numFmtId="167" fontId="14" fillId="0" borderId="39" xfId="0" applyNumberFormat="1" applyFont="1" applyBorder="1"/>
    <xf numFmtId="0" fontId="29" fillId="0" borderId="9" xfId="0" applyFont="1" applyBorder="1" applyAlignment="1">
      <alignment horizontal="center"/>
    </xf>
    <xf numFmtId="0" fontId="14" fillId="0" borderId="19" xfId="0" applyFont="1" applyBorder="1"/>
    <xf numFmtId="167" fontId="17" fillId="0" borderId="22" xfId="0" applyNumberFormat="1" applyFont="1" applyBorder="1" applyAlignment="1">
      <alignment horizontal="center"/>
    </xf>
    <xf numFmtId="167" fontId="14" fillId="0" borderId="40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" fontId="4" fillId="3" borderId="10" xfId="0" applyNumberFormat="1" applyFont="1" applyFill="1" applyBorder="1" applyAlignment="1">
      <alignment horizontal="center"/>
    </xf>
    <xf numFmtId="0" fontId="29" fillId="0" borderId="0" xfId="0" applyFont="1" applyBorder="1"/>
    <xf numFmtId="0" fontId="22" fillId="0" borderId="17" xfId="0" applyFont="1" applyBorder="1" applyAlignment="1">
      <alignment horizontal="left"/>
    </xf>
    <xf numFmtId="0" fontId="20" fillId="0" borderId="17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57" fillId="0" borderId="41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5" fillId="0" borderId="46" xfId="0" applyFont="1" applyBorder="1" applyAlignment="1">
      <alignment horizontal="center"/>
    </xf>
    <xf numFmtId="0" fontId="20" fillId="0" borderId="46" xfId="0" applyFont="1" applyBorder="1" applyAlignment="1">
      <alignment horizontal="center"/>
    </xf>
    <xf numFmtId="0" fontId="59" fillId="0" borderId="4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" fontId="21" fillId="0" borderId="75" xfId="0" applyNumberFormat="1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46" fillId="0" borderId="29" xfId="0" applyFont="1" applyBorder="1" applyAlignment="1">
      <alignment horizontal="center"/>
    </xf>
    <xf numFmtId="2" fontId="46" fillId="0" borderId="9" xfId="0" applyNumberFormat="1" applyFont="1" applyBorder="1" applyAlignment="1">
      <alignment horizontal="center"/>
    </xf>
    <xf numFmtId="167" fontId="21" fillId="0" borderId="2" xfId="0" applyNumberFormat="1" applyFont="1" applyBorder="1" applyAlignment="1">
      <alignment horizontal="center"/>
    </xf>
    <xf numFmtId="1" fontId="21" fillId="0" borderId="20" xfId="0" applyNumberFormat="1" applyFont="1" applyBorder="1" applyAlignment="1">
      <alignment horizontal="center"/>
    </xf>
    <xf numFmtId="1" fontId="46" fillId="0" borderId="20" xfId="0" applyNumberFormat="1" applyFont="1" applyBorder="1" applyAlignment="1">
      <alignment horizontal="center"/>
    </xf>
    <xf numFmtId="167" fontId="2" fillId="3" borderId="20" xfId="0" applyNumberFormat="1" applyFont="1" applyFill="1" applyBorder="1" applyAlignment="1">
      <alignment horizontal="center"/>
    </xf>
    <xf numFmtId="0" fontId="5" fillId="0" borderId="43" xfId="0" applyFont="1" applyBorder="1" applyAlignment="1">
      <alignment horizontal="center" wrapText="1"/>
    </xf>
    <xf numFmtId="0" fontId="0" fillId="0" borderId="76" xfId="0" applyBorder="1" applyAlignment="1">
      <alignment horizontal="center"/>
    </xf>
    <xf numFmtId="167" fontId="5" fillId="0" borderId="43" xfId="0" applyNumberFormat="1" applyFont="1" applyBorder="1" applyAlignment="1">
      <alignment horizontal="center"/>
    </xf>
    <xf numFmtId="167" fontId="5" fillId="0" borderId="45" xfId="0" applyNumberFormat="1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1" fillId="9" borderId="45" xfId="0" applyFont="1" applyFill="1" applyBorder="1" applyAlignment="1">
      <alignment horizontal="center"/>
    </xf>
    <xf numFmtId="0" fontId="1" fillId="0" borderId="45" xfId="0" applyFont="1" applyBorder="1" applyAlignment="1">
      <alignment horizontal="center"/>
    </xf>
    <xf numFmtId="167" fontId="5" fillId="9" borderId="45" xfId="0" applyNumberFormat="1" applyFont="1" applyFill="1" applyBorder="1" applyAlignment="1">
      <alignment horizontal="center"/>
    </xf>
    <xf numFmtId="0" fontId="5" fillId="9" borderId="45" xfId="0" applyFont="1" applyFill="1" applyBorder="1" applyAlignment="1">
      <alignment horizontal="center" wrapText="1"/>
    </xf>
    <xf numFmtId="1" fontId="1" fillId="9" borderId="45" xfId="0" applyNumberFormat="1" applyFont="1" applyFill="1" applyBorder="1" applyAlignment="1">
      <alignment horizontal="center"/>
    </xf>
    <xf numFmtId="0" fontId="16" fillId="9" borderId="45" xfId="0" applyFont="1" applyFill="1" applyBorder="1" applyAlignment="1">
      <alignment horizontal="center" wrapText="1"/>
    </xf>
    <xf numFmtId="0" fontId="16" fillId="0" borderId="45" xfId="0" applyFont="1" applyBorder="1" applyAlignment="1">
      <alignment horizontal="center" wrapText="1"/>
    </xf>
    <xf numFmtId="0" fontId="16" fillId="0" borderId="45" xfId="0" applyFont="1" applyFill="1" applyBorder="1" applyAlignment="1">
      <alignment horizontal="center" wrapText="1"/>
    </xf>
    <xf numFmtId="0" fontId="25" fillId="0" borderId="45" xfId="0" applyFont="1" applyBorder="1" applyAlignment="1">
      <alignment horizontal="center"/>
    </xf>
    <xf numFmtId="167" fontId="25" fillId="0" borderId="45" xfId="0" applyNumberFormat="1" applyFont="1" applyBorder="1" applyAlignment="1">
      <alignment horizontal="center"/>
    </xf>
    <xf numFmtId="0" fontId="25" fillId="0" borderId="45" xfId="0" applyFont="1" applyBorder="1" applyAlignment="1">
      <alignment horizontal="center" wrapText="1"/>
    </xf>
    <xf numFmtId="0" fontId="35" fillId="0" borderId="2" xfId="0" applyFont="1" applyBorder="1" applyAlignment="1">
      <alignment horizontal="center"/>
    </xf>
    <xf numFmtId="0" fontId="35" fillId="0" borderId="9" xfId="0" applyFont="1" applyBorder="1" applyAlignment="1">
      <alignment horizontal="center"/>
    </xf>
    <xf numFmtId="0" fontId="61" fillId="0" borderId="2" xfId="0" applyFont="1" applyBorder="1" applyAlignment="1">
      <alignment horizontal="center"/>
    </xf>
    <xf numFmtId="0" fontId="61" fillId="0" borderId="9" xfId="0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1" fontId="61" fillId="0" borderId="2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1" fontId="61" fillId="0" borderId="9" xfId="0" applyNumberFormat="1" applyFont="1" applyBorder="1" applyAlignment="1">
      <alignment horizontal="center"/>
    </xf>
    <xf numFmtId="1" fontId="35" fillId="0" borderId="20" xfId="0" applyNumberFormat="1" applyFont="1" applyBorder="1" applyAlignment="1">
      <alignment horizontal="center"/>
    </xf>
    <xf numFmtId="0" fontId="35" fillId="0" borderId="29" xfId="0" applyFont="1" applyBorder="1" applyAlignment="1">
      <alignment horizontal="center"/>
    </xf>
    <xf numFmtId="1" fontId="35" fillId="0" borderId="75" xfId="0" applyNumberFormat="1" applyFont="1" applyBorder="1" applyAlignment="1">
      <alignment horizontal="center"/>
    </xf>
    <xf numFmtId="1" fontId="61" fillId="0" borderId="20" xfId="0" applyNumberFormat="1" applyFont="1" applyBorder="1" applyAlignment="1">
      <alignment horizontal="center"/>
    </xf>
    <xf numFmtId="2" fontId="35" fillId="0" borderId="2" xfId="0" applyNumberFormat="1" applyFont="1" applyBorder="1" applyAlignment="1">
      <alignment horizontal="center"/>
    </xf>
    <xf numFmtId="1" fontId="35" fillId="0" borderId="9" xfId="0" applyNumberFormat="1" applyFont="1" applyBorder="1" applyAlignment="1">
      <alignment horizontal="center"/>
    </xf>
    <xf numFmtId="167" fontId="35" fillId="0" borderId="2" xfId="0" applyNumberFormat="1" applyFont="1" applyBorder="1" applyAlignment="1">
      <alignment horizontal="center"/>
    </xf>
    <xf numFmtId="167" fontId="35" fillId="0" borderId="20" xfId="0" applyNumberFormat="1" applyFont="1" applyBorder="1" applyAlignment="1">
      <alignment horizontal="center"/>
    </xf>
    <xf numFmtId="0" fontId="35" fillId="0" borderId="2" xfId="0" applyFont="1" applyBorder="1"/>
    <xf numFmtId="165" fontId="35" fillId="0" borderId="9" xfId="0" applyNumberFormat="1" applyFont="1" applyBorder="1" applyAlignment="1">
      <alignment horizontal="center"/>
    </xf>
    <xf numFmtId="1" fontId="35" fillId="0" borderId="45" xfId="0" applyNumberFormat="1" applyFont="1" applyBorder="1"/>
    <xf numFmtId="1" fontId="35" fillId="0" borderId="0" xfId="0" applyNumberFormat="1" applyFont="1" applyBorder="1"/>
    <xf numFmtId="0" fontId="35" fillId="0" borderId="0" xfId="0" applyFont="1" applyAlignment="1">
      <alignment horizontal="center"/>
    </xf>
    <xf numFmtId="0" fontId="21" fillId="0" borderId="32" xfId="0" applyFont="1" applyBorder="1" applyAlignment="1">
      <alignment horizontal="center"/>
    </xf>
    <xf numFmtId="0" fontId="25" fillId="0" borderId="3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5" fillId="0" borderId="8" xfId="0" applyFont="1" applyBorder="1"/>
    <xf numFmtId="0" fontId="5" fillId="10" borderId="1" xfId="0" applyFont="1" applyFill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7" borderId="7" xfId="0" applyFont="1" applyFill="1" applyBorder="1" applyAlignment="1">
      <alignment horizontal="right"/>
    </xf>
    <xf numFmtId="0" fontId="5" fillId="7" borderId="1" xfId="0" applyFont="1" applyFill="1" applyBorder="1" applyAlignment="1">
      <alignment horizontal="right"/>
    </xf>
    <xf numFmtId="0" fontId="36" fillId="0" borderId="25" xfId="0" applyFont="1" applyBorder="1" applyAlignment="1">
      <alignment horizontal="center"/>
    </xf>
    <xf numFmtId="0" fontId="36" fillId="0" borderId="66" xfId="0" applyFont="1" applyBorder="1" applyAlignment="1">
      <alignment horizontal="center"/>
    </xf>
    <xf numFmtId="0" fontId="53" fillId="0" borderId="66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0" borderId="49" xfId="0" applyFont="1" applyBorder="1"/>
    <xf numFmtId="0" fontId="3" fillId="0" borderId="44" xfId="0" applyFont="1" applyBorder="1"/>
    <xf numFmtId="0" fontId="52" fillId="0" borderId="53" xfId="0" applyFont="1" applyBorder="1"/>
    <xf numFmtId="0" fontId="52" fillId="0" borderId="6" xfId="0" applyFont="1" applyBorder="1" applyAlignment="1">
      <alignment horizontal="center"/>
    </xf>
    <xf numFmtId="0" fontId="52" fillId="0" borderId="24" xfId="0" applyFont="1" applyBorder="1"/>
    <xf numFmtId="0" fontId="4" fillId="0" borderId="6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18" xfId="0" applyFont="1" applyBorder="1" applyAlignment="1">
      <alignment horizontal="left" wrapText="1"/>
    </xf>
    <xf numFmtId="0" fontId="62" fillId="0" borderId="27" xfId="0" applyFont="1" applyBorder="1" applyAlignment="1">
      <alignment horizontal="left" wrapText="1"/>
    </xf>
    <xf numFmtId="0" fontId="62" fillId="0" borderId="18" xfId="0" applyFont="1" applyBorder="1" applyAlignment="1">
      <alignment horizontal="left" wrapText="1"/>
    </xf>
    <xf numFmtId="0" fontId="6" fillId="0" borderId="2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7" fillId="0" borderId="18" xfId="0" applyFont="1" applyBorder="1" applyAlignment="1">
      <alignment horizontal="left" wrapText="1"/>
    </xf>
    <xf numFmtId="0" fontId="4" fillId="0" borderId="77" xfId="0" applyFont="1" applyBorder="1" applyAlignment="1">
      <alignment horizontal="center" wrapText="1"/>
    </xf>
    <xf numFmtId="0" fontId="63" fillId="0" borderId="1" xfId="0" applyFont="1" applyBorder="1" applyAlignment="1">
      <alignment horizontal="left"/>
    </xf>
    <xf numFmtId="0" fontId="6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5" fillId="0" borderId="78" xfId="0" applyFont="1" applyBorder="1" applyAlignment="1">
      <alignment wrapText="1"/>
    </xf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65" fillId="0" borderId="1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30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69" fillId="0" borderId="79" xfId="0" applyFont="1" applyBorder="1" applyAlignment="1">
      <alignment horizontal="center" wrapText="1"/>
    </xf>
    <xf numFmtId="0" fontId="37" fillId="0" borderId="47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69" fillId="0" borderId="47" xfId="0" applyFont="1" applyBorder="1" applyAlignment="1">
      <alignment horizontal="center" wrapText="1"/>
    </xf>
    <xf numFmtId="0" fontId="69" fillId="0" borderId="48" xfId="0" applyFont="1" applyBorder="1" applyAlignment="1">
      <alignment horizontal="center" wrapText="1"/>
    </xf>
    <xf numFmtId="0" fontId="30" fillId="0" borderId="1" xfId="0" applyFont="1" applyBorder="1" applyAlignment="1">
      <alignment horizontal="center"/>
    </xf>
    <xf numFmtId="0" fontId="5" fillId="0" borderId="49" xfId="0" applyFont="1" applyBorder="1" applyAlignment="1">
      <alignment horizontal="center" wrapText="1"/>
    </xf>
    <xf numFmtId="0" fontId="5" fillId="0" borderId="71" xfId="0" applyFont="1" applyBorder="1" applyAlignment="1">
      <alignment horizontal="center" wrapText="1"/>
    </xf>
    <xf numFmtId="0" fontId="73" fillId="0" borderId="47" xfId="0" applyFont="1" applyBorder="1" applyAlignment="1">
      <alignment horizontal="center" wrapText="1"/>
    </xf>
    <xf numFmtId="0" fontId="74" fillId="0" borderId="47" xfId="0" applyFont="1" applyBorder="1" applyAlignment="1">
      <alignment horizontal="center" wrapText="1"/>
    </xf>
    <xf numFmtId="0" fontId="73" fillId="0" borderId="48" xfId="0" applyFont="1" applyBorder="1" applyAlignment="1">
      <alignment horizontal="center" wrapText="1"/>
    </xf>
    <xf numFmtId="0" fontId="0" fillId="0" borderId="72" xfId="0" applyBorder="1"/>
    <xf numFmtId="0" fontId="4" fillId="0" borderId="1" xfId="0" applyFont="1" applyBorder="1" applyAlignment="1">
      <alignment horizontal="center"/>
    </xf>
    <xf numFmtId="0" fontId="31" fillId="9" borderId="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9" borderId="0" xfId="0" applyFill="1" applyBorder="1" applyAlignment="1">
      <alignment horizontal="center"/>
    </xf>
    <xf numFmtId="167" fontId="0" fillId="9" borderId="9" xfId="0" applyNumberFormat="1" applyFill="1" applyBorder="1" applyAlignment="1">
      <alignment horizontal="center"/>
    </xf>
    <xf numFmtId="0" fontId="5" fillId="9" borderId="72" xfId="0" applyFont="1" applyFill="1" applyBorder="1" applyAlignment="1">
      <alignment horizontal="center" wrapText="1"/>
    </xf>
    <xf numFmtId="0" fontId="6" fillId="0" borderId="44" xfId="0" applyFont="1" applyBorder="1" applyAlignment="1">
      <alignment horizontal="center"/>
    </xf>
    <xf numFmtId="0" fontId="5" fillId="0" borderId="72" xfId="0" applyFont="1" applyBorder="1" applyAlignment="1">
      <alignment horizontal="center" wrapText="1"/>
    </xf>
    <xf numFmtId="0" fontId="76" fillId="0" borderId="1" xfId="0" applyFont="1" applyBorder="1" applyAlignment="1">
      <alignment horizontal="center"/>
    </xf>
    <xf numFmtId="0" fontId="76" fillId="0" borderId="0" xfId="0" applyFont="1"/>
    <xf numFmtId="0" fontId="76" fillId="0" borderId="9" xfId="0" applyFont="1" applyBorder="1" applyAlignment="1">
      <alignment horizontal="center"/>
    </xf>
    <xf numFmtId="0" fontId="76" fillId="0" borderId="0" xfId="0" applyFont="1" applyAlignment="1">
      <alignment horizontal="center"/>
    </xf>
    <xf numFmtId="0" fontId="76" fillId="0" borderId="0" xfId="0" applyFont="1" applyBorder="1" applyAlignment="1">
      <alignment horizontal="center"/>
    </xf>
    <xf numFmtId="167" fontId="76" fillId="0" borderId="9" xfId="0" applyNumberFormat="1" applyFont="1" applyBorder="1" applyAlignment="1">
      <alignment horizontal="center"/>
    </xf>
    <xf numFmtId="167" fontId="76" fillId="0" borderId="45" xfId="0" applyNumberFormat="1" applyFont="1" applyBorder="1" applyAlignment="1">
      <alignment horizontal="center"/>
    </xf>
    <xf numFmtId="0" fontId="76" fillId="0" borderId="72" xfId="0" applyFont="1" applyBorder="1" applyAlignment="1">
      <alignment horizontal="center" wrapText="1"/>
    </xf>
    <xf numFmtId="0" fontId="78" fillId="0" borderId="3" xfId="0" applyFont="1" applyBorder="1"/>
    <xf numFmtId="0" fontId="16" fillId="9" borderId="72" xfId="0" applyFont="1" applyFill="1" applyBorder="1" applyAlignment="1">
      <alignment horizontal="center" wrapText="1"/>
    </xf>
    <xf numFmtId="0" fontId="16" fillId="0" borderId="72" xfId="0" applyFont="1" applyBorder="1" applyAlignment="1">
      <alignment horizontal="center" wrapText="1"/>
    </xf>
    <xf numFmtId="1" fontId="6" fillId="9" borderId="44" xfId="0" applyNumberFormat="1" applyFont="1" applyFill="1" applyBorder="1" applyAlignment="1">
      <alignment horizontal="center"/>
    </xf>
    <xf numFmtId="0" fontId="16" fillId="0" borderId="72" xfId="0" applyFont="1" applyFill="1" applyBorder="1" applyAlignment="1">
      <alignment horizontal="center" wrapText="1"/>
    </xf>
    <xf numFmtId="0" fontId="6" fillId="9" borderId="53" xfId="0" applyFont="1" applyFill="1" applyBorder="1" applyAlignment="1">
      <alignment horizontal="center"/>
    </xf>
    <xf numFmtId="167" fontId="5" fillId="9" borderId="35" xfId="0" applyNumberFormat="1" applyFont="1" applyFill="1" applyBorder="1" applyAlignment="1">
      <alignment horizontal="center"/>
    </xf>
    <xf numFmtId="0" fontId="5" fillId="9" borderId="64" xfId="0" applyFont="1" applyFill="1" applyBorder="1" applyAlignment="1">
      <alignment horizontal="center" wrapText="1"/>
    </xf>
    <xf numFmtId="0" fontId="6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28" xfId="0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0" fontId="2" fillId="0" borderId="12" xfId="0" applyFont="1" applyBorder="1" applyAlignment="1">
      <alignment wrapText="1"/>
    </xf>
    <xf numFmtId="0" fontId="63" fillId="0" borderId="1" xfId="0" applyFont="1" applyBorder="1"/>
    <xf numFmtId="0" fontId="17" fillId="0" borderId="2" xfId="0" applyFont="1" applyBorder="1" applyAlignment="1">
      <alignment horizontal="center" wrapText="1"/>
    </xf>
    <xf numFmtId="0" fontId="0" fillId="0" borderId="9" xfId="0" applyBorder="1" applyAlignment="1">
      <alignment horizontal="left" wrapText="1"/>
    </xf>
    <xf numFmtId="1" fontId="6" fillId="0" borderId="0" xfId="0" applyNumberFormat="1" applyFont="1" applyAlignment="1">
      <alignment horizontal="center"/>
    </xf>
    <xf numFmtId="0" fontId="31" fillId="0" borderId="9" xfId="0" applyFont="1" applyBorder="1"/>
    <xf numFmtId="0" fontId="4" fillId="0" borderId="2" xfId="0" applyFont="1" applyBorder="1"/>
    <xf numFmtId="0" fontId="45" fillId="0" borderId="9" xfId="0" applyFont="1" applyBorder="1"/>
    <xf numFmtId="0" fontId="31" fillId="0" borderId="11" xfId="0" applyFont="1" applyBorder="1"/>
    <xf numFmtId="0" fontId="0" fillId="0" borderId="0" xfId="0" applyAlignment="1">
      <alignment wrapText="1"/>
    </xf>
    <xf numFmtId="0" fontId="5" fillId="0" borderId="12" xfId="16" applyBorder="1" applyAlignment="1">
      <alignment horizontal="center"/>
    </xf>
    <xf numFmtId="0" fontId="8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0" fontId="84" fillId="0" borderId="9" xfId="0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1" fontId="54" fillId="0" borderId="20" xfId="0" applyNumberFormat="1" applyFont="1" applyBorder="1" applyAlignment="1">
      <alignment horizontal="center"/>
    </xf>
    <xf numFmtId="0" fontId="54" fillId="0" borderId="29" xfId="0" applyFont="1" applyBorder="1" applyAlignment="1">
      <alignment horizontal="center"/>
    </xf>
    <xf numFmtId="1" fontId="54" fillId="0" borderId="75" xfId="0" applyNumberFormat="1" applyFont="1" applyBorder="1" applyAlignment="1">
      <alignment horizontal="center"/>
    </xf>
    <xf numFmtId="1" fontId="26" fillId="0" borderId="20" xfId="0" applyNumberFormat="1" applyFont="1" applyBorder="1" applyAlignment="1">
      <alignment horizontal="center"/>
    </xf>
    <xf numFmtId="1" fontId="54" fillId="0" borderId="1" xfId="0" applyNumberFormat="1" applyFont="1" applyBorder="1" applyAlignment="1">
      <alignment horizontal="center"/>
    </xf>
    <xf numFmtId="1" fontId="26" fillId="0" borderId="9" xfId="0" applyNumberFormat="1" applyFont="1" applyBorder="1" applyAlignment="1">
      <alignment horizontal="center"/>
    </xf>
    <xf numFmtId="0" fontId="54" fillId="0" borderId="9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2" fontId="54" fillId="0" borderId="2" xfId="0" applyNumberFormat="1" applyFont="1" applyBorder="1" applyAlignment="1">
      <alignment horizontal="center"/>
    </xf>
    <xf numFmtId="1" fontId="54" fillId="0" borderId="9" xfId="0" applyNumberFormat="1" applyFont="1" applyBorder="1" applyAlignment="1">
      <alignment horizontal="center"/>
    </xf>
    <xf numFmtId="167" fontId="54" fillId="0" borderId="2" xfId="0" applyNumberFormat="1" applyFont="1" applyBorder="1" applyAlignment="1">
      <alignment horizontal="center"/>
    </xf>
    <xf numFmtId="167" fontId="54" fillId="0" borderId="20" xfId="0" applyNumberFormat="1" applyFont="1" applyBorder="1" applyAlignment="1">
      <alignment horizontal="center"/>
    </xf>
    <xf numFmtId="0" fontId="54" fillId="0" borderId="2" xfId="0" applyFont="1" applyBorder="1"/>
    <xf numFmtId="165" fontId="54" fillId="0" borderId="9" xfId="0" applyNumberFormat="1" applyFont="1" applyBorder="1" applyAlignment="1">
      <alignment horizontal="center"/>
    </xf>
    <xf numFmtId="1" fontId="54" fillId="0" borderId="45" xfId="0" applyNumberFormat="1" applyFont="1" applyBorder="1"/>
    <xf numFmtId="1" fontId="54" fillId="0" borderId="0" xfId="0" applyNumberFormat="1" applyFont="1" applyBorder="1"/>
    <xf numFmtId="0" fontId="54" fillId="0" borderId="0" xfId="0" applyFont="1" applyAlignment="1">
      <alignment horizontal="center"/>
    </xf>
    <xf numFmtId="0" fontId="54" fillId="0" borderId="0" xfId="0" applyFont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167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82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53" fillId="0" borderId="1" xfId="0" applyFont="1" applyBorder="1" applyAlignment="1">
      <alignment horizontal="center"/>
    </xf>
    <xf numFmtId="167" fontId="36" fillId="0" borderId="1" xfId="0" applyNumberFormat="1" applyFont="1" applyBorder="1" applyAlignment="1">
      <alignment horizontal="center"/>
    </xf>
    <xf numFmtId="166" fontId="5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87" fillId="0" borderId="1" xfId="0" applyFont="1" applyBorder="1" applyAlignment="1">
      <alignment horizontal="center"/>
    </xf>
    <xf numFmtId="166" fontId="36" fillId="0" borderId="1" xfId="0" applyNumberFormat="1" applyFont="1" applyBorder="1" applyAlignment="1">
      <alignment horizontal="center"/>
    </xf>
    <xf numFmtId="0" fontId="0" fillId="0" borderId="1" xfId="0" applyFill="1" applyBorder="1"/>
    <xf numFmtId="167" fontId="5" fillId="0" borderId="1" xfId="0" applyNumberFormat="1" applyFont="1" applyFill="1" applyBorder="1"/>
    <xf numFmtId="1" fontId="0" fillId="0" borderId="0" xfId="0" applyNumberFormat="1" applyFill="1"/>
    <xf numFmtId="1" fontId="36" fillId="0" borderId="1" xfId="0" applyNumberFormat="1" applyFont="1" applyBorder="1" applyAlignment="1">
      <alignment horizontal="center"/>
    </xf>
    <xf numFmtId="0" fontId="82" fillId="0" borderId="1" xfId="0" applyFont="1" applyBorder="1" applyAlignment="1">
      <alignment horizontal="center" wrapText="1"/>
    </xf>
    <xf numFmtId="0" fontId="88" fillId="0" borderId="1" xfId="0" applyFont="1" applyBorder="1" applyAlignment="1">
      <alignment horizontal="center" wrapText="1"/>
    </xf>
    <xf numFmtId="0" fontId="0" fillId="0" borderId="0" xfId="0" applyFill="1" applyAlignment="1">
      <alignment wrapText="1"/>
    </xf>
    <xf numFmtId="0" fontId="16" fillId="0" borderId="1" xfId="0" applyFont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0" fontId="0" fillId="9" borderId="1" xfId="0" applyNumberFormat="1" applyFill="1" applyBorder="1" applyAlignment="1">
      <alignment horizontal="center"/>
    </xf>
    <xf numFmtId="0" fontId="76" fillId="0" borderId="1" xfId="0" applyNumberFormat="1" applyFon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30" fillId="0" borderId="1" xfId="0" applyNumberFormat="1" applyFont="1" applyBorder="1" applyAlignment="1">
      <alignment horizontal="center"/>
    </xf>
    <xf numFmtId="0" fontId="30" fillId="9" borderId="1" xfId="0" applyNumberFormat="1" applyFont="1" applyFill="1" applyBorder="1" applyAlignment="1">
      <alignment horizontal="center"/>
    </xf>
    <xf numFmtId="0" fontId="77" fillId="0" borderId="1" xfId="0" applyNumberFormat="1" applyFont="1" applyBorder="1" applyAlignment="1">
      <alignment horizontal="center"/>
    </xf>
    <xf numFmtId="0" fontId="30" fillId="0" borderId="10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0" borderId="9" xfId="0" applyNumberFormat="1" applyFont="1" applyBorder="1" applyAlignment="1">
      <alignment horizontal="center"/>
    </xf>
    <xf numFmtId="0" fontId="6" fillId="9" borderId="1" xfId="0" applyNumberFormat="1" applyFont="1" applyFill="1" applyBorder="1" applyAlignment="1">
      <alignment horizontal="center"/>
    </xf>
    <xf numFmtId="0" fontId="6" fillId="9" borderId="9" xfId="0" applyNumberFormat="1" applyFont="1" applyFill="1" applyBorder="1" applyAlignment="1">
      <alignment horizontal="center"/>
    </xf>
    <xf numFmtId="0" fontId="6" fillId="0" borderId="2" xfId="0" applyNumberFormat="1" applyFont="1" applyBorder="1" applyAlignment="1">
      <alignment horizontal="center"/>
    </xf>
    <xf numFmtId="0" fontId="6" fillId="9" borderId="2" xfId="0" applyNumberFormat="1" applyFont="1" applyFill="1" applyBorder="1" applyAlignment="1">
      <alignment horizontal="center"/>
    </xf>
    <xf numFmtId="0" fontId="76" fillId="0" borderId="2" xfId="0" applyNumberFormat="1" applyFont="1" applyBorder="1" applyAlignment="1">
      <alignment horizontal="center"/>
    </xf>
    <xf numFmtId="0" fontId="31" fillId="0" borderId="2" xfId="0" applyNumberFormat="1" applyFont="1" applyBorder="1" applyAlignment="1">
      <alignment horizontal="center"/>
    </xf>
    <xf numFmtId="0" fontId="31" fillId="0" borderId="9" xfId="0" applyNumberFormat="1" applyFont="1" applyBorder="1" applyAlignment="1">
      <alignment horizontal="center"/>
    </xf>
    <xf numFmtId="0" fontId="31" fillId="9" borderId="2" xfId="0" applyNumberFormat="1" applyFont="1" applyFill="1" applyBorder="1" applyAlignment="1">
      <alignment horizontal="center"/>
    </xf>
    <xf numFmtId="0" fontId="31" fillId="9" borderId="9" xfId="0" applyNumberFormat="1" applyFont="1" applyFill="1" applyBorder="1" applyAlignment="1">
      <alignment horizontal="center"/>
    </xf>
    <xf numFmtId="0" fontId="75" fillId="0" borderId="2" xfId="0" applyNumberFormat="1" applyFont="1" applyBorder="1" applyAlignment="1">
      <alignment horizontal="center"/>
    </xf>
    <xf numFmtId="0" fontId="75" fillId="0" borderId="9" xfId="0" applyNumberFormat="1" applyFont="1" applyBorder="1" applyAlignment="1">
      <alignment horizontal="center"/>
    </xf>
    <xf numFmtId="0" fontId="31" fillId="0" borderId="6" xfId="0" applyNumberFormat="1" applyFont="1" applyBorder="1" applyAlignment="1">
      <alignment horizontal="center"/>
    </xf>
    <xf numFmtId="0" fontId="6" fillId="0" borderId="10" xfId="0" applyNumberFormat="1" applyFont="1" applyBorder="1" applyAlignment="1">
      <alignment horizontal="center"/>
    </xf>
    <xf numFmtId="0" fontId="31" fillId="0" borderId="11" xfId="0" applyNumberFormat="1" applyFont="1" applyBorder="1" applyAlignment="1">
      <alignment horizontal="center"/>
    </xf>
    <xf numFmtId="0" fontId="6" fillId="9" borderId="44" xfId="0" applyNumberFormat="1" applyFont="1" applyFill="1" applyBorder="1" applyAlignment="1">
      <alignment horizontal="center"/>
    </xf>
    <xf numFmtId="0" fontId="6" fillId="0" borderId="44" xfId="0" applyNumberFormat="1" applyFont="1" applyBorder="1" applyAlignment="1">
      <alignment horizontal="center"/>
    </xf>
    <xf numFmtId="0" fontId="76" fillId="0" borderId="44" xfId="0" applyNumberFormat="1" applyFont="1" applyBorder="1" applyAlignment="1">
      <alignment horizontal="center"/>
    </xf>
    <xf numFmtId="0" fontId="135" fillId="0" borderId="36" xfId="83" applyBorder="1"/>
    <xf numFmtId="165" fontId="135" fillId="0" borderId="20" xfId="83" applyNumberFormat="1" applyBorder="1" applyAlignment="1">
      <alignment horizontal="center"/>
    </xf>
    <xf numFmtId="0" fontId="135" fillId="0" borderId="20" xfId="83" applyBorder="1" applyAlignment="1">
      <alignment horizontal="center" wrapText="1"/>
    </xf>
    <xf numFmtId="0" fontId="135" fillId="0" borderId="0" xfId="83"/>
    <xf numFmtId="0" fontId="135" fillId="0" borderId="18" xfId="83" applyBorder="1" applyAlignment="1">
      <alignment horizontal="center" wrapText="1"/>
    </xf>
    <xf numFmtId="0" fontId="135" fillId="0" borderId="27" xfId="83" applyBorder="1" applyAlignment="1">
      <alignment horizontal="center" wrapText="1"/>
    </xf>
    <xf numFmtId="0" fontId="135" fillId="0" borderId="0" xfId="83" applyBorder="1" applyAlignment="1">
      <alignment horizontal="center" wrapText="1"/>
    </xf>
    <xf numFmtId="0" fontId="135" fillId="0" borderId="0" xfId="83" applyBorder="1" applyAlignment="1">
      <alignment horizontal="center"/>
    </xf>
    <xf numFmtId="0" fontId="104" fillId="0" borderId="0" xfId="83" applyFont="1" applyBorder="1" applyAlignment="1">
      <alignment horizontal="center" wrapText="1"/>
    </xf>
    <xf numFmtId="0" fontId="135" fillId="0" borderId="1" xfId="83" applyBorder="1" applyAlignment="1">
      <alignment horizontal="center"/>
    </xf>
    <xf numFmtId="0" fontId="135" fillId="0" borderId="1" xfId="83" applyBorder="1" applyAlignment="1">
      <alignment horizontal="center" wrapText="1"/>
    </xf>
    <xf numFmtId="0" fontId="104" fillId="0" borderId="1" xfId="83" applyFont="1" applyBorder="1" applyAlignment="1">
      <alignment horizontal="center" wrapText="1"/>
    </xf>
    <xf numFmtId="0" fontId="91" fillId="0" borderId="1" xfId="83" applyFont="1" applyBorder="1" applyAlignment="1">
      <alignment horizontal="center" wrapText="1"/>
    </xf>
    <xf numFmtId="165" fontId="135" fillId="0" borderId="1" xfId="83" applyNumberFormat="1" applyBorder="1" applyAlignment="1">
      <alignment horizontal="center"/>
    </xf>
    <xf numFmtId="0" fontId="135" fillId="0" borderId="2" xfId="83" applyBorder="1" applyAlignment="1">
      <alignment horizontal="center" wrapText="1"/>
    </xf>
    <xf numFmtId="0" fontId="135" fillId="0" borderId="2" xfId="83" applyBorder="1" applyAlignment="1">
      <alignment horizontal="center"/>
    </xf>
    <xf numFmtId="1" fontId="135" fillId="0" borderId="1" xfId="83" applyNumberFormat="1" applyBorder="1" applyAlignment="1">
      <alignment horizontal="center"/>
    </xf>
    <xf numFmtId="0" fontId="135" fillId="0" borderId="0" xfId="83" applyFill="1" applyBorder="1" applyAlignment="1">
      <alignment horizontal="center" wrapText="1"/>
    </xf>
    <xf numFmtId="0" fontId="107" fillId="0" borderId="0" xfId="83" applyFont="1" applyFill="1" applyBorder="1" applyAlignment="1">
      <alignment horizontal="center" wrapText="1"/>
    </xf>
    <xf numFmtId="0" fontId="103" fillId="0" borderId="0" xfId="83" applyFont="1"/>
    <xf numFmtId="0" fontId="135" fillId="0" borderId="1" xfId="83" applyBorder="1"/>
    <xf numFmtId="0" fontId="135" fillId="0" borderId="27" xfId="83" applyBorder="1" applyAlignment="1">
      <alignment horizontal="center"/>
    </xf>
    <xf numFmtId="0" fontId="104" fillId="0" borderId="1" xfId="83" applyFont="1" applyBorder="1" applyAlignment="1">
      <alignment horizontal="center"/>
    </xf>
    <xf numFmtId="1" fontId="104" fillId="0" borderId="1" xfId="83" applyNumberFormat="1" applyFont="1" applyBorder="1" applyAlignment="1">
      <alignment horizontal="center"/>
    </xf>
    <xf numFmtId="166" fontId="104" fillId="0" borderId="1" xfId="83" applyNumberFormat="1" applyFont="1" applyBorder="1" applyAlignment="1">
      <alignment horizontal="center"/>
    </xf>
    <xf numFmtId="165" fontId="104" fillId="0" borderId="1" xfId="83" applyNumberFormat="1" applyFont="1" applyBorder="1" applyAlignment="1">
      <alignment horizontal="center"/>
    </xf>
    <xf numFmtId="0" fontId="104" fillId="0" borderId="2" xfId="83" applyFont="1" applyBorder="1" applyAlignment="1">
      <alignment horizontal="center" wrapText="1"/>
    </xf>
    <xf numFmtId="0" fontId="108" fillId="0" borderId="9" xfId="83" applyFont="1" applyBorder="1" applyAlignment="1">
      <alignment horizontal="center" wrapText="1"/>
    </xf>
    <xf numFmtId="0" fontId="103" fillId="0" borderId="9" xfId="83" applyFont="1" applyBorder="1" applyAlignment="1">
      <alignment horizontal="center" wrapText="1"/>
    </xf>
    <xf numFmtId="0" fontId="104" fillId="0" borderId="2" xfId="83" applyFont="1" applyBorder="1" applyAlignment="1">
      <alignment horizontal="center"/>
    </xf>
    <xf numFmtId="0" fontId="103" fillId="0" borderId="9" xfId="83" applyFont="1" applyBorder="1" applyAlignment="1">
      <alignment horizontal="center"/>
    </xf>
    <xf numFmtId="0" fontId="104" fillId="0" borderId="6" xfId="83" applyFont="1" applyBorder="1"/>
    <xf numFmtId="0" fontId="103" fillId="0" borderId="11" xfId="83" applyFont="1" applyBorder="1"/>
    <xf numFmtId="0" fontId="107" fillId="0" borderId="2" xfId="83" applyFont="1" applyBorder="1" applyAlignment="1">
      <alignment horizontal="center" wrapText="1"/>
    </xf>
    <xf numFmtId="0" fontId="109" fillId="0" borderId="2" xfId="83" applyFont="1" applyBorder="1" applyAlignment="1">
      <alignment horizontal="center" wrapText="1"/>
    </xf>
    <xf numFmtId="0" fontId="135" fillId="0" borderId="6" xfId="83" applyBorder="1"/>
    <xf numFmtId="0" fontId="135" fillId="0" borderId="10" xfId="83" applyBorder="1"/>
    <xf numFmtId="0" fontId="104" fillId="0" borderId="10" xfId="83" applyFont="1" applyBorder="1"/>
    <xf numFmtId="165" fontId="135" fillId="0" borderId="0" xfId="83" applyNumberFormat="1" applyBorder="1" applyAlignment="1">
      <alignment horizontal="center"/>
    </xf>
    <xf numFmtId="0" fontId="135" fillId="0" borderId="0" xfId="83" applyBorder="1"/>
    <xf numFmtId="165" fontId="104" fillId="0" borderId="0" xfId="83" applyNumberFormat="1" applyFont="1" applyBorder="1" applyAlignment="1">
      <alignment horizontal="center"/>
    </xf>
    <xf numFmtId="0" fontId="104" fillId="0" borderId="0" xfId="83" applyFont="1" applyBorder="1"/>
    <xf numFmtId="0" fontId="108" fillId="0" borderId="75" xfId="83" applyFont="1" applyBorder="1" applyAlignment="1">
      <alignment horizontal="center" wrapText="1"/>
    </xf>
    <xf numFmtId="0" fontId="103" fillId="0" borderId="75" xfId="83" applyFont="1" applyBorder="1" applyAlignment="1">
      <alignment horizontal="center" wrapText="1"/>
    </xf>
    <xf numFmtId="0" fontId="103" fillId="0" borderId="75" xfId="83" applyFont="1" applyBorder="1" applyAlignment="1">
      <alignment horizontal="center"/>
    </xf>
    <xf numFmtId="0" fontId="103" fillId="0" borderId="60" xfId="83" applyFont="1" applyBorder="1"/>
    <xf numFmtId="0" fontId="108" fillId="0" borderId="27" xfId="83" applyFont="1" applyBorder="1" applyAlignment="1">
      <alignment horizontal="center" wrapText="1"/>
    </xf>
    <xf numFmtId="165" fontId="104" fillId="0" borderId="1" xfId="83" applyNumberFormat="1" applyFont="1" applyBorder="1" applyAlignment="1">
      <alignment horizontal="center" wrapText="1"/>
    </xf>
    <xf numFmtId="44" fontId="91" fillId="0" borderId="43" xfId="3" applyFont="1" applyBorder="1" applyAlignment="1">
      <alignment horizontal="center"/>
    </xf>
    <xf numFmtId="44" fontId="91" fillId="0" borderId="45" xfId="3" applyFont="1" applyBorder="1" applyAlignment="1">
      <alignment horizontal="center" wrapText="1"/>
    </xf>
    <xf numFmtId="44" fontId="91" fillId="0" borderId="45" xfId="3" applyFont="1" applyBorder="1" applyAlignment="1">
      <alignment horizontal="center"/>
    </xf>
    <xf numFmtId="44" fontId="91" fillId="0" borderId="35" xfId="3" applyFont="1" applyBorder="1"/>
    <xf numFmtId="0" fontId="104" fillId="0" borderId="20" xfId="83" applyFont="1" applyBorder="1" applyAlignment="1">
      <alignment horizontal="center" wrapText="1"/>
    </xf>
    <xf numFmtId="165" fontId="104" fillId="0" borderId="20" xfId="83" applyNumberFormat="1" applyFont="1" applyBorder="1" applyAlignment="1">
      <alignment horizontal="center" wrapText="1"/>
    </xf>
    <xf numFmtId="165" fontId="104" fillId="0" borderId="20" xfId="83" applyNumberFormat="1" applyFont="1" applyBorder="1" applyAlignment="1">
      <alignment horizontal="center"/>
    </xf>
    <xf numFmtId="0" fontId="104" fillId="0" borderId="36" xfId="83" applyFont="1" applyBorder="1"/>
    <xf numFmtId="44" fontId="104" fillId="0" borderId="45" xfId="3" applyFont="1" applyBorder="1" applyAlignment="1">
      <alignment horizontal="center" wrapText="1"/>
    </xf>
    <xf numFmtId="44" fontId="104" fillId="0" borderId="45" xfId="3" applyFont="1" applyBorder="1" applyAlignment="1">
      <alignment horizontal="center"/>
    </xf>
    <xf numFmtId="44" fontId="104" fillId="0" borderId="35" xfId="3" applyFont="1" applyBorder="1"/>
    <xf numFmtId="44" fontId="3" fillId="0" borderId="1" xfId="0" applyNumberFormat="1" applyFont="1" applyBorder="1" applyAlignment="1">
      <alignment horizontal="center"/>
    </xf>
    <xf numFmtId="0" fontId="25" fillId="0" borderId="0" xfId="0" applyFont="1" applyAlignment="1">
      <alignment horizontal="left" wrapText="1"/>
    </xf>
    <xf numFmtId="0" fontId="6" fillId="0" borderId="6" xfId="0" applyNumberFormat="1" applyFont="1" applyBorder="1" applyAlignment="1">
      <alignment horizontal="center"/>
    </xf>
    <xf numFmtId="44" fontId="91" fillId="0" borderId="43" xfId="3" applyFont="1" applyBorder="1" applyAlignment="1">
      <alignment horizontal="center" wrapText="1"/>
    </xf>
    <xf numFmtId="44" fontId="91" fillId="0" borderId="1" xfId="5" applyFont="1" applyBorder="1"/>
    <xf numFmtId="44" fontId="91" fillId="0" borderId="1" xfId="5" applyFont="1" applyBorder="1" applyAlignment="1">
      <alignment horizontal="center"/>
    </xf>
    <xf numFmtId="0" fontId="135" fillId="0" borderId="1" xfId="10" applyBorder="1" applyAlignment="1">
      <alignment wrapText="1"/>
    </xf>
    <xf numFmtId="0" fontId="135" fillId="0" borderId="0" xfId="10"/>
    <xf numFmtId="0" fontId="135" fillId="0" borderId="0" xfId="10" applyAlignment="1">
      <alignment horizontal="center"/>
    </xf>
    <xf numFmtId="0" fontId="135" fillId="0" borderId="1" xfId="10" applyBorder="1"/>
    <xf numFmtId="0" fontId="5" fillId="0" borderId="1" xfId="9" applyFont="1" applyBorder="1" applyAlignment="1">
      <alignment horizontal="center"/>
    </xf>
    <xf numFmtId="0" fontId="3" fillId="0" borderId="1" xfId="9" applyFont="1" applyBorder="1" applyAlignment="1">
      <alignment horizontal="center"/>
    </xf>
    <xf numFmtId="167" fontId="3" fillId="0" borderId="1" xfId="9" applyNumberFormat="1" applyFont="1" applyBorder="1" applyAlignment="1">
      <alignment horizontal="center"/>
    </xf>
    <xf numFmtId="0" fontId="5" fillId="0" borderId="1" xfId="9" applyBorder="1" applyAlignment="1">
      <alignment horizontal="center" wrapText="1"/>
    </xf>
    <xf numFmtId="165" fontId="3" fillId="0" borderId="1" xfId="9" applyNumberFormat="1" applyFont="1" applyBorder="1" applyAlignment="1">
      <alignment horizontal="center"/>
    </xf>
    <xf numFmtId="1" fontId="3" fillId="0" borderId="1" xfId="9" applyNumberFormat="1" applyFont="1" applyBorder="1" applyAlignment="1">
      <alignment horizontal="center"/>
    </xf>
    <xf numFmtId="0" fontId="82" fillId="0" borderId="1" xfId="9" applyFont="1" applyBorder="1" applyAlignment="1">
      <alignment horizontal="center" wrapText="1"/>
    </xf>
    <xf numFmtId="165" fontId="3" fillId="0" borderId="0" xfId="9" applyNumberFormat="1" applyFont="1" applyBorder="1" applyAlignment="1">
      <alignment horizontal="center"/>
    </xf>
    <xf numFmtId="167" fontId="135" fillId="0" borderId="1" xfId="12" applyNumberFormat="1" applyBorder="1"/>
    <xf numFmtId="0" fontId="93" fillId="0" borderId="1" xfId="12" applyFont="1" applyBorder="1" applyAlignment="1">
      <alignment horizontal="center"/>
    </xf>
    <xf numFmtId="165" fontId="104" fillId="0" borderId="11" xfId="12" applyNumberFormat="1" applyFont="1" applyBorder="1" applyAlignment="1">
      <alignment horizontal="center"/>
    </xf>
    <xf numFmtId="165" fontId="104" fillId="0" borderId="10" xfId="12" applyNumberFormat="1" applyFont="1" applyBorder="1" applyAlignment="1">
      <alignment horizontal="center"/>
    </xf>
    <xf numFmtId="0" fontId="135" fillId="0" borderId="0" xfId="12"/>
    <xf numFmtId="0" fontId="103" fillId="0" borderId="0" xfId="12" applyFont="1" applyAlignment="1">
      <alignment horizontal="center"/>
    </xf>
    <xf numFmtId="0" fontId="135" fillId="0" borderId="0" xfId="12" applyAlignment="1">
      <alignment horizontal="center"/>
    </xf>
    <xf numFmtId="167" fontId="135" fillId="0" borderId="0" xfId="12" applyNumberFormat="1" applyAlignment="1">
      <alignment horizontal="center"/>
    </xf>
    <xf numFmtId="165" fontId="135" fillId="0" borderId="0" xfId="12" applyNumberFormat="1" applyAlignment="1">
      <alignment horizontal="center"/>
    </xf>
    <xf numFmtId="0" fontId="5" fillId="0" borderId="0" xfId="16" applyBorder="1" applyAlignment="1">
      <alignment horizontal="center"/>
    </xf>
    <xf numFmtId="0" fontId="92" fillId="0" borderId="0" xfId="12" applyFont="1" applyAlignment="1">
      <alignment horizontal="center"/>
    </xf>
    <xf numFmtId="165" fontId="92" fillId="0" borderId="0" xfId="12" applyNumberFormat="1" applyFont="1" applyBorder="1" applyAlignment="1">
      <alignment horizontal="center"/>
    </xf>
    <xf numFmtId="165" fontId="92" fillId="0" borderId="0" xfId="12" applyNumberFormat="1" applyFont="1" applyAlignment="1">
      <alignment horizontal="center"/>
    </xf>
    <xf numFmtId="0" fontId="135" fillId="0" borderId="1" xfId="12" applyBorder="1" applyAlignment="1">
      <alignment horizontal="center"/>
    </xf>
    <xf numFmtId="0" fontId="104" fillId="0" borderId="1" xfId="12" applyFont="1" applyBorder="1" applyAlignment="1">
      <alignment horizontal="center" wrapText="1"/>
    </xf>
    <xf numFmtId="167" fontId="135" fillId="0" borderId="1" xfId="12" applyNumberFormat="1" applyBorder="1" applyAlignment="1">
      <alignment horizontal="center"/>
    </xf>
    <xf numFmtId="0" fontId="135" fillId="0" borderId="21" xfId="12" applyBorder="1" applyAlignment="1">
      <alignment horizontal="center" wrapText="1"/>
    </xf>
    <xf numFmtId="0" fontId="135" fillId="0" borderId="12" xfId="12" applyBorder="1" applyAlignment="1">
      <alignment horizontal="center" wrapText="1"/>
    </xf>
    <xf numFmtId="0" fontId="135" fillId="0" borderId="2" xfId="12" applyBorder="1" applyAlignment="1">
      <alignment horizontal="center"/>
    </xf>
    <xf numFmtId="0" fontId="135" fillId="0" borderId="9" xfId="12" applyBorder="1" applyAlignment="1">
      <alignment horizontal="center"/>
    </xf>
    <xf numFmtId="0" fontId="104" fillId="0" borderId="9" xfId="12" applyFont="1" applyBorder="1" applyAlignment="1">
      <alignment horizontal="center" wrapText="1"/>
    </xf>
    <xf numFmtId="0" fontId="92" fillId="0" borderId="1" xfId="12" applyFont="1" applyBorder="1" applyAlignment="1">
      <alignment horizontal="center"/>
    </xf>
    <xf numFmtId="0" fontId="104" fillId="0" borderId="12" xfId="12" applyFont="1" applyBorder="1" applyAlignment="1">
      <alignment horizontal="center" wrapText="1"/>
    </xf>
    <xf numFmtId="0" fontId="135" fillId="0" borderId="13" xfId="12" applyBorder="1" applyAlignment="1">
      <alignment horizontal="center" wrapText="1"/>
    </xf>
    <xf numFmtId="0" fontId="103" fillId="0" borderId="12" xfId="12" applyFont="1" applyBorder="1" applyAlignment="1">
      <alignment horizontal="center" wrapText="1"/>
    </xf>
    <xf numFmtId="165" fontId="92" fillId="0" borderId="1" xfId="12" applyNumberFormat="1" applyFont="1" applyBorder="1" applyAlignment="1">
      <alignment horizontal="center"/>
    </xf>
    <xf numFmtId="0" fontId="135" fillId="0" borderId="1" xfId="12" applyBorder="1"/>
    <xf numFmtId="0" fontId="104" fillId="0" borderId="1" xfId="12" applyFont="1" applyBorder="1" applyAlignment="1">
      <alignment horizontal="center"/>
    </xf>
    <xf numFmtId="1" fontId="104" fillId="0" borderId="1" xfId="12" applyNumberFormat="1" applyFont="1" applyBorder="1" applyAlignment="1">
      <alignment horizontal="center"/>
    </xf>
    <xf numFmtId="165" fontId="104" fillId="0" borderId="1" xfId="12" applyNumberFormat="1" applyFont="1" applyBorder="1" applyAlignment="1">
      <alignment horizontal="center"/>
    </xf>
    <xf numFmtId="0" fontId="104" fillId="0" borderId="2" xfId="12" applyFont="1" applyBorder="1" applyAlignment="1">
      <alignment horizontal="center" wrapText="1"/>
    </xf>
    <xf numFmtId="0" fontId="104" fillId="0" borderId="2" xfId="12" applyFont="1" applyBorder="1" applyAlignment="1">
      <alignment horizontal="center"/>
    </xf>
    <xf numFmtId="165" fontId="104" fillId="0" borderId="9" xfId="12" applyNumberFormat="1" applyFont="1" applyBorder="1" applyAlignment="1">
      <alignment horizontal="center"/>
    </xf>
    <xf numFmtId="165" fontId="104" fillId="0" borderId="0" xfId="12" applyNumberFormat="1" applyFont="1" applyBorder="1" applyAlignment="1">
      <alignment horizontal="center"/>
    </xf>
    <xf numFmtId="0" fontId="103" fillId="0" borderId="2" xfId="12" applyFont="1" applyBorder="1" applyAlignment="1">
      <alignment horizontal="center"/>
    </xf>
    <xf numFmtId="1" fontId="103" fillId="0" borderId="1" xfId="12" applyNumberFormat="1" applyFont="1" applyBorder="1" applyAlignment="1">
      <alignment horizontal="center"/>
    </xf>
    <xf numFmtId="0" fontId="103" fillId="0" borderId="1" xfId="12" applyFont="1" applyBorder="1" applyAlignment="1">
      <alignment horizontal="center"/>
    </xf>
    <xf numFmtId="165" fontId="103" fillId="0" borderId="1" xfId="12" applyNumberFormat="1" applyFont="1" applyBorder="1" applyAlignment="1">
      <alignment horizontal="center"/>
    </xf>
    <xf numFmtId="165" fontId="103" fillId="0" borderId="9" xfId="12" applyNumberFormat="1" applyFont="1" applyBorder="1" applyAlignment="1">
      <alignment horizontal="center"/>
    </xf>
    <xf numFmtId="2" fontId="103" fillId="0" borderId="1" xfId="12" applyNumberFormat="1" applyFont="1" applyBorder="1" applyAlignment="1">
      <alignment horizontal="center"/>
    </xf>
    <xf numFmtId="2" fontId="104" fillId="0" borderId="1" xfId="12" applyNumberFormat="1" applyFont="1" applyBorder="1" applyAlignment="1">
      <alignment horizontal="center"/>
    </xf>
    <xf numFmtId="167" fontId="135" fillId="0" borderId="0" xfId="12" applyNumberFormat="1"/>
    <xf numFmtId="166" fontId="108" fillId="0" borderId="1" xfId="12" applyNumberFormat="1" applyFont="1" applyBorder="1" applyAlignment="1">
      <alignment horizontal="center"/>
    </xf>
    <xf numFmtId="0" fontId="104" fillId="0" borderId="0" xfId="12" applyFont="1" applyBorder="1" applyAlignment="1">
      <alignment horizontal="center"/>
    </xf>
    <xf numFmtId="1" fontId="104" fillId="0" borderId="0" xfId="12" applyNumberFormat="1" applyFont="1" applyBorder="1" applyAlignment="1">
      <alignment horizontal="center"/>
    </xf>
    <xf numFmtId="166" fontId="108" fillId="0" borderId="0" xfId="12" applyNumberFormat="1" applyFont="1" applyBorder="1" applyAlignment="1">
      <alignment horizontal="center"/>
    </xf>
    <xf numFmtId="165" fontId="135" fillId="0" borderId="20" xfId="14" applyNumberFormat="1" applyBorder="1" applyAlignment="1">
      <alignment horizontal="center"/>
    </xf>
    <xf numFmtId="0" fontId="135" fillId="0" borderId="1" xfId="14" applyBorder="1" applyAlignment="1">
      <alignment horizontal="center"/>
    </xf>
    <xf numFmtId="167" fontId="135" fillId="0" borderId="1" xfId="14" applyNumberFormat="1" applyBorder="1" applyAlignment="1">
      <alignment horizontal="center"/>
    </xf>
    <xf numFmtId="166" fontId="108" fillId="0" borderId="10" xfId="12" applyNumberFormat="1" applyFont="1" applyBorder="1" applyAlignment="1">
      <alignment horizontal="center"/>
    </xf>
    <xf numFmtId="0" fontId="104" fillId="0" borderId="10" xfId="12" applyFont="1" applyBorder="1" applyAlignment="1">
      <alignment horizontal="center"/>
    </xf>
    <xf numFmtId="1" fontId="104" fillId="0" borderId="10" xfId="12" applyNumberFormat="1" applyFont="1" applyBorder="1" applyAlignment="1">
      <alignment horizontal="center"/>
    </xf>
    <xf numFmtId="0" fontId="104" fillId="0" borderId="6" xfId="12" applyFont="1" applyBorder="1" applyAlignment="1">
      <alignment horizontal="center"/>
    </xf>
    <xf numFmtId="0" fontId="5" fillId="0" borderId="1" xfId="16" applyBorder="1" applyAlignment="1">
      <alignment horizontal="center"/>
    </xf>
    <xf numFmtId="167" fontId="135" fillId="0" borderId="29" xfId="23" applyNumberFormat="1" applyBorder="1" applyAlignment="1">
      <alignment horizontal="center"/>
    </xf>
    <xf numFmtId="167" fontId="5" fillId="0" borderId="1" xfId="16" applyNumberFormat="1" applyBorder="1" applyAlignment="1">
      <alignment horizontal="center"/>
    </xf>
    <xf numFmtId="0" fontId="135" fillId="0" borderId="7" xfId="12" applyBorder="1" applyAlignment="1">
      <alignment horizontal="center"/>
    </xf>
    <xf numFmtId="0" fontId="135" fillId="0" borderId="7" xfId="14" applyBorder="1" applyAlignment="1">
      <alignment horizontal="center"/>
    </xf>
    <xf numFmtId="0" fontId="5" fillId="0" borderId="7" xfId="16" applyBorder="1" applyAlignment="1">
      <alignment horizontal="center"/>
    </xf>
    <xf numFmtId="167" fontId="135" fillId="0" borderId="7" xfId="14" applyNumberFormat="1" applyBorder="1" applyAlignment="1">
      <alignment horizontal="center"/>
    </xf>
    <xf numFmtId="165" fontId="135" fillId="0" borderId="40" xfId="14" applyNumberFormat="1" applyBorder="1" applyAlignment="1">
      <alignment horizontal="center"/>
    </xf>
    <xf numFmtId="0" fontId="135" fillId="0" borderId="38" xfId="12" applyBorder="1" applyAlignment="1">
      <alignment horizontal="center"/>
    </xf>
    <xf numFmtId="0" fontId="135" fillId="0" borderId="39" xfId="12" applyBorder="1" applyAlignment="1">
      <alignment horizontal="center"/>
    </xf>
    <xf numFmtId="167" fontId="135" fillId="0" borderId="42" xfId="23" applyNumberFormat="1" applyBorder="1" applyAlignment="1">
      <alignment horizontal="center"/>
    </xf>
    <xf numFmtId="167" fontId="135" fillId="0" borderId="7" xfId="12" applyNumberFormat="1" applyBorder="1" applyAlignment="1">
      <alignment horizontal="center"/>
    </xf>
    <xf numFmtId="165" fontId="92" fillId="0" borderId="7" xfId="12" applyNumberFormat="1" applyFont="1" applyBorder="1" applyAlignment="1">
      <alignment horizontal="center"/>
    </xf>
    <xf numFmtId="167" fontId="135" fillId="0" borderId="7" xfId="12" applyNumberFormat="1" applyBorder="1"/>
    <xf numFmtId="0" fontId="135" fillId="0" borderId="7" xfId="12" applyBorder="1"/>
    <xf numFmtId="0" fontId="108" fillId="0" borderId="12" xfId="12" applyFont="1" applyBorder="1" applyAlignment="1">
      <alignment horizontal="center" wrapText="1"/>
    </xf>
    <xf numFmtId="0" fontId="105" fillId="0" borderId="12" xfId="12" applyFont="1" applyBorder="1" applyAlignment="1">
      <alignment horizontal="center" wrapText="1"/>
    </xf>
    <xf numFmtId="0" fontId="104" fillId="0" borderId="22" xfId="12" applyFont="1" applyBorder="1" applyAlignment="1">
      <alignment horizontal="center" wrapText="1"/>
    </xf>
    <xf numFmtId="0" fontId="105" fillId="0" borderId="23" xfId="12" applyFont="1" applyBorder="1" applyAlignment="1">
      <alignment horizontal="center" wrapText="1"/>
    </xf>
    <xf numFmtId="0" fontId="106" fillId="0" borderId="12" xfId="12" applyFont="1" applyBorder="1" applyAlignment="1">
      <alignment horizontal="center" wrapText="1"/>
    </xf>
    <xf numFmtId="0" fontId="105" fillId="0" borderId="13" xfId="12" applyFont="1" applyBorder="1" applyAlignment="1">
      <alignment horizontal="center" wrapText="1"/>
    </xf>
    <xf numFmtId="0" fontId="135" fillId="0" borderId="6" xfId="12" applyBorder="1" applyAlignment="1">
      <alignment horizontal="center" wrapText="1"/>
    </xf>
    <xf numFmtId="0" fontId="135" fillId="0" borderId="10" xfId="12" applyBorder="1" applyAlignment="1">
      <alignment horizontal="center" wrapText="1"/>
    </xf>
    <xf numFmtId="0" fontId="104" fillId="0" borderId="10" xfId="12" applyFont="1" applyBorder="1" applyAlignment="1">
      <alignment horizontal="center" wrapText="1"/>
    </xf>
    <xf numFmtId="0" fontId="104" fillId="0" borderId="36" xfId="12" applyFont="1" applyBorder="1" applyAlignment="1">
      <alignment horizontal="center" wrapText="1"/>
    </xf>
    <xf numFmtId="0" fontId="91" fillId="0" borderId="10" xfId="12" applyFont="1" applyBorder="1" applyAlignment="1">
      <alignment horizontal="center" wrapText="1"/>
    </xf>
    <xf numFmtId="0" fontId="135" fillId="0" borderId="11" xfId="12" applyBorder="1" applyAlignment="1">
      <alignment horizontal="center" wrapText="1"/>
    </xf>
    <xf numFmtId="0" fontId="104" fillId="0" borderId="30" xfId="12" applyFont="1" applyBorder="1" applyAlignment="1">
      <alignment horizontal="center" wrapText="1"/>
    </xf>
    <xf numFmtId="0" fontId="92" fillId="0" borderId="10" xfId="12" applyFont="1" applyBorder="1" applyAlignment="1">
      <alignment horizontal="center" wrapText="1"/>
    </xf>
    <xf numFmtId="0" fontId="110" fillId="0" borderId="12" xfId="12" applyFont="1" applyBorder="1" applyAlignment="1">
      <alignment horizontal="center" wrapText="1"/>
    </xf>
    <xf numFmtId="0" fontId="105" fillId="0" borderId="1" xfId="25" applyFont="1" applyBorder="1" applyAlignment="1">
      <alignment horizontal="center" wrapText="1"/>
    </xf>
    <xf numFmtId="166" fontId="137" fillId="0" borderId="7" xfId="27" applyNumberFormat="1" applyFont="1" applyBorder="1" applyAlignment="1">
      <alignment horizontal="center"/>
    </xf>
    <xf numFmtId="0" fontId="135" fillId="0" borderId="10" xfId="27" applyBorder="1" applyAlignment="1">
      <alignment horizontal="center" wrapText="1"/>
    </xf>
    <xf numFmtId="0" fontId="137" fillId="0" borderId="10" xfId="27" applyFont="1" applyBorder="1" applyAlignment="1">
      <alignment horizontal="center" wrapText="1"/>
    </xf>
    <xf numFmtId="165" fontId="139" fillId="0" borderId="10" xfId="27" applyNumberFormat="1" applyFont="1" applyBorder="1" applyAlignment="1">
      <alignment horizontal="center"/>
    </xf>
    <xf numFmtId="0" fontId="139" fillId="0" borderId="10" xfId="27" applyFont="1" applyBorder="1" applyAlignment="1">
      <alignment horizontal="center" wrapText="1"/>
    </xf>
    <xf numFmtId="0" fontId="139" fillId="0" borderId="6" xfId="27" applyFont="1" applyBorder="1" applyAlignment="1">
      <alignment horizontal="center" wrapText="1"/>
    </xf>
    <xf numFmtId="0" fontId="135" fillId="0" borderId="0" xfId="27"/>
    <xf numFmtId="0" fontId="135" fillId="0" borderId="0" xfId="27" applyAlignment="1">
      <alignment wrapText="1"/>
    </xf>
    <xf numFmtId="0" fontId="135" fillId="0" borderId="0" xfId="27" applyAlignment="1">
      <alignment horizontal="center"/>
    </xf>
    <xf numFmtId="0" fontId="137" fillId="0" borderId="0" xfId="27" applyFont="1" applyAlignment="1">
      <alignment horizontal="center"/>
    </xf>
    <xf numFmtId="0" fontId="140" fillId="0" borderId="0" xfId="27" applyFont="1" applyAlignment="1">
      <alignment horizontal="center" wrapText="1"/>
    </xf>
    <xf numFmtId="0" fontId="135" fillId="0" borderId="1" xfId="27" applyBorder="1" applyAlignment="1">
      <alignment horizontal="center"/>
    </xf>
    <xf numFmtId="0" fontId="135" fillId="0" borderId="1" xfId="27" applyBorder="1" applyAlignment="1">
      <alignment horizontal="center" wrapText="1"/>
    </xf>
    <xf numFmtId="0" fontId="141" fillId="0" borderId="1" xfId="27" applyFont="1" applyBorder="1" applyAlignment="1">
      <alignment horizontal="center" wrapText="1"/>
    </xf>
    <xf numFmtId="0" fontId="142" fillId="0" borderId="1" xfId="27" applyFont="1" applyBorder="1" applyAlignment="1">
      <alignment horizontal="center" wrapText="1"/>
    </xf>
    <xf numFmtId="0" fontId="137" fillId="0" borderId="1" xfId="27" applyFont="1" applyBorder="1" applyAlignment="1">
      <alignment horizontal="center" wrapText="1"/>
    </xf>
    <xf numFmtId="0" fontId="143" fillId="0" borderId="1" xfId="27" applyFont="1" applyBorder="1" applyAlignment="1">
      <alignment horizontal="center" wrapText="1"/>
    </xf>
    <xf numFmtId="0" fontId="135" fillId="0" borderId="1" xfId="27" applyFont="1" applyBorder="1" applyAlignment="1">
      <alignment horizontal="center" wrapText="1"/>
    </xf>
    <xf numFmtId="167" fontId="135" fillId="0" borderId="1" xfId="27" applyNumberFormat="1" applyBorder="1" applyAlignment="1">
      <alignment horizontal="center"/>
    </xf>
    <xf numFmtId="165" fontId="135" fillId="0" borderId="1" xfId="27" applyNumberFormat="1" applyBorder="1" applyAlignment="1">
      <alignment horizontal="center"/>
    </xf>
    <xf numFmtId="0" fontId="135" fillId="0" borderId="21" xfId="27" applyBorder="1" applyAlignment="1">
      <alignment horizontal="center" wrapText="1"/>
    </xf>
    <xf numFmtId="0" fontId="135" fillId="0" borderId="12" xfId="27" applyBorder="1" applyAlignment="1">
      <alignment horizontal="center" wrapText="1"/>
    </xf>
    <xf numFmtId="0" fontId="135" fillId="0" borderId="2" xfId="27" applyBorder="1" applyAlignment="1">
      <alignment horizontal="center" wrapText="1"/>
    </xf>
    <xf numFmtId="0" fontId="135" fillId="0" borderId="9" xfId="27" applyBorder="1" applyAlignment="1">
      <alignment horizontal="center" wrapText="1"/>
    </xf>
    <xf numFmtId="0" fontId="135" fillId="0" borderId="9" xfId="27" applyBorder="1" applyAlignment="1">
      <alignment horizontal="center"/>
    </xf>
    <xf numFmtId="167" fontId="135" fillId="0" borderId="10" xfId="27" applyNumberFormat="1" applyBorder="1" applyAlignment="1">
      <alignment horizontal="center"/>
    </xf>
    <xf numFmtId="165" fontId="135" fillId="0" borderId="10" xfId="27" applyNumberFormat="1" applyBorder="1" applyAlignment="1">
      <alignment horizontal="center"/>
    </xf>
    <xf numFmtId="0" fontId="135" fillId="0" borderId="10" xfId="27" applyBorder="1" applyAlignment="1">
      <alignment horizontal="center"/>
    </xf>
    <xf numFmtId="0" fontId="135" fillId="0" borderId="11" xfId="27" applyBorder="1" applyAlignment="1">
      <alignment horizontal="center"/>
    </xf>
    <xf numFmtId="0" fontId="142" fillId="0" borderId="9" xfId="27" applyFont="1" applyBorder="1" applyAlignment="1">
      <alignment horizontal="center" wrapText="1"/>
    </xf>
    <xf numFmtId="167" fontId="135" fillId="0" borderId="9" xfId="27" applyNumberFormat="1" applyBorder="1" applyAlignment="1">
      <alignment horizontal="center"/>
    </xf>
    <xf numFmtId="167" fontId="135" fillId="0" borderId="11" xfId="27" applyNumberFormat="1" applyBorder="1" applyAlignment="1">
      <alignment horizontal="center"/>
    </xf>
    <xf numFmtId="0" fontId="135" fillId="0" borderId="66" xfId="27" applyBorder="1" applyAlignment="1">
      <alignment horizontal="center" wrapText="1"/>
    </xf>
    <xf numFmtId="0" fontId="137" fillId="0" borderId="2" xfId="27" applyFont="1" applyBorder="1" applyAlignment="1">
      <alignment horizontal="center" wrapText="1"/>
    </xf>
    <xf numFmtId="0" fontId="137" fillId="0" borderId="2" xfId="27" applyFont="1" applyBorder="1" applyAlignment="1">
      <alignment horizontal="center"/>
    </xf>
    <xf numFmtId="0" fontId="137" fillId="0" borderId="6" xfId="27" applyFont="1" applyBorder="1" applyAlignment="1">
      <alignment horizontal="center"/>
    </xf>
    <xf numFmtId="0" fontId="137" fillId="0" borderId="1" xfId="27" applyFont="1" applyBorder="1" applyAlignment="1">
      <alignment horizontal="center"/>
    </xf>
    <xf numFmtId="0" fontId="137" fillId="0" borderId="10" xfId="27" applyFont="1" applyBorder="1" applyAlignment="1">
      <alignment horizontal="center"/>
    </xf>
    <xf numFmtId="1" fontId="135" fillId="0" borderId="1" xfId="27" applyNumberFormat="1" applyBorder="1" applyAlignment="1">
      <alignment horizontal="center"/>
    </xf>
    <xf numFmtId="0" fontId="142" fillId="0" borderId="12" xfId="27" applyFont="1" applyBorder="1" applyAlignment="1">
      <alignment horizontal="center" wrapText="1"/>
    </xf>
    <xf numFmtId="0" fontId="135" fillId="0" borderId="13" xfId="27" applyBorder="1" applyAlignment="1">
      <alignment horizontal="center" wrapText="1"/>
    </xf>
    <xf numFmtId="1" fontId="135" fillId="0" borderId="10" xfId="27" applyNumberFormat="1" applyBorder="1" applyAlignment="1">
      <alignment horizontal="center"/>
    </xf>
    <xf numFmtId="0" fontId="141" fillId="0" borderId="0" xfId="27" applyFont="1"/>
    <xf numFmtId="0" fontId="135" fillId="0" borderId="1" xfId="27" applyBorder="1"/>
    <xf numFmtId="0" fontId="135" fillId="0" borderId="10" xfId="27" applyBorder="1"/>
    <xf numFmtId="0" fontId="135" fillId="0" borderId="12" xfId="27" applyBorder="1" applyAlignment="1">
      <alignment horizontal="center"/>
    </xf>
    <xf numFmtId="0" fontId="135" fillId="0" borderId="13" xfId="27" applyBorder="1" applyAlignment="1">
      <alignment horizontal="center"/>
    </xf>
    <xf numFmtId="167" fontId="144" fillId="0" borderId="1" xfId="27" applyNumberFormat="1" applyFont="1" applyBorder="1" applyAlignment="1">
      <alignment horizontal="center"/>
    </xf>
    <xf numFmtId="0" fontId="143" fillId="0" borderId="12" xfId="27" applyFont="1" applyBorder="1" applyAlignment="1">
      <alignment horizontal="center"/>
    </xf>
    <xf numFmtId="0" fontId="141" fillId="0" borderId="12" xfId="27" applyFont="1" applyBorder="1" applyAlignment="1">
      <alignment horizontal="center"/>
    </xf>
    <xf numFmtId="0" fontId="143" fillId="0" borderId="9" xfId="27" applyFont="1" applyBorder="1" applyAlignment="1">
      <alignment horizontal="center" wrapText="1"/>
    </xf>
    <xf numFmtId="0" fontId="135" fillId="0" borderId="1" xfId="27" applyBorder="1" applyAlignment="1">
      <alignment horizontal="left"/>
    </xf>
    <xf numFmtId="0" fontId="139" fillId="0" borderId="1" xfId="27" applyFont="1" applyBorder="1" applyAlignment="1">
      <alignment horizontal="center" wrapText="1"/>
    </xf>
    <xf numFmtId="0" fontId="145" fillId="0" borderId="12" xfId="27" applyFont="1" applyBorder="1" applyAlignment="1">
      <alignment horizontal="center"/>
    </xf>
    <xf numFmtId="0" fontId="146" fillId="0" borderId="3" xfId="27" applyFont="1" applyBorder="1"/>
    <xf numFmtId="0" fontId="146" fillId="0" borderId="15" xfId="27" applyFont="1" applyBorder="1"/>
    <xf numFmtId="0" fontId="137" fillId="0" borderId="12" xfId="27" applyFont="1" applyBorder="1" applyAlignment="1">
      <alignment horizontal="center"/>
    </xf>
    <xf numFmtId="0" fontId="138" fillId="0" borderId="12" xfId="27" applyFont="1" applyBorder="1" applyAlignment="1">
      <alignment horizontal="center"/>
    </xf>
    <xf numFmtId="165" fontId="139" fillId="0" borderId="1" xfId="27" applyNumberFormat="1" applyFont="1" applyBorder="1" applyAlignment="1">
      <alignment horizontal="center"/>
    </xf>
    <xf numFmtId="0" fontId="147" fillId="0" borderId="12" xfId="27" applyFont="1" applyBorder="1" applyAlignment="1">
      <alignment horizontal="center" wrapText="1"/>
    </xf>
    <xf numFmtId="0" fontId="139" fillId="0" borderId="2" xfId="27" applyFont="1" applyBorder="1" applyAlignment="1">
      <alignment horizontal="center" wrapText="1"/>
    </xf>
    <xf numFmtId="0" fontId="135" fillId="0" borderId="0" xfId="27" applyBorder="1"/>
    <xf numFmtId="0" fontId="148" fillId="0" borderId="0" xfId="27" applyFont="1" applyAlignment="1">
      <alignment horizontal="center" wrapText="1"/>
    </xf>
    <xf numFmtId="0" fontId="149" fillId="0" borderId="1" xfId="27" applyFont="1" applyBorder="1" applyAlignment="1">
      <alignment horizontal="center" wrapText="1"/>
    </xf>
    <xf numFmtId="0" fontId="137" fillId="0" borderId="0" xfId="27" applyFont="1" applyAlignment="1">
      <alignment horizontal="center" wrapText="1"/>
    </xf>
    <xf numFmtId="0" fontId="139" fillId="0" borderId="23" xfId="27" applyFont="1" applyBorder="1" applyAlignment="1">
      <alignment horizontal="left"/>
    </xf>
    <xf numFmtId="0" fontId="139" fillId="0" borderId="29" xfId="27" applyFont="1" applyBorder="1" applyAlignment="1">
      <alignment horizontal="center" wrapText="1"/>
    </xf>
    <xf numFmtId="0" fontId="135" fillId="0" borderId="3" xfId="27" applyBorder="1"/>
    <xf numFmtId="0" fontId="150" fillId="0" borderId="0" xfId="27" applyFont="1" applyAlignment="1">
      <alignment horizontal="center" wrapText="1"/>
    </xf>
    <xf numFmtId="0" fontId="150" fillId="0" borderId="0" xfId="27" applyFont="1" applyAlignment="1">
      <alignment wrapText="1"/>
    </xf>
    <xf numFmtId="2" fontId="137" fillId="0" borderId="7" xfId="27" applyNumberFormat="1" applyFont="1" applyBorder="1" applyAlignment="1">
      <alignment horizontal="center"/>
    </xf>
    <xf numFmtId="2" fontId="139" fillId="0" borderId="7" xfId="27" applyNumberFormat="1" applyFont="1" applyBorder="1" applyAlignment="1">
      <alignment horizontal="center"/>
    </xf>
    <xf numFmtId="167" fontId="135" fillId="0" borderId="7" xfId="27" applyNumberFormat="1" applyBorder="1" applyAlignment="1">
      <alignment horizontal="center"/>
    </xf>
    <xf numFmtId="0" fontId="135" fillId="0" borderId="21" xfId="27" applyBorder="1" applyAlignment="1">
      <alignment horizontal="left"/>
    </xf>
    <xf numFmtId="0" fontId="135" fillId="0" borderId="12" xfId="27" applyBorder="1" applyAlignment="1">
      <alignment horizontal="left"/>
    </xf>
    <xf numFmtId="0" fontId="135" fillId="0" borderId="12" xfId="27" applyBorder="1"/>
    <xf numFmtId="0" fontId="150" fillId="0" borderId="13" xfId="27" applyFont="1" applyBorder="1" applyAlignment="1">
      <alignment horizontal="left"/>
    </xf>
    <xf numFmtId="0" fontId="141" fillId="0" borderId="2" xfId="27" applyFont="1" applyBorder="1" applyAlignment="1">
      <alignment horizontal="left"/>
    </xf>
    <xf numFmtId="0" fontId="135" fillId="0" borderId="9" xfId="27" applyBorder="1"/>
    <xf numFmtId="0" fontId="135" fillId="0" borderId="6" xfId="27" applyFont="1" applyBorder="1" applyAlignment="1">
      <alignment horizontal="center" wrapText="1"/>
    </xf>
    <xf numFmtId="0" fontId="151" fillId="0" borderId="10" xfId="27" applyFont="1" applyBorder="1" applyAlignment="1">
      <alignment horizontal="center" wrapText="1"/>
    </xf>
    <xf numFmtId="0" fontId="141" fillId="0" borderId="11" xfId="27" applyFont="1" applyBorder="1" applyAlignment="1">
      <alignment horizontal="left"/>
    </xf>
    <xf numFmtId="167" fontId="135" fillId="0" borderId="39" xfId="27" applyNumberFormat="1" applyBorder="1" applyAlignment="1">
      <alignment horizontal="center"/>
    </xf>
    <xf numFmtId="0" fontId="135" fillId="0" borderId="21" xfId="27" applyFont="1" applyBorder="1" applyAlignment="1">
      <alignment horizontal="center" wrapText="1"/>
    </xf>
    <xf numFmtId="0" fontId="145" fillId="0" borderId="21" xfId="27" applyFont="1" applyBorder="1" applyAlignment="1">
      <alignment horizontal="left"/>
    </xf>
    <xf numFmtId="167" fontId="135" fillId="0" borderId="8" xfId="27" applyNumberFormat="1" applyBorder="1" applyAlignment="1">
      <alignment horizontal="center"/>
    </xf>
    <xf numFmtId="0" fontId="137" fillId="0" borderId="41" xfId="27" applyFont="1" applyBorder="1" applyAlignment="1">
      <alignment horizontal="center" wrapText="1"/>
    </xf>
    <xf numFmtId="0" fontId="135" fillId="0" borderId="14" xfId="27" applyBorder="1" applyAlignment="1">
      <alignment horizontal="center" wrapText="1"/>
    </xf>
    <xf numFmtId="0" fontId="137" fillId="0" borderId="14" xfId="27" applyFont="1" applyBorder="1" applyAlignment="1">
      <alignment horizontal="center" wrapText="1"/>
    </xf>
    <xf numFmtId="0" fontId="142" fillId="0" borderId="14" xfId="27" applyFont="1" applyBorder="1" applyAlignment="1">
      <alignment horizontal="center" wrapText="1"/>
    </xf>
    <xf numFmtId="0" fontId="142" fillId="0" borderId="34" xfId="27" applyFont="1" applyBorder="1" applyAlignment="1">
      <alignment horizontal="center" wrapText="1"/>
    </xf>
    <xf numFmtId="0" fontId="135" fillId="0" borderId="41" xfId="27" applyBorder="1" applyAlignment="1">
      <alignment horizontal="center" wrapText="1"/>
    </xf>
    <xf numFmtId="0" fontId="143" fillId="0" borderId="14" xfId="27" applyFont="1" applyBorder="1" applyAlignment="1">
      <alignment horizontal="center" wrapText="1"/>
    </xf>
    <xf numFmtId="0" fontId="135" fillId="0" borderId="14" xfId="27" applyFont="1" applyBorder="1" applyAlignment="1">
      <alignment horizontal="center" wrapText="1"/>
    </xf>
    <xf numFmtId="0" fontId="135" fillId="0" borderId="34" xfId="27" applyBorder="1" applyAlignment="1">
      <alignment horizontal="center" wrapText="1"/>
    </xf>
    <xf numFmtId="0" fontId="139" fillId="0" borderId="41" xfId="27" applyFont="1" applyBorder="1" applyAlignment="1">
      <alignment horizontal="center" wrapText="1"/>
    </xf>
    <xf numFmtId="0" fontId="139" fillId="0" borderId="73" xfId="27" applyFont="1" applyBorder="1" applyAlignment="1">
      <alignment horizontal="center" wrapText="1"/>
    </xf>
    <xf numFmtId="0" fontId="139" fillId="0" borderId="14" xfId="27" applyFont="1" applyBorder="1" applyAlignment="1">
      <alignment horizontal="center" wrapText="1"/>
    </xf>
    <xf numFmtId="167" fontId="144" fillId="0" borderId="10" xfId="27" applyNumberFormat="1" applyFont="1" applyBorder="1" applyAlignment="1">
      <alignment horizontal="center"/>
    </xf>
    <xf numFmtId="0" fontId="135" fillId="0" borderId="43" xfId="27" applyBorder="1" applyAlignment="1">
      <alignment horizontal="center"/>
    </xf>
    <xf numFmtId="0" fontId="142" fillId="0" borderId="45" xfId="27" applyFont="1" applyBorder="1" applyAlignment="1">
      <alignment horizontal="center" wrapText="1"/>
    </xf>
    <xf numFmtId="0" fontId="142" fillId="0" borderId="63" xfId="27" applyFont="1" applyBorder="1" applyAlignment="1">
      <alignment horizontal="center" wrapText="1"/>
    </xf>
    <xf numFmtId="0" fontId="150" fillId="0" borderId="45" xfId="27" applyFont="1" applyBorder="1" applyAlignment="1">
      <alignment horizontal="center" wrapText="1"/>
    </xf>
    <xf numFmtId="0" fontId="139" fillId="0" borderId="21" xfId="27" applyFont="1" applyBorder="1" applyAlignment="1">
      <alignment horizontal="center" wrapText="1"/>
    </xf>
    <xf numFmtId="0" fontId="139" fillId="0" borderId="12" xfId="27" applyFont="1" applyBorder="1" applyAlignment="1">
      <alignment horizontal="center" wrapText="1"/>
    </xf>
    <xf numFmtId="165" fontId="139" fillId="0" borderId="12" xfId="27" applyNumberFormat="1" applyFont="1" applyBorder="1" applyAlignment="1">
      <alignment horizontal="center"/>
    </xf>
    <xf numFmtId="167" fontId="135" fillId="0" borderId="12" xfId="27" applyNumberFormat="1" applyBorder="1" applyAlignment="1">
      <alignment horizontal="center"/>
    </xf>
    <xf numFmtId="1" fontId="135" fillId="0" borderId="12" xfId="27" applyNumberFormat="1" applyBorder="1" applyAlignment="1">
      <alignment horizontal="center"/>
    </xf>
    <xf numFmtId="0" fontId="137" fillId="0" borderId="12" xfId="27" applyFont="1" applyBorder="1" applyAlignment="1">
      <alignment horizontal="center" wrapText="1"/>
    </xf>
    <xf numFmtId="0" fontId="137" fillId="0" borderId="21" xfId="27" applyFont="1" applyBorder="1" applyAlignment="1">
      <alignment horizontal="center"/>
    </xf>
    <xf numFmtId="167" fontId="144" fillId="0" borderId="12" xfId="27" applyNumberFormat="1" applyFont="1" applyBorder="1" applyAlignment="1">
      <alignment horizontal="center"/>
    </xf>
    <xf numFmtId="165" fontId="135" fillId="0" borderId="12" xfId="27" applyNumberFormat="1" applyBorder="1" applyAlignment="1">
      <alignment horizontal="center"/>
    </xf>
    <xf numFmtId="167" fontId="135" fillId="0" borderId="13" xfId="27" applyNumberFormat="1" applyBorder="1" applyAlignment="1">
      <alignment horizontal="center"/>
    </xf>
    <xf numFmtId="0" fontId="150" fillId="0" borderId="43" xfId="27" applyFont="1" applyBorder="1" applyAlignment="1">
      <alignment horizontal="center" wrapText="1"/>
    </xf>
    <xf numFmtId="0" fontId="143" fillId="0" borderId="12" xfId="27" applyFont="1" applyBorder="1" applyAlignment="1">
      <alignment horizontal="center" wrapText="1"/>
    </xf>
    <xf numFmtId="0" fontId="135" fillId="0" borderId="12" xfId="27" applyFont="1" applyBorder="1" applyAlignment="1">
      <alignment horizontal="center" wrapText="1"/>
    </xf>
    <xf numFmtId="0" fontId="103" fillId="0" borderId="45" xfId="83" applyFont="1" applyBorder="1" applyAlignment="1">
      <alignment horizontal="center"/>
    </xf>
    <xf numFmtId="0" fontId="108" fillId="0" borderId="45" xfId="83" applyFont="1" applyBorder="1" applyAlignment="1">
      <alignment horizontal="center" wrapText="1"/>
    </xf>
    <xf numFmtId="165" fontId="135" fillId="0" borderId="11" xfId="83" applyNumberFormat="1" applyBorder="1" applyAlignment="1">
      <alignment horizontal="center"/>
    </xf>
    <xf numFmtId="165" fontId="135" fillId="0" borderId="10" xfId="83" applyNumberFormat="1" applyBorder="1" applyAlignment="1">
      <alignment horizontal="center"/>
    </xf>
    <xf numFmtId="0" fontId="135" fillId="0" borderId="10" xfId="83" applyBorder="1" applyAlignment="1">
      <alignment horizontal="center"/>
    </xf>
    <xf numFmtId="1" fontId="135" fillId="0" borderId="10" xfId="83" applyNumberFormat="1" applyBorder="1" applyAlignment="1">
      <alignment horizontal="center"/>
    </xf>
    <xf numFmtId="0" fontId="135" fillId="0" borderId="6" xfId="83" applyBorder="1" applyAlignment="1">
      <alignment horizontal="center"/>
    </xf>
    <xf numFmtId="165" fontId="135" fillId="0" borderId="9" xfId="83" applyNumberFormat="1" applyBorder="1" applyAlignment="1">
      <alignment horizontal="center"/>
    </xf>
    <xf numFmtId="0" fontId="135" fillId="0" borderId="9" xfId="83" applyBorder="1" applyAlignment="1">
      <alignment horizontal="center" wrapText="1"/>
    </xf>
    <xf numFmtId="0" fontId="152" fillId="0" borderId="1" xfId="27" applyFont="1" applyBorder="1" applyAlignment="1">
      <alignment horizontal="center" wrapText="1"/>
    </xf>
    <xf numFmtId="0" fontId="153" fillId="0" borderId="1" xfId="27" applyFont="1" applyBorder="1" applyAlignment="1">
      <alignment horizontal="center" wrapText="1"/>
    </xf>
    <xf numFmtId="0" fontId="100" fillId="0" borderId="1" xfId="27" applyFont="1" applyBorder="1" applyAlignment="1">
      <alignment horizontal="center" wrapText="1"/>
    </xf>
    <xf numFmtId="0" fontId="5" fillId="0" borderId="10" xfId="16" applyBorder="1" applyAlignment="1">
      <alignment horizontal="center"/>
    </xf>
    <xf numFmtId="0" fontId="103" fillId="0" borderId="35" xfId="83" applyFont="1" applyBorder="1" applyAlignment="1">
      <alignment horizontal="center"/>
    </xf>
    <xf numFmtId="0" fontId="145" fillId="0" borderId="0" xfId="27" applyFont="1" applyAlignment="1">
      <alignment wrapText="1"/>
    </xf>
    <xf numFmtId="0" fontId="135" fillId="0" borderId="50" xfId="27" applyBorder="1"/>
    <xf numFmtId="0" fontId="95" fillId="0" borderId="2" xfId="83" applyFont="1" applyBorder="1" applyAlignment="1">
      <alignment horizontal="center" wrapText="1"/>
    </xf>
    <xf numFmtId="0" fontId="104" fillId="0" borderId="38" xfId="83" applyFont="1" applyBorder="1" applyAlignment="1">
      <alignment horizontal="center" wrapText="1"/>
    </xf>
    <xf numFmtId="0" fontId="108" fillId="0" borderId="39" xfId="83" applyFont="1" applyBorder="1" applyAlignment="1">
      <alignment horizontal="center" wrapText="1"/>
    </xf>
    <xf numFmtId="0" fontId="90" fillId="0" borderId="15" xfId="83" applyFont="1" applyBorder="1"/>
    <xf numFmtId="0" fontId="108" fillId="0" borderId="3" xfId="83" applyFont="1" applyBorder="1" applyAlignment="1">
      <alignment horizontal="center" wrapText="1"/>
    </xf>
    <xf numFmtId="0" fontId="92" fillId="0" borderId="15" xfId="83" applyFont="1" applyBorder="1"/>
    <xf numFmtId="0" fontId="135" fillId="0" borderId="3" xfId="83" applyBorder="1" applyAlignment="1">
      <alignment horizontal="center" wrapText="1"/>
    </xf>
    <xf numFmtId="0" fontId="137" fillId="0" borderId="41" xfId="27" applyFont="1" applyBorder="1" applyAlignment="1">
      <alignment horizontal="center"/>
    </xf>
    <xf numFmtId="0" fontId="5" fillId="0" borderId="14" xfId="16" applyBorder="1" applyAlignment="1">
      <alignment horizontal="center"/>
    </xf>
    <xf numFmtId="0" fontId="137" fillId="0" borderId="14" xfId="27" applyFont="1" applyBorder="1" applyAlignment="1">
      <alignment horizontal="center"/>
    </xf>
    <xf numFmtId="0" fontId="135" fillId="0" borderId="14" xfId="27" applyBorder="1" applyAlignment="1">
      <alignment horizontal="center"/>
    </xf>
    <xf numFmtId="167" fontId="144" fillId="0" borderId="14" xfId="27" applyNumberFormat="1" applyFont="1" applyBorder="1" applyAlignment="1">
      <alignment horizontal="center"/>
    </xf>
    <xf numFmtId="167" fontId="135" fillId="0" borderId="14" xfId="27" applyNumberFormat="1" applyBorder="1" applyAlignment="1">
      <alignment horizontal="center"/>
    </xf>
    <xf numFmtId="165" fontId="135" fillId="0" borderId="14" xfId="27" applyNumberFormat="1" applyBorder="1" applyAlignment="1">
      <alignment horizontal="center"/>
    </xf>
    <xf numFmtId="167" fontId="135" fillId="0" borderId="34" xfId="27" applyNumberFormat="1" applyBorder="1" applyAlignment="1">
      <alignment horizontal="center"/>
    </xf>
    <xf numFmtId="0" fontId="103" fillId="0" borderId="63" xfId="83" applyFont="1" applyBorder="1" applyAlignment="1">
      <alignment horizontal="center"/>
    </xf>
    <xf numFmtId="0" fontId="135" fillId="0" borderId="41" xfId="83" applyBorder="1" applyAlignment="1">
      <alignment horizontal="center"/>
    </xf>
    <xf numFmtId="1" fontId="135" fillId="0" borderId="14" xfId="83" applyNumberFormat="1" applyBorder="1" applyAlignment="1">
      <alignment horizontal="center"/>
    </xf>
    <xf numFmtId="0" fontId="135" fillId="0" borderId="14" xfId="83" applyBorder="1" applyAlignment="1">
      <alignment horizontal="center"/>
    </xf>
    <xf numFmtId="165" fontId="135" fillId="0" borderId="14" xfId="83" applyNumberFormat="1" applyBorder="1" applyAlignment="1">
      <alignment horizontal="center"/>
    </xf>
    <xf numFmtId="165" fontId="135" fillId="0" borderId="34" xfId="83" applyNumberFormat="1" applyBorder="1" applyAlignment="1">
      <alignment horizontal="center"/>
    </xf>
    <xf numFmtId="165" fontId="139" fillId="0" borderId="14" xfId="27" applyNumberFormat="1" applyFont="1" applyBorder="1" applyAlignment="1">
      <alignment horizontal="center"/>
    </xf>
    <xf numFmtId="1" fontId="135" fillId="0" borderId="14" xfId="27" applyNumberFormat="1" applyBorder="1" applyAlignment="1">
      <alignment horizontal="center"/>
    </xf>
    <xf numFmtId="0" fontId="135" fillId="0" borderId="34" xfId="27" applyBorder="1" applyAlignment="1">
      <alignment horizontal="center"/>
    </xf>
    <xf numFmtId="166" fontId="137" fillId="0" borderId="8" xfId="27" applyNumberFormat="1" applyFont="1" applyBorder="1" applyAlignment="1">
      <alignment horizontal="center"/>
    </xf>
    <xf numFmtId="2" fontId="137" fillId="0" borderId="8" xfId="27" applyNumberFormat="1" applyFont="1" applyBorder="1" applyAlignment="1">
      <alignment horizontal="center"/>
    </xf>
    <xf numFmtId="2" fontId="139" fillId="0" borderId="8" xfId="27" applyNumberFormat="1" applyFont="1" applyBorder="1" applyAlignment="1">
      <alignment horizontal="center"/>
    </xf>
    <xf numFmtId="0" fontId="148" fillId="0" borderId="46" xfId="27" applyFont="1" applyBorder="1" applyAlignment="1">
      <alignment horizontal="center" wrapText="1"/>
    </xf>
    <xf numFmtId="0" fontId="137" fillId="0" borderId="28" xfId="27" applyFont="1" applyBorder="1" applyAlignment="1">
      <alignment horizontal="center" wrapText="1"/>
    </xf>
    <xf numFmtId="0" fontId="135" fillId="0" borderId="28" xfId="27" applyBorder="1"/>
    <xf numFmtId="0" fontId="135" fillId="0" borderId="56" xfId="27" applyBorder="1"/>
    <xf numFmtId="0" fontId="145" fillId="12" borderId="68" xfId="27" applyFont="1" applyFill="1" applyBorder="1" applyAlignment="1">
      <alignment horizontal="center" wrapText="1"/>
    </xf>
    <xf numFmtId="0" fontId="136" fillId="11" borderId="15" xfId="8" applyBorder="1" applyAlignment="1">
      <alignment horizontal="center"/>
    </xf>
    <xf numFmtId="0" fontId="136" fillId="11" borderId="17" xfId="8" applyBorder="1" applyAlignment="1">
      <alignment horizontal="center"/>
    </xf>
    <xf numFmtId="0" fontId="136" fillId="11" borderId="17" xfId="8" applyBorder="1"/>
    <xf numFmtId="0" fontId="154" fillId="11" borderId="17" xfId="8" applyFont="1" applyBorder="1"/>
    <xf numFmtId="0" fontId="141" fillId="0" borderId="36" xfId="27" applyFont="1" applyBorder="1" applyAlignment="1">
      <alignment horizontal="left"/>
    </xf>
    <xf numFmtId="164" fontId="135" fillId="0" borderId="1" xfId="2" applyFont="1" applyBorder="1"/>
    <xf numFmtId="0" fontId="135" fillId="0" borderId="7" xfId="27" applyBorder="1"/>
    <xf numFmtId="164" fontId="135" fillId="0" borderId="7" xfId="2" applyFont="1" applyBorder="1"/>
    <xf numFmtId="0" fontId="145" fillId="0" borderId="25" xfId="27" applyFont="1" applyBorder="1" applyAlignment="1">
      <alignment wrapText="1"/>
    </xf>
    <xf numFmtId="0" fontId="135" fillId="0" borderId="66" xfId="27" applyBorder="1" applyAlignment="1">
      <alignment wrapText="1"/>
    </xf>
    <xf numFmtId="0" fontId="150" fillId="0" borderId="66" xfId="27" applyFont="1" applyBorder="1" applyAlignment="1">
      <alignment horizontal="center" wrapText="1"/>
    </xf>
    <xf numFmtId="164" fontId="141" fillId="0" borderId="38" xfId="2" applyFont="1" applyBorder="1"/>
    <xf numFmtId="164" fontId="0" fillId="0" borderId="39" xfId="2" applyFont="1" applyBorder="1"/>
    <xf numFmtId="164" fontId="141" fillId="0" borderId="2" xfId="2" applyFont="1" applyBorder="1"/>
    <xf numFmtId="0" fontId="141" fillId="0" borderId="2" xfId="27" applyFont="1" applyBorder="1"/>
    <xf numFmtId="44" fontId="0" fillId="0" borderId="9" xfId="0" applyNumberFormat="1" applyBorder="1"/>
    <xf numFmtId="0" fontId="141" fillId="0" borderId="6" xfId="27" applyFont="1" applyBorder="1"/>
    <xf numFmtId="164" fontId="135" fillId="0" borderId="10" xfId="2" applyFont="1" applyBorder="1"/>
    <xf numFmtId="44" fontId="0" fillId="0" borderId="11" xfId="0" applyNumberFormat="1" applyBorder="1"/>
    <xf numFmtId="164" fontId="141" fillId="0" borderId="21" xfId="2" applyFont="1" applyBorder="1"/>
    <xf numFmtId="164" fontId="135" fillId="0" borderId="12" xfId="2" applyFont="1" applyBorder="1"/>
    <xf numFmtId="164" fontId="0" fillId="0" borderId="13" xfId="2" applyFont="1" applyBorder="1"/>
    <xf numFmtId="0" fontId="145" fillId="0" borderId="25" xfId="27" applyFont="1" applyBorder="1" applyAlignment="1">
      <alignment horizontal="center" wrapText="1"/>
    </xf>
    <xf numFmtId="166" fontId="137" fillId="0" borderId="21" xfId="27" applyNumberFormat="1" applyFont="1" applyBorder="1" applyAlignment="1">
      <alignment horizontal="center"/>
    </xf>
    <xf numFmtId="2" fontId="137" fillId="0" borderId="12" xfId="27" applyNumberFormat="1" applyFont="1" applyBorder="1" applyAlignment="1">
      <alignment horizontal="center"/>
    </xf>
    <xf numFmtId="2" fontId="139" fillId="0" borderId="12" xfId="27" applyNumberFormat="1" applyFont="1" applyBorder="1" applyAlignment="1">
      <alignment horizontal="center"/>
    </xf>
    <xf numFmtId="166" fontId="137" fillId="0" borderId="38" xfId="27" applyNumberFormat="1" applyFont="1" applyBorder="1" applyAlignment="1">
      <alignment horizontal="center"/>
    </xf>
    <xf numFmtId="166" fontId="137" fillId="0" borderId="16" xfId="27" applyNumberFormat="1" applyFont="1" applyBorder="1" applyAlignment="1">
      <alignment horizontal="center"/>
    </xf>
    <xf numFmtId="2" fontId="137" fillId="0" borderId="4" xfId="27" applyNumberFormat="1" applyFont="1" applyBorder="1" applyAlignment="1">
      <alignment horizontal="center"/>
    </xf>
    <xf numFmtId="2" fontId="139" fillId="0" borderId="4" xfId="27" applyNumberFormat="1" applyFont="1" applyBorder="1" applyAlignment="1">
      <alignment horizontal="center"/>
    </xf>
    <xf numFmtId="167" fontId="135" fillId="0" borderId="5" xfId="27" applyNumberFormat="1" applyBorder="1" applyAlignment="1">
      <alignment horizontal="center"/>
    </xf>
    <xf numFmtId="44" fontId="91" fillId="0" borderId="0" xfId="3" applyFont="1" applyBorder="1" applyAlignment="1">
      <alignment horizontal="center" wrapText="1"/>
    </xf>
    <xf numFmtId="44" fontId="91" fillId="0" borderId="0" xfId="3" applyFont="1" applyBorder="1" applyAlignment="1">
      <alignment horizontal="center"/>
    </xf>
    <xf numFmtId="44" fontId="91" fillId="0" borderId="0" xfId="3" applyFont="1" applyBorder="1"/>
    <xf numFmtId="44" fontId="104" fillId="0" borderId="0" xfId="3" applyFont="1" applyBorder="1" applyAlignment="1">
      <alignment horizontal="center" wrapText="1"/>
    </xf>
    <xf numFmtId="44" fontId="104" fillId="0" borderId="0" xfId="3" applyFont="1" applyBorder="1" applyAlignment="1">
      <alignment horizontal="center"/>
    </xf>
    <xf numFmtId="44" fontId="104" fillId="0" borderId="0" xfId="3" applyFont="1" applyBorder="1"/>
    <xf numFmtId="1" fontId="36" fillId="0" borderId="69" xfId="0" applyNumberFormat="1" applyFont="1" applyBorder="1" applyAlignment="1">
      <alignment horizontal="left"/>
    </xf>
    <xf numFmtId="1" fontId="53" fillId="0" borderId="0" xfId="0" applyNumberFormat="1" applyFont="1" applyBorder="1" applyAlignment="1">
      <alignment horizontal="center"/>
    </xf>
    <xf numFmtId="0" fontId="36" fillId="0" borderId="50" xfId="0" applyFont="1" applyBorder="1" applyAlignment="1">
      <alignment horizontal="center"/>
    </xf>
    <xf numFmtId="0" fontId="53" fillId="0" borderId="50" xfId="0" applyFont="1" applyBorder="1" applyAlignment="1">
      <alignment horizontal="center"/>
    </xf>
    <xf numFmtId="0" fontId="53" fillId="0" borderId="54" xfId="0" applyFont="1" applyBorder="1" applyAlignment="1">
      <alignment horizontal="center"/>
    </xf>
    <xf numFmtId="167" fontId="53" fillId="0" borderId="54" xfId="0" applyNumberFormat="1" applyFont="1" applyBorder="1" applyAlignment="1">
      <alignment horizontal="center"/>
    </xf>
    <xf numFmtId="1" fontId="53" fillId="0" borderId="54" xfId="0" applyNumberFormat="1" applyFont="1" applyBorder="1" applyAlignment="1">
      <alignment horizontal="center"/>
    </xf>
    <xf numFmtId="1" fontId="53" fillId="0" borderId="45" xfId="0" applyNumberFormat="1" applyFont="1" applyBorder="1" applyAlignment="1">
      <alignment horizontal="center"/>
    </xf>
    <xf numFmtId="167" fontId="53" fillId="0" borderId="45" xfId="0" applyNumberFormat="1" applyFont="1" applyBorder="1" applyAlignment="1">
      <alignment horizontal="center"/>
    </xf>
    <xf numFmtId="0" fontId="53" fillId="0" borderId="45" xfId="0" applyFont="1" applyBorder="1" applyAlignment="1">
      <alignment horizontal="center"/>
    </xf>
    <xf numFmtId="0" fontId="53" fillId="0" borderId="35" xfId="0" applyFont="1" applyBorder="1" applyAlignment="1">
      <alignment horizontal="center"/>
    </xf>
    <xf numFmtId="0" fontId="3" fillId="0" borderId="1" xfId="16" applyFont="1" applyBorder="1" applyAlignment="1">
      <alignment horizontal="center"/>
    </xf>
    <xf numFmtId="167" fontId="137" fillId="0" borderId="1" xfId="27" applyNumberFormat="1" applyFont="1" applyBorder="1" applyAlignment="1">
      <alignment horizontal="center"/>
    </xf>
    <xf numFmtId="165" fontId="137" fillId="0" borderId="1" xfId="27" applyNumberFormat="1" applyFont="1" applyBorder="1" applyAlignment="1">
      <alignment horizontal="center"/>
    </xf>
    <xf numFmtId="167" fontId="137" fillId="0" borderId="9" xfId="27" applyNumberFormat="1" applyFont="1" applyBorder="1" applyAlignment="1">
      <alignment horizontal="center"/>
    </xf>
    <xf numFmtId="0" fontId="106" fillId="0" borderId="45" xfId="83" applyFont="1" applyBorder="1" applyAlignment="1">
      <alignment horizontal="center"/>
    </xf>
    <xf numFmtId="0" fontId="137" fillId="0" borderId="2" xfId="83" applyFont="1" applyBorder="1" applyAlignment="1">
      <alignment horizontal="center"/>
    </xf>
    <xf numFmtId="1" fontId="137" fillId="0" borderId="1" xfId="83" applyNumberFormat="1" applyFont="1" applyBorder="1" applyAlignment="1">
      <alignment horizontal="center"/>
    </xf>
    <xf numFmtId="0" fontId="137" fillId="0" borderId="1" xfId="83" applyFont="1" applyBorder="1" applyAlignment="1">
      <alignment horizontal="center"/>
    </xf>
    <xf numFmtId="165" fontId="137" fillId="0" borderId="1" xfId="83" applyNumberFormat="1" applyFont="1" applyBorder="1" applyAlignment="1">
      <alignment horizontal="center"/>
    </xf>
    <xf numFmtId="165" fontId="137" fillId="0" borderId="9" xfId="83" applyNumberFormat="1" applyFont="1" applyBorder="1" applyAlignment="1">
      <alignment horizontal="center"/>
    </xf>
    <xf numFmtId="1" fontId="137" fillId="0" borderId="1" xfId="27" applyNumberFormat="1" applyFont="1" applyBorder="1" applyAlignment="1">
      <alignment horizontal="center"/>
    </xf>
    <xf numFmtId="0" fontId="137" fillId="0" borderId="9" xfId="27" applyFont="1" applyBorder="1" applyAlignment="1">
      <alignment horizontal="center"/>
    </xf>
    <xf numFmtId="0" fontId="137" fillId="0" borderId="0" xfId="27" applyFont="1"/>
    <xf numFmtId="167" fontId="137" fillId="0" borderId="39" xfId="27" applyNumberFormat="1" applyFont="1" applyBorder="1" applyAlignment="1">
      <alignment horizontal="center"/>
    </xf>
    <xf numFmtId="164" fontId="145" fillId="0" borderId="2" xfId="2" applyFont="1" applyBorder="1"/>
    <xf numFmtId="0" fontId="137" fillId="0" borderId="1" xfId="27" applyFont="1" applyBorder="1"/>
    <xf numFmtId="164" fontId="137" fillId="0" borderId="1" xfId="2" applyFont="1" applyBorder="1"/>
    <xf numFmtId="164" fontId="3" fillId="0" borderId="9" xfId="2" applyFont="1" applyBorder="1"/>
    <xf numFmtId="0" fontId="150" fillId="0" borderId="0" xfId="27" applyFont="1" applyFill="1" applyBorder="1" applyAlignment="1">
      <alignment horizontal="center" wrapText="1"/>
    </xf>
    <xf numFmtId="2" fontId="3" fillId="0" borderId="0" xfId="0" applyNumberFormat="1" applyFont="1"/>
    <xf numFmtId="1" fontId="3" fillId="0" borderId="7" xfId="0" applyNumberFormat="1" applyFont="1" applyBorder="1"/>
    <xf numFmtId="1" fontId="3" fillId="0" borderId="1" xfId="0" applyNumberFormat="1" applyFont="1" applyBorder="1"/>
    <xf numFmtId="0" fontId="142" fillId="0" borderId="74" xfId="27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16" fillId="13" borderId="35" xfId="16" applyFont="1" applyFill="1" applyBorder="1" applyAlignment="1">
      <alignment horizontal="right"/>
    </xf>
    <xf numFmtId="1" fontId="23" fillId="0" borderId="35" xfId="16" applyNumberFormat="1" applyFont="1" applyBorder="1" applyAlignment="1">
      <alignment horizontal="center"/>
    </xf>
    <xf numFmtId="0" fontId="23" fillId="13" borderId="45" xfId="16" applyFont="1" applyFill="1" applyBorder="1" applyAlignment="1">
      <alignment horizontal="right"/>
    </xf>
    <xf numFmtId="0" fontId="23" fillId="13" borderId="54" xfId="16" applyFont="1" applyFill="1" applyBorder="1" applyAlignment="1">
      <alignment horizontal="right"/>
    </xf>
    <xf numFmtId="1" fontId="4" fillId="0" borderId="45" xfId="16" applyNumberFormat="1" applyFont="1" applyBorder="1" applyAlignment="1">
      <alignment horizontal="center"/>
    </xf>
    <xf numFmtId="0" fontId="23" fillId="13" borderId="43" xfId="16" applyFont="1" applyFill="1" applyBorder="1" applyAlignment="1">
      <alignment horizontal="right"/>
    </xf>
    <xf numFmtId="1" fontId="4" fillId="0" borderId="43" xfId="16" applyNumberFormat="1" applyFont="1" applyBorder="1" applyAlignment="1">
      <alignment horizontal="center"/>
    </xf>
    <xf numFmtId="0" fontId="52" fillId="0" borderId="35" xfId="16" applyFont="1" applyBorder="1" applyAlignment="1">
      <alignment horizontal="center"/>
    </xf>
    <xf numFmtId="0" fontId="5" fillId="0" borderId="45" xfId="16" applyBorder="1" applyAlignment="1">
      <alignment horizontal="center"/>
    </xf>
    <xf numFmtId="0" fontId="5" fillId="0" borderId="43" xfId="16" applyBorder="1" applyAlignment="1">
      <alignment horizontal="center"/>
    </xf>
    <xf numFmtId="0" fontId="52" fillId="0" borderId="35" xfId="16" applyFont="1" applyBorder="1"/>
    <xf numFmtId="0" fontId="3" fillId="0" borderId="45" xfId="16" applyFont="1" applyBorder="1"/>
    <xf numFmtId="0" fontId="3" fillId="0" borderId="43" xfId="16" applyFont="1" applyBorder="1"/>
    <xf numFmtId="0" fontId="4" fillId="13" borderId="4" xfId="16" applyFont="1" applyFill="1" applyBorder="1" applyAlignment="1">
      <alignment horizontal="center"/>
    </xf>
    <xf numFmtId="0" fontId="3" fillId="0" borderId="62" xfId="16" applyFont="1" applyBorder="1" applyAlignment="1">
      <alignment horizontal="center"/>
    </xf>
    <xf numFmtId="0" fontId="5" fillId="0" borderId="4" xfId="16" applyFont="1" applyBorder="1" applyAlignment="1">
      <alignment horizontal="center"/>
    </xf>
    <xf numFmtId="0" fontId="36" fillId="0" borderId="66" xfId="16" applyFont="1" applyBorder="1" applyAlignment="1">
      <alignment horizontal="center"/>
    </xf>
    <xf numFmtId="0" fontId="52" fillId="0" borderId="24" xfId="16" applyFont="1" applyBorder="1"/>
    <xf numFmtId="0" fontId="4" fillId="0" borderId="68" xfId="16" applyFont="1" applyBorder="1" applyAlignment="1">
      <alignment horizontal="center"/>
    </xf>
    <xf numFmtId="0" fontId="104" fillId="0" borderId="0" xfId="83" applyFont="1" applyBorder="1" applyAlignment="1">
      <alignment horizontal="center"/>
    </xf>
    <xf numFmtId="0" fontId="137" fillId="14" borderId="2" xfId="27" applyFont="1" applyFill="1" applyBorder="1" applyAlignment="1">
      <alignment horizontal="center"/>
    </xf>
    <xf numFmtId="0" fontId="5" fillId="14" borderId="1" xfId="16" applyFill="1" applyBorder="1" applyAlignment="1">
      <alignment horizontal="center"/>
    </xf>
    <xf numFmtId="0" fontId="137" fillId="14" borderId="1" xfId="27" applyFont="1" applyFill="1" applyBorder="1" applyAlignment="1">
      <alignment horizontal="center"/>
    </xf>
    <xf numFmtId="0" fontId="135" fillId="14" borderId="1" xfId="27" applyFill="1" applyBorder="1" applyAlignment="1">
      <alignment horizontal="center"/>
    </xf>
    <xf numFmtId="167" fontId="144" fillId="14" borderId="1" xfId="27" applyNumberFormat="1" applyFont="1" applyFill="1" applyBorder="1" applyAlignment="1">
      <alignment horizontal="center"/>
    </xf>
    <xf numFmtId="167" fontId="135" fillId="14" borderId="1" xfId="27" applyNumberFormat="1" applyFill="1" applyBorder="1" applyAlignment="1">
      <alignment horizontal="center"/>
    </xf>
    <xf numFmtId="165" fontId="135" fillId="14" borderId="1" xfId="27" applyNumberFormat="1" applyFill="1" applyBorder="1" applyAlignment="1">
      <alignment horizontal="center"/>
    </xf>
    <xf numFmtId="167" fontId="135" fillId="14" borderId="9" xfId="27" applyNumberFormat="1" applyFill="1" applyBorder="1" applyAlignment="1">
      <alignment horizontal="center"/>
    </xf>
    <xf numFmtId="0" fontId="103" fillId="14" borderId="45" xfId="83" applyFont="1" applyFill="1" applyBorder="1" applyAlignment="1">
      <alignment horizontal="center"/>
    </xf>
    <xf numFmtId="0" fontId="135" fillId="14" borderId="2" xfId="83" applyFill="1" applyBorder="1" applyAlignment="1">
      <alignment horizontal="center"/>
    </xf>
    <xf numFmtId="1" fontId="135" fillId="14" borderId="1" xfId="83" applyNumberFormat="1" applyFill="1" applyBorder="1" applyAlignment="1">
      <alignment horizontal="center"/>
    </xf>
    <xf numFmtId="0" fontId="135" fillId="14" borderId="1" xfId="83" applyFill="1" applyBorder="1" applyAlignment="1">
      <alignment horizontal="center"/>
    </xf>
    <xf numFmtId="165" fontId="135" fillId="14" borderId="1" xfId="83" applyNumberFormat="1" applyFill="1" applyBorder="1" applyAlignment="1">
      <alignment horizontal="center"/>
    </xf>
    <xf numFmtId="165" fontId="135" fillId="14" borderId="9" xfId="83" applyNumberFormat="1" applyFill="1" applyBorder="1" applyAlignment="1">
      <alignment horizontal="center"/>
    </xf>
    <xf numFmtId="0" fontId="139" fillId="14" borderId="2" xfId="27" applyFont="1" applyFill="1" applyBorder="1" applyAlignment="1">
      <alignment horizontal="center" wrapText="1"/>
    </xf>
    <xf numFmtId="0" fontId="139" fillId="14" borderId="1" xfId="27" applyFont="1" applyFill="1" applyBorder="1" applyAlignment="1">
      <alignment horizontal="center" wrapText="1"/>
    </xf>
    <xf numFmtId="165" fontId="139" fillId="14" borderId="1" xfId="27" applyNumberFormat="1" applyFont="1" applyFill="1" applyBorder="1" applyAlignment="1">
      <alignment horizontal="center"/>
    </xf>
    <xf numFmtId="1" fontId="135" fillId="14" borderId="1" xfId="27" applyNumberFormat="1" applyFill="1" applyBorder="1" applyAlignment="1">
      <alignment horizontal="center"/>
    </xf>
    <xf numFmtId="0" fontId="137" fillId="14" borderId="1" xfId="27" applyFont="1" applyFill="1" applyBorder="1" applyAlignment="1">
      <alignment horizontal="center" wrapText="1"/>
    </xf>
    <xf numFmtId="0" fontId="135" fillId="14" borderId="9" xfId="27" applyFill="1" applyBorder="1" applyAlignment="1">
      <alignment horizontal="center"/>
    </xf>
    <xf numFmtId="0" fontId="135" fillId="14" borderId="0" xfId="27" applyFill="1"/>
    <xf numFmtId="166" fontId="137" fillId="14" borderId="38" xfId="27" applyNumberFormat="1" applyFont="1" applyFill="1" applyBorder="1" applyAlignment="1">
      <alignment horizontal="center"/>
    </xf>
    <xf numFmtId="2" fontId="137" fillId="14" borderId="7" xfId="27" applyNumberFormat="1" applyFont="1" applyFill="1" applyBorder="1" applyAlignment="1">
      <alignment horizontal="center"/>
    </xf>
    <xf numFmtId="2" fontId="139" fillId="14" borderId="7" xfId="27" applyNumberFormat="1" applyFont="1" applyFill="1" applyBorder="1" applyAlignment="1">
      <alignment horizontal="center"/>
    </xf>
    <xf numFmtId="167" fontId="135" fillId="14" borderId="39" xfId="27" applyNumberFormat="1" applyFill="1" applyBorder="1" applyAlignment="1">
      <alignment horizontal="center"/>
    </xf>
    <xf numFmtId="164" fontId="141" fillId="14" borderId="2" xfId="2" applyFont="1" applyFill="1" applyBorder="1"/>
    <xf numFmtId="0" fontId="135" fillId="14" borderId="1" xfId="27" applyFill="1" applyBorder="1"/>
    <xf numFmtId="164" fontId="135" fillId="14" borderId="1" xfId="2" applyFont="1" applyFill="1" applyBorder="1"/>
    <xf numFmtId="164" fontId="6" fillId="14" borderId="9" xfId="2" applyFont="1" applyFill="1" applyBorder="1"/>
    <xf numFmtId="0" fontId="0" fillId="14" borderId="0" xfId="0" applyFill="1"/>
    <xf numFmtId="1" fontId="0" fillId="14" borderId="0" xfId="0" applyNumberFormat="1" applyFill="1" applyAlignment="1">
      <alignment horizontal="center"/>
    </xf>
    <xf numFmtId="0" fontId="104" fillId="14" borderId="2" xfId="83" applyFont="1" applyFill="1" applyBorder="1" applyAlignment="1">
      <alignment horizontal="center"/>
    </xf>
    <xf numFmtId="2" fontId="3" fillId="14" borderId="0" xfId="0" applyNumberFormat="1" applyFont="1" applyFill="1"/>
    <xf numFmtId="1" fontId="4" fillId="14" borderId="45" xfId="16" applyNumberFormat="1" applyFont="1" applyFill="1" applyBorder="1" applyAlignment="1">
      <alignment horizontal="center"/>
    </xf>
    <xf numFmtId="0" fontId="23" fillId="14" borderId="54" xfId="16" applyFont="1" applyFill="1" applyBorder="1" applyAlignment="1">
      <alignment horizontal="right"/>
    </xf>
    <xf numFmtId="0" fontId="3" fillId="14" borderId="1" xfId="16" applyFont="1" applyFill="1" applyBorder="1" applyAlignment="1">
      <alignment horizontal="center"/>
    </xf>
    <xf numFmtId="167" fontId="137" fillId="14" borderId="1" xfId="27" applyNumberFormat="1" applyFont="1" applyFill="1" applyBorder="1" applyAlignment="1">
      <alignment horizontal="center"/>
    </xf>
    <xf numFmtId="165" fontId="137" fillId="14" borderId="1" xfId="27" applyNumberFormat="1" applyFont="1" applyFill="1" applyBorder="1" applyAlignment="1">
      <alignment horizontal="center"/>
    </xf>
    <xf numFmtId="167" fontId="137" fillId="14" borderId="9" xfId="27" applyNumberFormat="1" applyFont="1" applyFill="1" applyBorder="1" applyAlignment="1">
      <alignment horizontal="center"/>
    </xf>
    <xf numFmtId="0" fontId="106" fillId="14" borderId="45" xfId="83" applyFont="1" applyFill="1" applyBorder="1" applyAlignment="1">
      <alignment horizontal="center"/>
    </xf>
    <xf numFmtId="0" fontId="137" fillId="14" borderId="2" xfId="83" applyFont="1" applyFill="1" applyBorder="1" applyAlignment="1">
      <alignment horizontal="center"/>
    </xf>
    <xf numFmtId="1" fontId="137" fillId="14" borderId="1" xfId="83" applyNumberFormat="1" applyFont="1" applyFill="1" applyBorder="1" applyAlignment="1">
      <alignment horizontal="center"/>
    </xf>
    <xf numFmtId="0" fontId="137" fillId="14" borderId="1" xfId="83" applyFont="1" applyFill="1" applyBorder="1" applyAlignment="1">
      <alignment horizontal="center"/>
    </xf>
    <xf numFmtId="165" fontId="137" fillId="14" borderId="1" xfId="83" applyNumberFormat="1" applyFont="1" applyFill="1" applyBorder="1" applyAlignment="1">
      <alignment horizontal="center"/>
    </xf>
    <xf numFmtId="165" fontId="137" fillId="14" borderId="9" xfId="83" applyNumberFormat="1" applyFont="1" applyFill="1" applyBorder="1" applyAlignment="1">
      <alignment horizontal="center"/>
    </xf>
    <xf numFmtId="1" fontId="137" fillId="14" borderId="1" xfId="27" applyNumberFormat="1" applyFont="1" applyFill="1" applyBorder="1" applyAlignment="1">
      <alignment horizontal="center"/>
    </xf>
    <xf numFmtId="0" fontId="137" fillId="14" borderId="9" xfId="27" applyFont="1" applyFill="1" applyBorder="1" applyAlignment="1">
      <alignment horizontal="center"/>
    </xf>
    <xf numFmtId="0" fontId="137" fillId="14" borderId="0" xfId="27" applyFont="1" applyFill="1"/>
    <xf numFmtId="167" fontId="137" fillId="14" borderId="39" xfId="27" applyNumberFormat="1" applyFont="1" applyFill="1" applyBorder="1" applyAlignment="1">
      <alignment horizontal="center"/>
    </xf>
    <xf numFmtId="164" fontId="145" fillId="14" borderId="2" xfId="2" applyFont="1" applyFill="1" applyBorder="1"/>
    <xf numFmtId="0" fontId="137" fillId="14" borderId="1" xfId="27" applyFont="1" applyFill="1" applyBorder="1"/>
    <xf numFmtId="164" fontId="137" fillId="14" borderId="1" xfId="2" applyFont="1" applyFill="1" applyBorder="1"/>
    <xf numFmtId="164" fontId="3" fillId="14" borderId="9" xfId="2" applyFont="1" applyFill="1" applyBorder="1"/>
    <xf numFmtId="0" fontId="3" fillId="14" borderId="0" xfId="0" applyFont="1" applyFill="1"/>
    <xf numFmtId="0" fontId="23" fillId="14" borderId="45" xfId="16" applyFont="1" applyFill="1" applyBorder="1" applyAlignment="1">
      <alignment horizontal="right"/>
    </xf>
    <xf numFmtId="0" fontId="104" fillId="14" borderId="0" xfId="83" applyFont="1" applyFill="1" applyBorder="1" applyAlignment="1">
      <alignment horizontal="center"/>
    </xf>
    <xf numFmtId="44" fontId="0" fillId="0" borderId="13" xfId="0" applyNumberFormat="1" applyBorder="1"/>
    <xf numFmtId="0" fontId="145" fillId="0" borderId="6" xfId="27" applyFont="1" applyBorder="1"/>
    <xf numFmtId="0" fontId="145" fillId="0" borderId="21" xfId="27" applyFont="1" applyBorder="1"/>
    <xf numFmtId="164" fontId="155" fillId="14" borderId="2" xfId="2" applyFont="1" applyFill="1" applyBorder="1"/>
    <xf numFmtId="0" fontId="137" fillId="14" borderId="41" xfId="27" applyFont="1" applyFill="1" applyBorder="1" applyAlignment="1">
      <alignment horizontal="center"/>
    </xf>
    <xf numFmtId="0" fontId="3" fillId="14" borderId="14" xfId="16" applyFont="1" applyFill="1" applyBorder="1" applyAlignment="1">
      <alignment horizontal="center"/>
    </xf>
    <xf numFmtId="0" fontId="137" fillId="14" borderId="14" xfId="27" applyFont="1" applyFill="1" applyBorder="1" applyAlignment="1">
      <alignment horizontal="center"/>
    </xf>
    <xf numFmtId="167" fontId="144" fillId="14" borderId="14" xfId="27" applyNumberFormat="1" applyFont="1" applyFill="1" applyBorder="1" applyAlignment="1">
      <alignment horizontal="center"/>
    </xf>
    <xf numFmtId="167" fontId="137" fillId="14" borderId="14" xfId="27" applyNumberFormat="1" applyFont="1" applyFill="1" applyBorder="1" applyAlignment="1">
      <alignment horizontal="center"/>
    </xf>
    <xf numFmtId="165" fontId="137" fillId="14" borderId="14" xfId="27" applyNumberFormat="1" applyFont="1" applyFill="1" applyBorder="1" applyAlignment="1">
      <alignment horizontal="center"/>
    </xf>
    <xf numFmtId="167" fontId="137" fillId="14" borderId="34" xfId="27" applyNumberFormat="1" applyFont="1" applyFill="1" applyBorder="1" applyAlignment="1">
      <alignment horizontal="center"/>
    </xf>
    <xf numFmtId="0" fontId="106" fillId="14" borderId="63" xfId="83" applyFont="1" applyFill="1" applyBorder="1" applyAlignment="1">
      <alignment horizontal="center"/>
    </xf>
    <xf numFmtId="0" fontId="137" fillId="14" borderId="41" xfId="83" applyFont="1" applyFill="1" applyBorder="1" applyAlignment="1">
      <alignment horizontal="center"/>
    </xf>
    <xf numFmtId="1" fontId="137" fillId="14" borderId="14" xfId="83" applyNumberFormat="1" applyFont="1" applyFill="1" applyBorder="1" applyAlignment="1">
      <alignment horizontal="center"/>
    </xf>
    <xf numFmtId="0" fontId="137" fillId="14" borderId="14" xfId="83" applyFont="1" applyFill="1" applyBorder="1" applyAlignment="1">
      <alignment horizontal="center"/>
    </xf>
    <xf numFmtId="165" fontId="137" fillId="14" borderId="14" xfId="83" applyNumberFormat="1" applyFont="1" applyFill="1" applyBorder="1" applyAlignment="1">
      <alignment horizontal="center"/>
    </xf>
    <xf numFmtId="165" fontId="137" fillId="14" borderId="34" xfId="83" applyNumberFormat="1" applyFont="1" applyFill="1" applyBorder="1" applyAlignment="1">
      <alignment horizontal="center"/>
    </xf>
    <xf numFmtId="0" fontId="139" fillId="14" borderId="41" xfId="27" applyFont="1" applyFill="1" applyBorder="1" applyAlignment="1">
      <alignment horizontal="center" wrapText="1"/>
    </xf>
    <xf numFmtId="0" fontId="139" fillId="14" borderId="14" xfId="27" applyFont="1" applyFill="1" applyBorder="1" applyAlignment="1">
      <alignment horizontal="center" wrapText="1"/>
    </xf>
    <xf numFmtId="165" fontId="139" fillId="14" borderId="14" xfId="27" applyNumberFormat="1" applyFont="1" applyFill="1" applyBorder="1" applyAlignment="1">
      <alignment horizontal="center"/>
    </xf>
    <xf numFmtId="1" fontId="137" fillId="14" borderId="14" xfId="27" applyNumberFormat="1" applyFont="1" applyFill="1" applyBorder="1" applyAlignment="1">
      <alignment horizontal="center"/>
    </xf>
    <xf numFmtId="0" fontId="137" fillId="14" borderId="14" xfId="27" applyFont="1" applyFill="1" applyBorder="1" applyAlignment="1">
      <alignment horizontal="center" wrapText="1"/>
    </xf>
    <xf numFmtId="0" fontId="137" fillId="14" borderId="34" xfId="27" applyFont="1" applyFill="1" applyBorder="1" applyAlignment="1">
      <alignment horizontal="center"/>
    </xf>
    <xf numFmtId="166" fontId="137" fillId="14" borderId="59" xfId="27" applyNumberFormat="1" applyFont="1" applyFill="1" applyBorder="1" applyAlignment="1">
      <alignment horizontal="center"/>
    </xf>
    <xf numFmtId="2" fontId="137" fillId="14" borderId="8" xfId="27" applyNumberFormat="1" applyFont="1" applyFill="1" applyBorder="1" applyAlignment="1">
      <alignment horizontal="center"/>
    </xf>
    <xf numFmtId="2" fontId="139" fillId="14" borderId="8" xfId="27" applyNumberFormat="1" applyFont="1" applyFill="1" applyBorder="1" applyAlignment="1">
      <alignment horizontal="center"/>
    </xf>
    <xf numFmtId="167" fontId="137" fillId="14" borderId="58" xfId="27" applyNumberFormat="1" applyFont="1" applyFill="1" applyBorder="1" applyAlignment="1">
      <alignment horizontal="center"/>
    </xf>
    <xf numFmtId="164" fontId="155" fillId="14" borderId="41" xfId="2" applyFont="1" applyFill="1" applyBorder="1"/>
    <xf numFmtId="164" fontId="137" fillId="14" borderId="14" xfId="2" applyFont="1" applyFill="1" applyBorder="1"/>
    <xf numFmtId="164" fontId="3" fillId="14" borderId="34" xfId="2" applyFont="1" applyFill="1" applyBorder="1"/>
    <xf numFmtId="44" fontId="137" fillId="14" borderId="14" xfId="27" applyNumberFormat="1" applyFont="1" applyFill="1" applyBorder="1"/>
    <xf numFmtId="164" fontId="145" fillId="14" borderId="1" xfId="2" applyFont="1" applyFill="1" applyBorder="1"/>
    <xf numFmtId="0" fontId="123" fillId="0" borderId="0" xfId="0" applyFont="1"/>
    <xf numFmtId="0" fontId="156" fillId="0" borderId="12" xfId="27" applyFont="1" applyBorder="1" applyAlignment="1">
      <alignment horizontal="center"/>
    </xf>
    <xf numFmtId="0" fontId="156" fillId="0" borderId="1" xfId="27" applyFont="1" applyBorder="1" applyAlignment="1">
      <alignment horizontal="center" wrapText="1"/>
    </xf>
    <xf numFmtId="0" fontId="156" fillId="0" borderId="14" xfId="27" applyFont="1" applyBorder="1" applyAlignment="1">
      <alignment horizontal="center" wrapText="1"/>
    </xf>
    <xf numFmtId="1" fontId="156" fillId="14" borderId="1" xfId="27" applyNumberFormat="1" applyFont="1" applyFill="1" applyBorder="1" applyAlignment="1">
      <alignment horizontal="center"/>
    </xf>
    <xf numFmtId="1" fontId="156" fillId="0" borderId="1" xfId="27" applyNumberFormat="1" applyFont="1" applyBorder="1" applyAlignment="1">
      <alignment horizontal="center"/>
    </xf>
    <xf numFmtId="1" fontId="157" fillId="14" borderId="1" xfId="27" applyNumberFormat="1" applyFont="1" applyFill="1" applyBorder="1" applyAlignment="1">
      <alignment horizontal="center"/>
    </xf>
    <xf numFmtId="1" fontId="157" fillId="0" borderId="1" xfId="27" applyNumberFormat="1" applyFont="1" applyBorder="1" applyAlignment="1">
      <alignment horizontal="center"/>
    </xf>
    <xf numFmtId="1" fontId="157" fillId="14" borderId="14" xfId="27" applyNumberFormat="1" applyFont="1" applyFill="1" applyBorder="1" applyAlignment="1">
      <alignment horizontal="center"/>
    </xf>
    <xf numFmtId="1" fontId="156" fillId="0" borderId="10" xfId="27" applyNumberFormat="1" applyFont="1" applyBorder="1" applyAlignment="1">
      <alignment horizontal="center"/>
    </xf>
    <xf numFmtId="0" fontId="110" fillId="0" borderId="0" xfId="0" applyFont="1"/>
    <xf numFmtId="0" fontId="80" fillId="0" borderId="9" xfId="83" applyFont="1" applyBorder="1" applyAlignment="1">
      <alignment horizontal="center"/>
    </xf>
    <xf numFmtId="0" fontId="95" fillId="0" borderId="2" xfId="83" applyFont="1" applyBorder="1" applyAlignment="1">
      <alignment horizontal="center"/>
    </xf>
    <xf numFmtId="0" fontId="80" fillId="0" borderId="75" xfId="83" applyFont="1" applyBorder="1" applyAlignment="1">
      <alignment horizontal="center"/>
    </xf>
    <xf numFmtId="44" fontId="0" fillId="0" borderId="45" xfId="4" applyFont="1" applyBorder="1" applyAlignment="1">
      <alignment horizontal="center"/>
    </xf>
    <xf numFmtId="1" fontId="5" fillId="14" borderId="0" xfId="0" applyNumberFormat="1" applyFont="1" applyFill="1" applyAlignment="1">
      <alignment horizontal="left"/>
    </xf>
    <xf numFmtId="2" fontId="158" fillId="14" borderId="0" xfId="0" applyNumberFormat="1" applyFont="1" applyFill="1"/>
    <xf numFmtId="0" fontId="158" fillId="14" borderId="0" xfId="0" applyFont="1" applyFill="1"/>
    <xf numFmtId="0" fontId="26" fillId="14" borderId="0" xfId="0" applyFont="1" applyFill="1"/>
    <xf numFmtId="0" fontId="145" fillId="0" borderId="21" xfId="27" applyFont="1" applyBorder="1" applyAlignment="1">
      <alignment horizontal="left" wrapText="1"/>
    </xf>
    <xf numFmtId="0" fontId="159" fillId="0" borderId="14" xfId="27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137" fillId="15" borderId="2" xfId="27" applyFont="1" applyFill="1" applyBorder="1" applyAlignment="1">
      <alignment horizontal="center"/>
    </xf>
    <xf numFmtId="0" fontId="137" fillId="15" borderId="1" xfId="27" applyFont="1" applyFill="1" applyBorder="1" applyAlignment="1">
      <alignment horizontal="center"/>
    </xf>
    <xf numFmtId="167" fontId="144" fillId="15" borderId="1" xfId="27" applyNumberFormat="1" applyFont="1" applyFill="1" applyBorder="1" applyAlignment="1">
      <alignment horizontal="center"/>
    </xf>
    <xf numFmtId="0" fontId="137" fillId="15" borderId="2" xfId="83" applyFont="1" applyFill="1" applyBorder="1" applyAlignment="1">
      <alignment horizontal="center"/>
    </xf>
    <xf numFmtId="1" fontId="137" fillId="15" borderId="1" xfId="83" applyNumberFormat="1" applyFont="1" applyFill="1" applyBorder="1" applyAlignment="1">
      <alignment horizontal="center"/>
    </xf>
    <xf numFmtId="0" fontId="139" fillId="15" borderId="2" xfId="27" applyFont="1" applyFill="1" applyBorder="1" applyAlignment="1">
      <alignment horizontal="center" wrapText="1"/>
    </xf>
    <xf numFmtId="0" fontId="139" fillId="15" borderId="1" xfId="27" applyFont="1" applyFill="1" applyBorder="1" applyAlignment="1">
      <alignment horizontal="center" wrapText="1"/>
    </xf>
    <xf numFmtId="1" fontId="137" fillId="15" borderId="1" xfId="27" applyNumberFormat="1" applyFont="1" applyFill="1" applyBorder="1" applyAlignment="1">
      <alignment horizontal="center"/>
    </xf>
    <xf numFmtId="1" fontId="157" fillId="15" borderId="1" xfId="27" applyNumberFormat="1" applyFont="1" applyFill="1" applyBorder="1" applyAlignment="1">
      <alignment horizontal="center"/>
    </xf>
    <xf numFmtId="0" fontId="135" fillId="15" borderId="9" xfId="27" applyFill="1" applyBorder="1" applyAlignment="1">
      <alignment horizontal="center"/>
    </xf>
    <xf numFmtId="0" fontId="137" fillId="15" borderId="0" xfId="27" applyFont="1" applyFill="1"/>
    <xf numFmtId="164" fontId="145" fillId="15" borderId="2" xfId="2" applyFont="1" applyFill="1" applyBorder="1"/>
    <xf numFmtId="0" fontId="137" fillId="15" borderId="1" xfId="27" applyFont="1" applyFill="1" applyBorder="1"/>
    <xf numFmtId="164" fontId="137" fillId="15" borderId="1" xfId="2" applyFont="1" applyFill="1" applyBorder="1"/>
    <xf numFmtId="164" fontId="3" fillId="15" borderId="9" xfId="2" applyFont="1" applyFill="1" applyBorder="1"/>
    <xf numFmtId="1" fontId="4" fillId="15" borderId="0" xfId="0" applyNumberFormat="1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0" fillId="15" borderId="0" xfId="0" applyFill="1"/>
    <xf numFmtId="2" fontId="3" fillId="15" borderId="0" xfId="0" applyNumberFormat="1" applyFont="1" applyFill="1"/>
    <xf numFmtId="2" fontId="158" fillId="15" borderId="0" xfId="0" applyNumberFormat="1" applyFont="1" applyFill="1"/>
    <xf numFmtId="0" fontId="3" fillId="15" borderId="0" xfId="0" applyFont="1" applyFill="1"/>
    <xf numFmtId="0" fontId="158" fillId="15" borderId="0" xfId="0" applyFont="1" applyFill="1"/>
    <xf numFmtId="0" fontId="135" fillId="15" borderId="1" xfId="27" applyFill="1" applyBorder="1" applyAlignment="1">
      <alignment horizontal="center"/>
    </xf>
    <xf numFmtId="0" fontId="135" fillId="15" borderId="2" xfId="83" applyFill="1" applyBorder="1" applyAlignment="1">
      <alignment horizontal="center"/>
    </xf>
    <xf numFmtId="1" fontId="135" fillId="15" borderId="1" xfId="83" applyNumberFormat="1" applyFill="1" applyBorder="1" applyAlignment="1">
      <alignment horizontal="center"/>
    </xf>
    <xf numFmtId="1" fontId="135" fillId="15" borderId="1" xfId="27" applyNumberFormat="1" applyFill="1" applyBorder="1" applyAlignment="1">
      <alignment horizontal="center"/>
    </xf>
    <xf numFmtId="1" fontId="156" fillId="15" borderId="1" xfId="27" applyNumberFormat="1" applyFont="1" applyFill="1" applyBorder="1" applyAlignment="1">
      <alignment horizontal="center"/>
    </xf>
    <xf numFmtId="0" fontId="135" fillId="15" borderId="0" xfId="27" applyFill="1"/>
    <xf numFmtId="0" fontId="141" fillId="15" borderId="2" xfId="27" applyFont="1" applyFill="1" applyBorder="1"/>
    <xf numFmtId="0" fontId="135" fillId="15" borderId="1" xfId="27" applyFill="1" applyBorder="1"/>
    <xf numFmtId="164" fontId="135" fillId="15" borderId="1" xfId="2" applyFont="1" applyFill="1" applyBorder="1"/>
    <xf numFmtId="44" fontId="0" fillId="15" borderId="9" xfId="0" applyNumberFormat="1" applyFill="1" applyBorder="1"/>
    <xf numFmtId="164" fontId="155" fillId="15" borderId="2" xfId="2" applyFont="1" applyFill="1" applyBorder="1"/>
    <xf numFmtId="2" fontId="4" fillId="15" borderId="0" xfId="0" applyNumberFormat="1" applyFont="1" applyFill="1" applyAlignment="1">
      <alignment horizontal="center"/>
    </xf>
    <xf numFmtId="164" fontId="145" fillId="15" borderId="1" xfId="2" applyFont="1" applyFill="1" applyBorder="1"/>
    <xf numFmtId="0" fontId="137" fillId="16" borderId="2" xfId="83" applyFont="1" applyFill="1" applyBorder="1" applyAlignment="1">
      <alignment horizontal="center"/>
    </xf>
    <xf numFmtId="0" fontId="137" fillId="16" borderId="2" xfId="27" applyFont="1" applyFill="1" applyBorder="1" applyAlignment="1">
      <alignment horizontal="center"/>
    </xf>
    <xf numFmtId="0" fontId="137" fillId="16" borderId="1" xfId="27" applyFont="1" applyFill="1" applyBorder="1" applyAlignment="1">
      <alignment horizontal="center"/>
    </xf>
    <xf numFmtId="0" fontId="135" fillId="16" borderId="1" xfId="27" applyFill="1" applyBorder="1" applyAlignment="1">
      <alignment horizontal="center"/>
    </xf>
    <xf numFmtId="167" fontId="144" fillId="16" borderId="1" xfId="27" applyNumberFormat="1" applyFont="1" applyFill="1" applyBorder="1" applyAlignment="1">
      <alignment horizontal="center"/>
    </xf>
    <xf numFmtId="0" fontId="135" fillId="16" borderId="2" xfId="83" applyFill="1" applyBorder="1" applyAlignment="1">
      <alignment horizontal="center"/>
    </xf>
    <xf numFmtId="1" fontId="135" fillId="16" borderId="1" xfId="83" applyNumberFormat="1" applyFill="1" applyBorder="1" applyAlignment="1">
      <alignment horizontal="center"/>
    </xf>
    <xf numFmtId="0" fontId="139" fillId="16" borderId="2" xfId="27" applyFont="1" applyFill="1" applyBorder="1" applyAlignment="1">
      <alignment horizontal="center" wrapText="1"/>
    </xf>
    <xf numFmtId="0" fontId="139" fillId="16" borderId="1" xfId="27" applyFont="1" applyFill="1" applyBorder="1" applyAlignment="1">
      <alignment horizontal="center" wrapText="1"/>
    </xf>
    <xf numFmtId="1" fontId="135" fillId="16" borderId="1" xfId="27" applyNumberFormat="1" applyFill="1" applyBorder="1" applyAlignment="1">
      <alignment horizontal="center"/>
    </xf>
    <xf numFmtId="1" fontId="156" fillId="16" borderId="1" xfId="27" applyNumberFormat="1" applyFont="1" applyFill="1" applyBorder="1" applyAlignment="1">
      <alignment horizontal="center"/>
    </xf>
    <xf numFmtId="0" fontId="135" fillId="16" borderId="9" xfId="27" applyFill="1" applyBorder="1" applyAlignment="1">
      <alignment horizontal="center"/>
    </xf>
    <xf numFmtId="0" fontId="135" fillId="16" borderId="0" xfId="27" applyFill="1"/>
    <xf numFmtId="164" fontId="141" fillId="16" borderId="2" xfId="2" applyFont="1" applyFill="1" applyBorder="1"/>
    <xf numFmtId="0" fontId="135" fillId="16" borderId="1" xfId="27" applyFill="1" applyBorder="1"/>
    <xf numFmtId="164" fontId="135" fillId="16" borderId="1" xfId="2" applyFont="1" applyFill="1" applyBorder="1"/>
    <xf numFmtId="164" fontId="6" fillId="16" borderId="9" xfId="2" applyFont="1" applyFill="1" applyBorder="1"/>
    <xf numFmtId="0" fontId="100" fillId="16" borderId="2" xfId="83" applyFont="1" applyFill="1" applyBorder="1" applyAlignment="1">
      <alignment horizontal="center"/>
    </xf>
    <xf numFmtId="0" fontId="4" fillId="16" borderId="0" xfId="0" applyFont="1" applyFill="1" applyAlignment="1">
      <alignment horizontal="center"/>
    </xf>
    <xf numFmtId="0" fontId="0" fillId="16" borderId="0" xfId="0" applyFill="1"/>
    <xf numFmtId="2" fontId="3" fillId="16" borderId="0" xfId="0" applyNumberFormat="1" applyFont="1" applyFill="1"/>
    <xf numFmtId="1" fontId="137" fillId="16" borderId="1" xfId="27" applyNumberFormat="1" applyFont="1" applyFill="1" applyBorder="1" applyAlignment="1">
      <alignment horizontal="center"/>
    </xf>
    <xf numFmtId="0" fontId="123" fillId="16" borderId="0" xfId="0" applyFont="1" applyFill="1"/>
    <xf numFmtId="1" fontId="137" fillId="16" borderId="1" xfId="83" applyNumberFormat="1" applyFont="1" applyFill="1" applyBorder="1" applyAlignment="1">
      <alignment horizontal="center"/>
    </xf>
    <xf numFmtId="1" fontId="157" fillId="16" borderId="1" xfId="27" applyNumberFormat="1" applyFont="1" applyFill="1" applyBorder="1" applyAlignment="1">
      <alignment horizontal="center"/>
    </xf>
    <xf numFmtId="0" fontId="137" fillId="16" borderId="9" xfId="27" applyFont="1" applyFill="1" applyBorder="1" applyAlignment="1">
      <alignment horizontal="center"/>
    </xf>
    <xf numFmtId="0" fontId="137" fillId="16" borderId="0" xfId="27" applyFont="1" applyFill="1"/>
    <xf numFmtId="164" fontId="145" fillId="16" borderId="2" xfId="2" applyFont="1" applyFill="1" applyBorder="1"/>
    <xf numFmtId="0" fontId="137" fillId="16" borderId="1" xfId="27" applyFont="1" applyFill="1" applyBorder="1"/>
    <xf numFmtId="164" fontId="137" fillId="16" borderId="1" xfId="2" applyFont="1" applyFill="1" applyBorder="1"/>
    <xf numFmtId="164" fontId="3" fillId="16" borderId="9" xfId="2" applyFont="1" applyFill="1" applyBorder="1"/>
    <xf numFmtId="2" fontId="4" fillId="16" borderId="0" xfId="0" applyNumberFormat="1" applyFont="1" applyFill="1" applyAlignment="1">
      <alignment horizontal="center"/>
    </xf>
    <xf numFmtId="0" fontId="3" fillId="16" borderId="0" xfId="0" applyFont="1" applyFill="1"/>
    <xf numFmtId="44" fontId="137" fillId="16" borderId="14" xfId="27" applyNumberFormat="1" applyFont="1" applyFill="1" applyBorder="1"/>
    <xf numFmtId="1" fontId="4" fillId="16" borderId="0" xfId="0" applyNumberFormat="1" applyFont="1" applyFill="1" applyAlignment="1">
      <alignment horizontal="center"/>
    </xf>
    <xf numFmtId="1" fontId="5" fillId="16" borderId="0" xfId="0" applyNumberFormat="1" applyFont="1" applyFill="1" applyAlignment="1">
      <alignment horizontal="left"/>
    </xf>
    <xf numFmtId="0" fontId="137" fillId="0" borderId="0" xfId="27" applyFont="1" applyFill="1" applyBorder="1" applyAlignment="1">
      <alignment horizontal="center"/>
    </xf>
    <xf numFmtId="1" fontId="137" fillId="0" borderId="0" xfId="27" applyNumberFormat="1" applyFont="1" applyFill="1" applyBorder="1" applyAlignment="1">
      <alignment horizontal="center"/>
    </xf>
    <xf numFmtId="167" fontId="144" fillId="0" borderId="0" xfId="27" applyNumberFormat="1" applyFont="1" applyFill="1" applyBorder="1" applyAlignment="1">
      <alignment horizontal="center"/>
    </xf>
    <xf numFmtId="0" fontId="137" fillId="0" borderId="0" xfId="83" applyFont="1" applyFill="1" applyBorder="1" applyAlignment="1">
      <alignment horizontal="center"/>
    </xf>
    <xf numFmtId="1" fontId="137" fillId="0" borderId="0" xfId="83" applyNumberFormat="1" applyFont="1" applyFill="1" applyBorder="1" applyAlignment="1">
      <alignment horizontal="center"/>
    </xf>
    <xf numFmtId="0" fontId="139" fillId="0" borderId="0" xfId="27" applyFont="1" applyFill="1" applyBorder="1" applyAlignment="1">
      <alignment horizontal="center" wrapText="1"/>
    </xf>
    <xf numFmtId="1" fontId="157" fillId="0" borderId="0" xfId="27" applyNumberFormat="1" applyFont="1" applyFill="1" applyBorder="1" applyAlignment="1">
      <alignment horizontal="center"/>
    </xf>
    <xf numFmtId="0" fontId="137" fillId="0" borderId="0" xfId="27" applyFont="1" applyFill="1"/>
    <xf numFmtId="164" fontId="145" fillId="0" borderId="0" xfId="2" applyFont="1" applyFill="1" applyBorder="1"/>
    <xf numFmtId="44" fontId="137" fillId="0" borderId="0" xfId="27" applyNumberFormat="1" applyFont="1" applyFill="1" applyBorder="1"/>
    <xf numFmtId="164" fontId="137" fillId="0" borderId="0" xfId="2" applyFont="1" applyFill="1" applyBorder="1"/>
    <xf numFmtId="164" fontId="3" fillId="0" borderId="0" xfId="2" applyFont="1" applyFill="1" applyBorder="1"/>
    <xf numFmtId="1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2" fontId="3" fillId="0" borderId="0" xfId="0" applyNumberFormat="1" applyFont="1" applyFill="1"/>
    <xf numFmtId="0" fontId="3" fillId="0" borderId="0" xfId="0" applyFont="1" applyFill="1"/>
    <xf numFmtId="0" fontId="137" fillId="0" borderId="2" xfId="27" applyFont="1" applyFill="1" applyBorder="1" applyAlignment="1">
      <alignment horizontal="center"/>
    </xf>
    <xf numFmtId="0" fontId="137" fillId="0" borderId="1" xfId="27" applyFont="1" applyFill="1" applyBorder="1" applyAlignment="1">
      <alignment horizontal="center"/>
    </xf>
    <xf numFmtId="167" fontId="144" fillId="0" borderId="1" xfId="27" applyNumberFormat="1" applyFont="1" applyFill="1" applyBorder="1" applyAlignment="1">
      <alignment horizontal="center"/>
    </xf>
    <xf numFmtId="0" fontId="137" fillId="0" borderId="2" xfId="83" applyFont="1" applyFill="1" applyBorder="1" applyAlignment="1">
      <alignment horizontal="center"/>
    </xf>
    <xf numFmtId="1" fontId="137" fillId="0" borderId="1" xfId="83" applyNumberFormat="1" applyFont="1" applyFill="1" applyBorder="1" applyAlignment="1">
      <alignment horizontal="center"/>
    </xf>
    <xf numFmtId="0" fontId="139" fillId="0" borderId="2" xfId="27" applyFont="1" applyFill="1" applyBorder="1" applyAlignment="1">
      <alignment horizontal="center" wrapText="1"/>
    </xf>
    <xf numFmtId="0" fontId="139" fillId="0" borderId="1" xfId="27" applyFont="1" applyFill="1" applyBorder="1" applyAlignment="1">
      <alignment horizontal="center" wrapText="1"/>
    </xf>
    <xf numFmtId="1" fontId="137" fillId="0" borderId="1" xfId="27" applyNumberFormat="1" applyFont="1" applyFill="1" applyBorder="1" applyAlignment="1">
      <alignment horizontal="center"/>
    </xf>
    <xf numFmtId="1" fontId="157" fillId="0" borderId="1" xfId="27" applyNumberFormat="1" applyFont="1" applyFill="1" applyBorder="1" applyAlignment="1">
      <alignment horizontal="center"/>
    </xf>
    <xf numFmtId="0" fontId="137" fillId="0" borderId="9" xfId="27" applyFont="1" applyFill="1" applyBorder="1" applyAlignment="1">
      <alignment horizontal="center"/>
    </xf>
    <xf numFmtId="164" fontId="145" fillId="0" borderId="2" xfId="2" applyFont="1" applyFill="1" applyBorder="1"/>
    <xf numFmtId="0" fontId="137" fillId="0" borderId="1" xfId="27" applyFont="1" applyFill="1" applyBorder="1"/>
    <xf numFmtId="164" fontId="137" fillId="0" borderId="1" xfId="2" applyFont="1" applyFill="1" applyBorder="1"/>
    <xf numFmtId="164" fontId="3" fillId="0" borderId="9" xfId="2" applyFont="1" applyFill="1" applyBorder="1"/>
    <xf numFmtId="0" fontId="100" fillId="0" borderId="2" xfId="83" applyFont="1" applyFill="1" applyBorder="1" applyAlignment="1">
      <alignment horizontal="center"/>
    </xf>
    <xf numFmtId="44" fontId="137" fillId="0" borderId="14" xfId="27" applyNumberFormat="1" applyFont="1" applyFill="1" applyBorder="1"/>
    <xf numFmtId="0" fontId="100" fillId="0" borderId="0" xfId="83" applyFont="1" applyFill="1" applyBorder="1" applyAlignment="1">
      <alignment horizontal="center"/>
    </xf>
    <xf numFmtId="0" fontId="123" fillId="0" borderId="0" xfId="0" applyFont="1" applyFill="1"/>
    <xf numFmtId="0" fontId="135" fillId="0" borderId="1" xfId="27" applyFill="1" applyBorder="1" applyAlignment="1">
      <alignment horizontal="center"/>
    </xf>
    <xf numFmtId="0" fontId="135" fillId="0" borderId="2" xfId="83" applyFill="1" applyBorder="1" applyAlignment="1">
      <alignment horizontal="center"/>
    </xf>
    <xf numFmtId="1" fontId="135" fillId="0" borderId="1" xfId="83" applyNumberFormat="1" applyFill="1" applyBorder="1" applyAlignment="1">
      <alignment horizontal="center"/>
    </xf>
    <xf numFmtId="1" fontId="135" fillId="0" borderId="1" xfId="27" applyNumberFormat="1" applyFill="1" applyBorder="1" applyAlignment="1">
      <alignment horizontal="center"/>
    </xf>
    <xf numFmtId="1" fontId="156" fillId="0" borderId="1" xfId="27" applyNumberFormat="1" applyFont="1" applyFill="1" applyBorder="1" applyAlignment="1">
      <alignment horizontal="center"/>
    </xf>
    <xf numFmtId="0" fontId="135" fillId="0" borderId="9" xfId="27" applyFill="1" applyBorder="1" applyAlignment="1">
      <alignment horizontal="center"/>
    </xf>
    <xf numFmtId="0" fontId="135" fillId="0" borderId="0" xfId="27" applyFill="1"/>
    <xf numFmtId="164" fontId="141" fillId="0" borderId="2" xfId="2" applyFont="1" applyFill="1" applyBorder="1"/>
    <xf numFmtId="0" fontId="135" fillId="0" borderId="1" xfId="27" applyFill="1" applyBorder="1"/>
    <xf numFmtId="164" fontId="135" fillId="0" borderId="1" xfId="2" applyFont="1" applyFill="1" applyBorder="1"/>
    <xf numFmtId="164" fontId="6" fillId="0" borderId="9" xfId="2" applyFont="1" applyFill="1" applyBorder="1"/>
    <xf numFmtId="0" fontId="160" fillId="0" borderId="1" xfId="27" applyFont="1" applyBorder="1" applyAlignment="1">
      <alignment horizontal="center" wrapText="1"/>
    </xf>
    <xf numFmtId="0" fontId="161" fillId="16" borderId="1" xfId="27" applyFont="1" applyFill="1" applyBorder="1" applyAlignment="1">
      <alignment horizontal="center"/>
    </xf>
    <xf numFmtId="0" fontId="127" fillId="16" borderId="0" xfId="0" applyFont="1" applyFill="1"/>
    <xf numFmtId="0" fontId="161" fillId="0" borderId="0" xfId="27" applyFont="1" applyFill="1" applyBorder="1" applyAlignment="1">
      <alignment horizontal="center"/>
    </xf>
    <xf numFmtId="0" fontId="127" fillId="0" borderId="0" xfId="0" applyFont="1"/>
    <xf numFmtId="0" fontId="161" fillId="15" borderId="1" xfId="27" applyFont="1" applyFill="1" applyBorder="1" applyAlignment="1">
      <alignment horizontal="center"/>
    </xf>
    <xf numFmtId="0" fontId="5" fillId="0" borderId="0" xfId="16" applyFill="1" applyBorder="1" applyAlignment="1">
      <alignment horizontal="center"/>
    </xf>
    <xf numFmtId="0" fontId="135" fillId="0" borderId="0" xfId="27" applyFill="1" applyBorder="1" applyAlignment="1">
      <alignment horizontal="center"/>
    </xf>
    <xf numFmtId="167" fontId="135" fillId="0" borderId="0" xfId="27" applyNumberFormat="1" applyFill="1" applyBorder="1" applyAlignment="1">
      <alignment horizontal="center"/>
    </xf>
    <xf numFmtId="165" fontId="135" fillId="0" borderId="0" xfId="27" applyNumberFormat="1" applyFill="1" applyBorder="1" applyAlignment="1">
      <alignment horizontal="center"/>
    </xf>
    <xf numFmtId="0" fontId="103" fillId="0" borderId="0" xfId="83" applyFont="1" applyFill="1" applyBorder="1" applyAlignment="1">
      <alignment horizontal="center"/>
    </xf>
    <xf numFmtId="0" fontId="135" fillId="0" borderId="0" xfId="83" applyFill="1" applyBorder="1" applyAlignment="1">
      <alignment horizontal="center"/>
    </xf>
    <xf numFmtId="1" fontId="135" fillId="0" borderId="0" xfId="83" applyNumberFormat="1" applyFill="1" applyBorder="1" applyAlignment="1">
      <alignment horizontal="center"/>
    </xf>
    <xf numFmtId="165" fontId="135" fillId="0" borderId="0" xfId="83" applyNumberFormat="1" applyFill="1" applyBorder="1" applyAlignment="1">
      <alignment horizontal="center"/>
    </xf>
    <xf numFmtId="165" fontId="139" fillId="0" borderId="0" xfId="27" applyNumberFormat="1" applyFont="1" applyFill="1" applyBorder="1" applyAlignment="1">
      <alignment horizontal="center"/>
    </xf>
    <xf numFmtId="1" fontId="135" fillId="0" borderId="0" xfId="27" applyNumberFormat="1" applyFill="1" applyBorder="1" applyAlignment="1">
      <alignment horizontal="center"/>
    </xf>
    <xf numFmtId="0" fontId="137" fillId="0" borderId="0" xfId="27" applyFont="1" applyFill="1" applyBorder="1" applyAlignment="1">
      <alignment horizontal="center" wrapText="1"/>
    </xf>
    <xf numFmtId="1" fontId="156" fillId="0" borderId="0" xfId="27" applyNumberFormat="1" applyFont="1" applyFill="1" applyBorder="1" applyAlignment="1">
      <alignment horizontal="center"/>
    </xf>
    <xf numFmtId="166" fontId="137" fillId="0" borderId="0" xfId="27" applyNumberFormat="1" applyFont="1" applyFill="1" applyBorder="1" applyAlignment="1">
      <alignment horizontal="center"/>
    </xf>
    <xf numFmtId="2" fontId="137" fillId="0" borderId="0" xfId="27" applyNumberFormat="1" applyFont="1" applyFill="1" applyBorder="1" applyAlignment="1">
      <alignment horizontal="center"/>
    </xf>
    <xf numFmtId="2" fontId="139" fillId="0" borderId="0" xfId="27" applyNumberFormat="1" applyFont="1" applyFill="1" applyBorder="1" applyAlignment="1">
      <alignment horizontal="center"/>
    </xf>
    <xf numFmtId="164" fontId="141" fillId="0" borderId="0" xfId="2" applyFont="1" applyFill="1" applyBorder="1"/>
    <xf numFmtId="164" fontId="135" fillId="0" borderId="0" xfId="2" applyFont="1" applyFill="1" applyBorder="1"/>
    <xf numFmtId="164" fontId="6" fillId="0" borderId="0" xfId="2" applyFont="1" applyFill="1" applyBorder="1"/>
    <xf numFmtId="1" fontId="0" fillId="0" borderId="0" xfId="0" applyNumberFormat="1" applyFill="1" applyAlignment="1">
      <alignment horizontal="center"/>
    </xf>
    <xf numFmtId="1" fontId="5" fillId="0" borderId="0" xfId="0" applyNumberFormat="1" applyFont="1" applyFill="1" applyAlignment="1">
      <alignment horizontal="left"/>
    </xf>
    <xf numFmtId="0" fontId="26" fillId="0" borderId="0" xfId="0" applyFont="1" applyFill="1"/>
    <xf numFmtId="1" fontId="4" fillId="0" borderId="0" xfId="16" applyNumberFormat="1" applyFont="1" applyFill="1" applyBorder="1" applyAlignment="1">
      <alignment horizontal="center"/>
    </xf>
    <xf numFmtId="0" fontId="23" fillId="0" borderId="0" xfId="16" applyFont="1" applyFill="1" applyBorder="1" applyAlignment="1">
      <alignment horizontal="right"/>
    </xf>
    <xf numFmtId="0" fontId="161" fillId="14" borderId="1" xfId="27" applyFont="1" applyFill="1" applyBorder="1" applyAlignment="1">
      <alignment horizontal="center"/>
    </xf>
    <xf numFmtId="1" fontId="161" fillId="14" borderId="1" xfId="27" applyNumberFormat="1" applyFont="1" applyFill="1" applyBorder="1" applyAlignment="1">
      <alignment horizontal="center"/>
    </xf>
    <xf numFmtId="0" fontId="161" fillId="0" borderId="0" xfId="0" applyFont="1"/>
    <xf numFmtId="167" fontId="146" fillId="0" borderId="1" xfId="27" applyNumberFormat="1" applyFont="1" applyBorder="1" applyAlignment="1">
      <alignment horizontal="center"/>
    </xf>
    <xf numFmtId="0" fontId="132" fillId="0" borderId="0" xfId="29">
      <alignment vertical="center"/>
    </xf>
    <xf numFmtId="0" fontId="132" fillId="0" borderId="1" xfId="29" applyBorder="1" applyAlignment="1">
      <alignment horizontal="center" vertical="center"/>
    </xf>
    <xf numFmtId="0" fontId="132" fillId="0" borderId="9" xfId="29" applyBorder="1" applyAlignment="1">
      <alignment horizontal="center" vertical="center"/>
    </xf>
    <xf numFmtId="0" fontId="132" fillId="0" borderId="29" xfId="29" applyBorder="1" applyAlignment="1">
      <alignment horizontal="center" vertical="center"/>
    </xf>
    <xf numFmtId="0" fontId="132" fillId="0" borderId="21" xfId="29" applyBorder="1" applyAlignment="1">
      <alignment horizontal="center" vertical="center"/>
    </xf>
    <xf numFmtId="0" fontId="132" fillId="0" borderId="12" xfId="29" applyBorder="1" applyAlignment="1">
      <alignment horizontal="center" vertical="center"/>
    </xf>
    <xf numFmtId="0" fontId="132" fillId="0" borderId="13" xfId="29" applyBorder="1" applyAlignment="1">
      <alignment horizontal="center" vertical="center"/>
    </xf>
    <xf numFmtId="38" fontId="132" fillId="0" borderId="29" xfId="1" applyFont="1" applyBorder="1" applyAlignment="1">
      <alignment horizontal="center" vertical="center"/>
    </xf>
    <xf numFmtId="38" fontId="132" fillId="0" borderId="1" xfId="1" applyFont="1" applyBorder="1" applyAlignment="1">
      <alignment horizontal="center" vertical="center"/>
    </xf>
    <xf numFmtId="38" fontId="132" fillId="0" borderId="9" xfId="1" applyFont="1" applyBorder="1" applyAlignment="1">
      <alignment horizontal="center" vertical="center"/>
    </xf>
    <xf numFmtId="38" fontId="132" fillId="0" borderId="30" xfId="1" applyFont="1" applyBorder="1" applyAlignment="1">
      <alignment horizontal="center" vertical="center"/>
    </xf>
    <xf numFmtId="38" fontId="132" fillId="0" borderId="10" xfId="1" applyFont="1" applyBorder="1" applyAlignment="1">
      <alignment horizontal="center" vertical="center"/>
    </xf>
    <xf numFmtId="38" fontId="132" fillId="0" borderId="11" xfId="1" applyFont="1" applyBorder="1" applyAlignment="1">
      <alignment horizontal="center" vertical="center"/>
    </xf>
    <xf numFmtId="0" fontId="132" fillId="9" borderId="21" xfId="29" applyFill="1" applyBorder="1">
      <alignment vertical="center"/>
    </xf>
    <xf numFmtId="0" fontId="132" fillId="9" borderId="12" xfId="29" applyFill="1" applyBorder="1">
      <alignment vertical="center"/>
    </xf>
    <xf numFmtId="0" fontId="132" fillId="9" borderId="9" xfId="29" applyFill="1" applyBorder="1" applyAlignment="1">
      <alignment horizontal="center" vertical="center"/>
    </xf>
    <xf numFmtId="0" fontId="132" fillId="9" borderId="52" xfId="29" applyFill="1" applyBorder="1" applyAlignment="1">
      <alignment horizontal="center" vertical="center" wrapText="1"/>
    </xf>
    <xf numFmtId="0" fontId="132" fillId="9" borderId="32" xfId="29" applyFill="1" applyBorder="1" applyAlignment="1">
      <alignment horizontal="center" vertical="center" wrapText="1"/>
    </xf>
    <xf numFmtId="169" fontId="132" fillId="0" borderId="1" xfId="29" applyNumberFormat="1" applyBorder="1">
      <alignment vertical="center"/>
    </xf>
    <xf numFmtId="169" fontId="132" fillId="0" borderId="9" xfId="29" applyNumberFormat="1" applyBorder="1">
      <alignment vertical="center"/>
    </xf>
    <xf numFmtId="169" fontId="132" fillId="0" borderId="10" xfId="29" applyNumberFormat="1" applyBorder="1">
      <alignment vertical="center"/>
    </xf>
    <xf numFmtId="169" fontId="132" fillId="0" borderId="11" xfId="29" applyNumberFormat="1" applyBorder="1">
      <alignment vertical="center"/>
    </xf>
    <xf numFmtId="0" fontId="133" fillId="0" borderId="0" xfId="7" applyFont="1" applyAlignment="1" applyProtection="1">
      <alignment vertical="center"/>
    </xf>
    <xf numFmtId="168" fontId="132" fillId="0" borderId="1" xfId="29" applyNumberFormat="1" applyBorder="1" applyAlignment="1">
      <alignment horizontal="center" vertical="center"/>
    </xf>
    <xf numFmtId="168" fontId="132" fillId="0" borderId="9" xfId="29" applyNumberFormat="1" applyBorder="1" applyAlignment="1">
      <alignment horizontal="center" vertical="center"/>
    </xf>
    <xf numFmtId="168" fontId="132" fillId="0" borderId="10" xfId="29" applyNumberFormat="1" applyBorder="1" applyAlignment="1">
      <alignment horizontal="center" vertical="center"/>
    </xf>
    <xf numFmtId="168" fontId="132" fillId="0" borderId="11" xfId="29" applyNumberFormat="1" applyBorder="1" applyAlignment="1">
      <alignment horizontal="center" vertical="center"/>
    </xf>
    <xf numFmtId="0" fontId="132" fillId="9" borderId="13" xfId="29" applyFill="1" applyBorder="1" applyAlignment="1">
      <alignment horizontal="center" vertical="center"/>
    </xf>
    <xf numFmtId="0" fontId="132" fillId="9" borderId="12" xfId="29" applyFill="1" applyBorder="1" applyAlignment="1">
      <alignment horizontal="center" vertical="center"/>
    </xf>
    <xf numFmtId="0" fontId="132" fillId="9" borderId="2" xfId="29" applyFill="1" applyBorder="1" applyAlignment="1">
      <alignment horizontal="center" vertical="center"/>
    </xf>
    <xf numFmtId="0" fontId="132" fillId="9" borderId="1" xfId="29" applyFill="1" applyBorder="1" applyAlignment="1">
      <alignment horizontal="center" vertical="center"/>
    </xf>
    <xf numFmtId="0" fontId="162" fillId="0" borderId="0" xfId="0" applyFont="1" applyAlignment="1">
      <alignment horizontal="left" readingOrder="1"/>
    </xf>
    <xf numFmtId="0" fontId="5" fillId="0" borderId="27" xfId="0" applyFont="1" applyBorder="1"/>
    <xf numFmtId="0" fontId="5" fillId="0" borderId="0" xfId="0" applyFont="1" applyBorder="1"/>
    <xf numFmtId="0" fontId="5" fillId="0" borderId="28" xfId="0" applyFont="1" applyBorder="1"/>
    <xf numFmtId="0" fontId="4" fillId="0" borderId="62" xfId="0" applyFont="1" applyBorder="1"/>
    <xf numFmtId="0" fontId="130" fillId="0" borderId="62" xfId="0" applyFont="1" applyBorder="1"/>
    <xf numFmtId="0" fontId="4" fillId="0" borderId="68" xfId="0" applyFont="1" applyBorder="1"/>
    <xf numFmtId="0" fontId="132" fillId="12" borderId="52" xfId="29" applyFill="1" applyBorder="1" applyAlignment="1">
      <alignment horizontal="center" vertical="center" wrapText="1"/>
    </xf>
    <xf numFmtId="0" fontId="4" fillId="0" borderId="50" xfId="0" applyFont="1" applyFill="1" applyBorder="1"/>
    <xf numFmtId="0" fontId="5" fillId="0" borderId="17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134" fillId="0" borderId="1" xfId="0" applyFont="1" applyBorder="1"/>
    <xf numFmtId="0" fontId="130" fillId="0" borderId="1" xfId="0" applyFont="1" applyBorder="1"/>
    <xf numFmtId="0" fontId="16" fillId="0" borderId="1" xfId="0" applyFont="1" applyBorder="1"/>
    <xf numFmtId="0" fontId="4" fillId="0" borderId="14" xfId="0" applyFont="1" applyBorder="1"/>
    <xf numFmtId="0" fontId="0" fillId="0" borderId="14" xfId="0" applyBorder="1"/>
    <xf numFmtId="167" fontId="0" fillId="0" borderId="14" xfId="0" applyNumberFormat="1" applyBorder="1"/>
    <xf numFmtId="0" fontId="5" fillId="0" borderId="14" xfId="0" applyFont="1" applyBorder="1" applyAlignment="1">
      <alignment horizontal="center"/>
    </xf>
    <xf numFmtId="0" fontId="16" fillId="0" borderId="14" xfId="0" applyFont="1" applyBorder="1"/>
    <xf numFmtId="0" fontId="4" fillId="0" borderId="21" xfId="0" applyFont="1" applyBorder="1"/>
    <xf numFmtId="167" fontId="0" fillId="0" borderId="10" xfId="0" applyNumberFormat="1" applyBorder="1"/>
    <xf numFmtId="0" fontId="0" fillId="17" borderId="1" xfId="0" applyFill="1" applyBorder="1"/>
    <xf numFmtId="0" fontId="163" fillId="0" borderId="0" xfId="0" applyFont="1"/>
    <xf numFmtId="0" fontId="4" fillId="0" borderId="80" xfId="0" applyFont="1" applyBorder="1" applyAlignment="1">
      <alignment horizontal="center" wrapText="1"/>
    </xf>
    <xf numFmtId="0" fontId="4" fillId="0" borderId="81" xfId="0" applyFont="1" applyBorder="1" applyAlignment="1">
      <alignment horizontal="center" wrapText="1"/>
    </xf>
    <xf numFmtId="0" fontId="4" fillId="0" borderId="82" xfId="0" applyFont="1" applyBorder="1" applyAlignment="1">
      <alignment horizontal="center" wrapText="1"/>
    </xf>
    <xf numFmtId="0" fontId="4" fillId="0" borderId="83" xfId="0" applyFont="1" applyBorder="1" applyAlignment="1">
      <alignment horizontal="center" wrapText="1"/>
    </xf>
    <xf numFmtId="0" fontId="26" fillId="0" borderId="80" xfId="0" applyFont="1" applyBorder="1" applyAlignment="1">
      <alignment horizontal="center" wrapText="1"/>
    </xf>
    <xf numFmtId="0" fontId="26" fillId="0" borderId="81" xfId="0" applyFont="1" applyBorder="1" applyAlignment="1">
      <alignment horizontal="center" wrapText="1"/>
    </xf>
    <xf numFmtId="0" fontId="26" fillId="0" borderId="82" xfId="0" applyFont="1" applyBorder="1" applyAlignment="1">
      <alignment horizontal="center" wrapText="1"/>
    </xf>
    <xf numFmtId="0" fontId="26" fillId="0" borderId="83" xfId="0" applyFont="1" applyBorder="1" applyAlignment="1">
      <alignment horizontal="center" wrapText="1"/>
    </xf>
    <xf numFmtId="0" fontId="74" fillId="0" borderId="48" xfId="0" applyFont="1" applyBorder="1" applyAlignment="1">
      <alignment wrapText="1"/>
    </xf>
    <xf numFmtId="0" fontId="74" fillId="0" borderId="84" xfId="0" applyFont="1" applyBorder="1" applyAlignment="1">
      <alignment wrapText="1"/>
    </xf>
    <xf numFmtId="0" fontId="74" fillId="0" borderId="85" xfId="0" applyFont="1" applyBorder="1" applyAlignment="1">
      <alignment wrapText="1"/>
    </xf>
    <xf numFmtId="0" fontId="132" fillId="9" borderId="2" xfId="29" applyFill="1" applyBorder="1" applyAlignment="1">
      <alignment horizontal="center" vertical="center" wrapText="1"/>
    </xf>
    <xf numFmtId="0" fontId="132" fillId="9" borderId="2" xfId="29" applyFill="1" applyBorder="1" applyAlignment="1">
      <alignment horizontal="center" vertical="center"/>
    </xf>
    <xf numFmtId="0" fontId="132" fillId="9" borderId="9" xfId="29" applyFill="1" applyBorder="1" applyAlignment="1">
      <alignment horizontal="center" vertical="center"/>
    </xf>
    <xf numFmtId="0" fontId="132" fillId="9" borderId="6" xfId="29" applyFill="1" applyBorder="1" applyAlignment="1">
      <alignment horizontal="center" vertical="center"/>
    </xf>
    <xf numFmtId="0" fontId="132" fillId="9" borderId="11" xfId="29" applyFill="1" applyBorder="1" applyAlignment="1">
      <alignment horizontal="center" vertical="center"/>
    </xf>
    <xf numFmtId="0" fontId="132" fillId="9" borderId="21" xfId="29" applyFill="1" applyBorder="1" applyAlignment="1">
      <alignment horizontal="center" vertical="center"/>
    </xf>
    <xf numFmtId="0" fontId="132" fillId="9" borderId="12" xfId="29" applyFill="1" applyBorder="1" applyAlignment="1">
      <alignment horizontal="center" vertical="center"/>
    </xf>
    <xf numFmtId="0" fontId="132" fillId="9" borderId="1" xfId="29" applyFill="1" applyBorder="1" applyAlignment="1">
      <alignment horizontal="center" vertical="center"/>
    </xf>
    <xf numFmtId="0" fontId="132" fillId="12" borderId="2" xfId="29" applyFill="1" applyBorder="1" applyAlignment="1">
      <alignment horizontal="center" vertical="center"/>
    </xf>
    <xf numFmtId="0" fontId="132" fillId="12" borderId="1" xfId="29" applyFill="1" applyBorder="1" applyAlignment="1">
      <alignment horizontal="center" vertical="center"/>
    </xf>
    <xf numFmtId="0" fontId="132" fillId="9" borderId="10" xfId="29" applyFill="1" applyBorder="1" applyAlignment="1">
      <alignment horizontal="center" vertical="center"/>
    </xf>
    <xf numFmtId="0" fontId="132" fillId="0" borderId="0" xfId="29" applyAlignment="1">
      <alignment horizontal="center" vertical="center"/>
    </xf>
    <xf numFmtId="0" fontId="0" fillId="18" borderId="2" xfId="0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0" fontId="3" fillId="18" borderId="2" xfId="0" applyFont="1" applyFill="1" applyBorder="1" applyAlignment="1">
      <alignment horizontal="center"/>
    </xf>
    <xf numFmtId="0" fontId="3" fillId="18" borderId="9" xfId="0" applyFont="1" applyFill="1" applyBorder="1" applyAlignment="1">
      <alignment horizontal="center"/>
    </xf>
    <xf numFmtId="1" fontId="5" fillId="18" borderId="1" xfId="0" applyNumberFormat="1" applyFont="1" applyFill="1" applyBorder="1" applyAlignment="1">
      <alignment horizontal="center"/>
    </xf>
    <xf numFmtId="0" fontId="2" fillId="18" borderId="9" xfId="0" applyFont="1" applyFill="1" applyBorder="1" applyAlignment="1">
      <alignment horizontal="center"/>
    </xf>
    <xf numFmtId="1" fontId="3" fillId="18" borderId="2" xfId="0" applyNumberFormat="1" applyFont="1" applyFill="1" applyBorder="1" applyAlignment="1">
      <alignment horizontal="center"/>
    </xf>
    <xf numFmtId="1" fontId="0" fillId="18" borderId="1" xfId="0" applyNumberForma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2" fontId="3" fillId="18" borderId="9" xfId="0" applyNumberFormat="1" applyFont="1" applyFill="1" applyBorder="1" applyAlignment="1">
      <alignment horizontal="center"/>
    </xf>
    <xf numFmtId="0" fontId="2" fillId="18" borderId="2" xfId="0" applyFont="1" applyFill="1" applyBorder="1" applyAlignment="1">
      <alignment horizontal="center"/>
    </xf>
    <xf numFmtId="1" fontId="2" fillId="18" borderId="20" xfId="0" applyNumberFormat="1" applyFont="1" applyFill="1" applyBorder="1" applyAlignment="1">
      <alignment horizontal="center"/>
    </xf>
    <xf numFmtId="0" fontId="2" fillId="18" borderId="29" xfId="0" applyFont="1" applyFill="1" applyBorder="1" applyAlignment="1">
      <alignment horizontal="center"/>
    </xf>
    <xf numFmtId="1" fontId="2" fillId="18" borderId="75" xfId="0" applyNumberFormat="1" applyFont="1" applyFill="1" applyBorder="1" applyAlignment="1">
      <alignment horizontal="center"/>
    </xf>
    <xf numFmtId="1" fontId="3" fillId="18" borderId="20" xfId="0" applyNumberFormat="1" applyFont="1" applyFill="1" applyBorder="1" applyAlignment="1">
      <alignment horizontal="center"/>
    </xf>
    <xf numFmtId="1" fontId="3" fillId="18" borderId="9" xfId="0" applyNumberFormat="1" applyFont="1" applyFill="1" applyBorder="1" applyAlignment="1">
      <alignment horizontal="center"/>
    </xf>
    <xf numFmtId="2" fontId="0" fillId="18" borderId="2" xfId="0" applyNumberFormat="1" applyFill="1" applyBorder="1" applyAlignment="1">
      <alignment horizontal="center"/>
    </xf>
    <xf numFmtId="1" fontId="0" fillId="18" borderId="20" xfId="0" applyNumberFormat="1" applyFill="1" applyBorder="1" applyAlignment="1">
      <alignment horizontal="center"/>
    </xf>
    <xf numFmtId="1" fontId="0" fillId="18" borderId="9" xfId="0" applyNumberFormat="1" applyFill="1" applyBorder="1" applyAlignment="1">
      <alignment horizontal="center"/>
    </xf>
    <xf numFmtId="167" fontId="0" fillId="18" borderId="2" xfId="0" applyNumberFormat="1" applyFill="1" applyBorder="1" applyAlignment="1">
      <alignment horizontal="center"/>
    </xf>
    <xf numFmtId="167" fontId="0" fillId="18" borderId="20" xfId="0" applyNumberFormat="1" applyFill="1" applyBorder="1" applyAlignment="1">
      <alignment horizontal="center"/>
    </xf>
    <xf numFmtId="0" fontId="0" fillId="18" borderId="2" xfId="0" applyFill="1" applyBorder="1"/>
    <xf numFmtId="0" fontId="0" fillId="18" borderId="1" xfId="0" applyFill="1" applyBorder="1" applyAlignment="1">
      <alignment horizontal="center"/>
    </xf>
    <xf numFmtId="165" fontId="0" fillId="18" borderId="9" xfId="0" applyNumberFormat="1" applyFill="1" applyBorder="1" applyAlignment="1">
      <alignment horizontal="center"/>
    </xf>
    <xf numFmtId="1" fontId="0" fillId="18" borderId="45" xfId="0" applyNumberFormat="1" applyFill="1" applyBorder="1"/>
    <xf numFmtId="1" fontId="0" fillId="18" borderId="0" xfId="0" applyNumberFormat="1" applyFill="1" applyBorder="1"/>
    <xf numFmtId="0" fontId="0" fillId="18" borderId="0" xfId="0" applyFill="1" applyAlignment="1">
      <alignment horizontal="center"/>
    </xf>
    <xf numFmtId="0" fontId="0" fillId="18" borderId="0" xfId="0" applyFill="1"/>
  </cellXfs>
  <cellStyles count="117">
    <cellStyle name="Comma [0] 2" xfId="1" xr:uid="{00000000-0005-0000-0000-000000000000}"/>
    <cellStyle name="Currency 2" xfId="3" xr:uid="{00000000-0005-0000-0000-000002000000}"/>
    <cellStyle name="Currency 2 2" xfId="4" xr:uid="{00000000-0005-0000-0000-000003000000}"/>
    <cellStyle name="Currency 5" xfId="5" xr:uid="{00000000-0005-0000-0000-000004000000}"/>
    <cellStyle name="Currency 5 2" xfId="6" xr:uid="{00000000-0005-0000-0000-000005000000}"/>
    <cellStyle name="Hyperlink 2" xfId="7" xr:uid="{00000000-0005-0000-0000-000006000000}"/>
    <cellStyle name="Monétaire" xfId="2" builtinId="4"/>
    <cellStyle name="Neutre" xfId="8" builtinId="28"/>
    <cellStyle name="Normal" xfId="0" builtinId="0"/>
    <cellStyle name="Normal 10" xfId="9" xr:uid="{00000000-0005-0000-0000-000009000000}"/>
    <cellStyle name="Normal 13" xfId="10" xr:uid="{00000000-0005-0000-0000-00000A000000}"/>
    <cellStyle name="Normal 13 2" xfId="11" xr:uid="{00000000-0005-0000-0000-00000B000000}"/>
    <cellStyle name="Normal 18" xfId="12" xr:uid="{00000000-0005-0000-0000-00000C000000}"/>
    <cellStyle name="Normal 18 2" xfId="13" xr:uid="{00000000-0005-0000-0000-00000D000000}"/>
    <cellStyle name="Normal 19" xfId="14" xr:uid="{00000000-0005-0000-0000-00000E000000}"/>
    <cellStyle name="Normal 19 2" xfId="15" xr:uid="{00000000-0005-0000-0000-00000F000000}"/>
    <cellStyle name="Normal 2" xfId="16" xr:uid="{00000000-0005-0000-0000-000010000000}"/>
    <cellStyle name="Normal 2 2" xfId="17" xr:uid="{00000000-0005-0000-0000-000011000000}"/>
    <cellStyle name="Normal 2 2 2" xfId="18" xr:uid="{00000000-0005-0000-0000-000012000000}"/>
    <cellStyle name="Normal 2 2 2 2" xfId="19" xr:uid="{00000000-0005-0000-0000-000013000000}"/>
    <cellStyle name="Normal 2 2 2 2 2" xfId="20" xr:uid="{00000000-0005-0000-0000-000014000000}"/>
    <cellStyle name="Normal 2 2 3" xfId="21" xr:uid="{00000000-0005-0000-0000-000015000000}"/>
    <cellStyle name="Normal 2 3" xfId="22" xr:uid="{00000000-0005-0000-0000-000016000000}"/>
    <cellStyle name="Normal 20" xfId="23" xr:uid="{00000000-0005-0000-0000-000017000000}"/>
    <cellStyle name="Normal 20 2" xfId="24" xr:uid="{00000000-0005-0000-0000-000018000000}"/>
    <cellStyle name="Normal 22" xfId="25" xr:uid="{00000000-0005-0000-0000-000019000000}"/>
    <cellStyle name="Normal 22 2" xfId="26" xr:uid="{00000000-0005-0000-0000-00001A000000}"/>
    <cellStyle name="Normal 23" xfId="27" xr:uid="{00000000-0005-0000-0000-00001B000000}"/>
    <cellStyle name="Normal 23 2" xfId="28" xr:uid="{00000000-0005-0000-0000-00001C000000}"/>
    <cellStyle name="Normal 26" xfId="29" xr:uid="{00000000-0005-0000-0000-00001D000000}"/>
    <cellStyle name="Normal 3 10" xfId="30" xr:uid="{00000000-0005-0000-0000-00001E000000}"/>
    <cellStyle name="Normal 3 11" xfId="31" xr:uid="{00000000-0005-0000-0000-00001F000000}"/>
    <cellStyle name="Normal 3 12" xfId="32" xr:uid="{00000000-0005-0000-0000-000020000000}"/>
    <cellStyle name="Normal 3 13" xfId="33" xr:uid="{00000000-0005-0000-0000-000021000000}"/>
    <cellStyle name="Normal 3 14" xfId="34" xr:uid="{00000000-0005-0000-0000-000022000000}"/>
    <cellStyle name="Normal 3 15" xfId="35" xr:uid="{00000000-0005-0000-0000-000023000000}"/>
    <cellStyle name="Normal 3 16" xfId="36" xr:uid="{00000000-0005-0000-0000-000024000000}"/>
    <cellStyle name="Normal 3 17" xfId="37" xr:uid="{00000000-0005-0000-0000-000025000000}"/>
    <cellStyle name="Normal 3 2" xfId="38" xr:uid="{00000000-0005-0000-0000-000026000000}"/>
    <cellStyle name="Normal 3 3" xfId="39" xr:uid="{00000000-0005-0000-0000-000027000000}"/>
    <cellStyle name="Normal 3 4" xfId="40" xr:uid="{00000000-0005-0000-0000-000028000000}"/>
    <cellStyle name="Normal 3 5" xfId="41" xr:uid="{00000000-0005-0000-0000-000029000000}"/>
    <cellStyle name="Normal 3 6" xfId="42" xr:uid="{00000000-0005-0000-0000-00002A000000}"/>
    <cellStyle name="Normal 3 7" xfId="43" xr:uid="{00000000-0005-0000-0000-00002B000000}"/>
    <cellStyle name="Normal 3 8" xfId="44" xr:uid="{00000000-0005-0000-0000-00002C000000}"/>
    <cellStyle name="Normal 3 9" xfId="45" xr:uid="{00000000-0005-0000-0000-00002D000000}"/>
    <cellStyle name="Normal 4" xfId="46" xr:uid="{00000000-0005-0000-0000-00002E000000}"/>
    <cellStyle name="Normal 5" xfId="47" xr:uid="{00000000-0005-0000-0000-00002F000000}"/>
    <cellStyle name="Normal 5 10" xfId="48" xr:uid="{00000000-0005-0000-0000-000030000000}"/>
    <cellStyle name="Normal 5 11" xfId="49" xr:uid="{00000000-0005-0000-0000-000031000000}"/>
    <cellStyle name="Normal 5 12" xfId="50" xr:uid="{00000000-0005-0000-0000-000032000000}"/>
    <cellStyle name="Normal 5 13" xfId="51" xr:uid="{00000000-0005-0000-0000-000033000000}"/>
    <cellStyle name="Normal 5 14" xfId="52" xr:uid="{00000000-0005-0000-0000-000034000000}"/>
    <cellStyle name="Normal 5 15" xfId="53" xr:uid="{00000000-0005-0000-0000-000035000000}"/>
    <cellStyle name="Normal 5 16" xfId="54" xr:uid="{00000000-0005-0000-0000-000036000000}"/>
    <cellStyle name="Normal 5 17" xfId="55" xr:uid="{00000000-0005-0000-0000-000037000000}"/>
    <cellStyle name="Normal 5 18" xfId="56" xr:uid="{00000000-0005-0000-0000-000038000000}"/>
    <cellStyle name="Normal 5 2" xfId="57" xr:uid="{00000000-0005-0000-0000-000039000000}"/>
    <cellStyle name="Normal 5 3" xfId="58" xr:uid="{00000000-0005-0000-0000-00003A000000}"/>
    <cellStyle name="Normal 5 4" xfId="59" xr:uid="{00000000-0005-0000-0000-00003B000000}"/>
    <cellStyle name="Normal 5 5" xfId="60" xr:uid="{00000000-0005-0000-0000-00003C000000}"/>
    <cellStyle name="Normal 5 6" xfId="61" xr:uid="{00000000-0005-0000-0000-00003D000000}"/>
    <cellStyle name="Normal 5 7" xfId="62" xr:uid="{00000000-0005-0000-0000-00003E000000}"/>
    <cellStyle name="Normal 5 8" xfId="63" xr:uid="{00000000-0005-0000-0000-00003F000000}"/>
    <cellStyle name="Normal 5 9" xfId="64" xr:uid="{00000000-0005-0000-0000-000040000000}"/>
    <cellStyle name="Normal 6" xfId="65" xr:uid="{00000000-0005-0000-0000-000041000000}"/>
    <cellStyle name="Normal 6 10" xfId="66" xr:uid="{00000000-0005-0000-0000-000042000000}"/>
    <cellStyle name="Normal 6 11" xfId="67" xr:uid="{00000000-0005-0000-0000-000043000000}"/>
    <cellStyle name="Normal 6 12" xfId="68" xr:uid="{00000000-0005-0000-0000-000044000000}"/>
    <cellStyle name="Normal 6 13" xfId="69" xr:uid="{00000000-0005-0000-0000-000045000000}"/>
    <cellStyle name="Normal 6 14" xfId="70" xr:uid="{00000000-0005-0000-0000-000046000000}"/>
    <cellStyle name="Normal 6 15" xfId="71" xr:uid="{00000000-0005-0000-0000-000047000000}"/>
    <cellStyle name="Normal 6 16" xfId="72" xr:uid="{00000000-0005-0000-0000-000048000000}"/>
    <cellStyle name="Normal 6 17" xfId="73" xr:uid="{00000000-0005-0000-0000-000049000000}"/>
    <cellStyle name="Normal 6 18" xfId="74" xr:uid="{00000000-0005-0000-0000-00004A000000}"/>
    <cellStyle name="Normal 6 2" xfId="75" xr:uid="{00000000-0005-0000-0000-00004B000000}"/>
    <cellStyle name="Normal 6 3" xfId="76" xr:uid="{00000000-0005-0000-0000-00004C000000}"/>
    <cellStyle name="Normal 6 4" xfId="77" xr:uid="{00000000-0005-0000-0000-00004D000000}"/>
    <cellStyle name="Normal 6 5" xfId="78" xr:uid="{00000000-0005-0000-0000-00004E000000}"/>
    <cellStyle name="Normal 6 6" xfId="79" xr:uid="{00000000-0005-0000-0000-00004F000000}"/>
    <cellStyle name="Normal 6 7" xfId="80" xr:uid="{00000000-0005-0000-0000-000050000000}"/>
    <cellStyle name="Normal 6 8" xfId="81" xr:uid="{00000000-0005-0000-0000-000051000000}"/>
    <cellStyle name="Normal 6 9" xfId="82" xr:uid="{00000000-0005-0000-0000-000052000000}"/>
    <cellStyle name="Normal 7" xfId="83" xr:uid="{00000000-0005-0000-0000-000053000000}"/>
    <cellStyle name="Normal 7 10" xfId="84" xr:uid="{00000000-0005-0000-0000-000054000000}"/>
    <cellStyle name="Normal 7 11" xfId="85" xr:uid="{00000000-0005-0000-0000-000055000000}"/>
    <cellStyle name="Normal 7 12" xfId="86" xr:uid="{00000000-0005-0000-0000-000056000000}"/>
    <cellStyle name="Normal 7 13" xfId="87" xr:uid="{00000000-0005-0000-0000-000057000000}"/>
    <cellStyle name="Normal 7 14" xfId="88" xr:uid="{00000000-0005-0000-0000-000058000000}"/>
    <cellStyle name="Normal 7 15" xfId="89" xr:uid="{00000000-0005-0000-0000-000059000000}"/>
    <cellStyle name="Normal 7 16" xfId="90" xr:uid="{00000000-0005-0000-0000-00005A000000}"/>
    <cellStyle name="Normal 7 17" xfId="91" xr:uid="{00000000-0005-0000-0000-00005B000000}"/>
    <cellStyle name="Normal 7 2" xfId="92" xr:uid="{00000000-0005-0000-0000-00005C000000}"/>
    <cellStyle name="Normal 7 2 10" xfId="93" xr:uid="{00000000-0005-0000-0000-00005D000000}"/>
    <cellStyle name="Normal 7 2 11" xfId="94" xr:uid="{00000000-0005-0000-0000-00005E000000}"/>
    <cellStyle name="Normal 7 2 12" xfId="95" xr:uid="{00000000-0005-0000-0000-00005F000000}"/>
    <cellStyle name="Normal 7 2 13" xfId="96" xr:uid="{00000000-0005-0000-0000-000060000000}"/>
    <cellStyle name="Normal 7 2 14" xfId="97" xr:uid="{00000000-0005-0000-0000-000061000000}"/>
    <cellStyle name="Normal 7 2 15" xfId="98" xr:uid="{00000000-0005-0000-0000-000062000000}"/>
    <cellStyle name="Normal 7 2 16" xfId="99" xr:uid="{00000000-0005-0000-0000-000063000000}"/>
    <cellStyle name="Normal 7 2 2" xfId="100" xr:uid="{00000000-0005-0000-0000-000064000000}"/>
    <cellStyle name="Normal 7 2 3" xfId="101" xr:uid="{00000000-0005-0000-0000-000065000000}"/>
    <cellStyle name="Normal 7 2 4" xfId="102" xr:uid="{00000000-0005-0000-0000-000066000000}"/>
    <cellStyle name="Normal 7 2 5" xfId="103" xr:uid="{00000000-0005-0000-0000-000067000000}"/>
    <cellStyle name="Normal 7 2 6" xfId="104" xr:uid="{00000000-0005-0000-0000-000068000000}"/>
    <cellStyle name="Normal 7 2 7" xfId="105" xr:uid="{00000000-0005-0000-0000-000069000000}"/>
    <cellStyle name="Normal 7 2 8" xfId="106" xr:uid="{00000000-0005-0000-0000-00006A000000}"/>
    <cellStyle name="Normal 7 2 9" xfId="107" xr:uid="{00000000-0005-0000-0000-00006B000000}"/>
    <cellStyle name="Normal 7 3" xfId="108" xr:uid="{00000000-0005-0000-0000-00006C000000}"/>
    <cellStyle name="Normal 7 4" xfId="109" xr:uid="{00000000-0005-0000-0000-00006D000000}"/>
    <cellStyle name="Normal 7 5" xfId="110" xr:uid="{00000000-0005-0000-0000-00006E000000}"/>
    <cellStyle name="Normal 7 6" xfId="111" xr:uid="{00000000-0005-0000-0000-00006F000000}"/>
    <cellStyle name="Normal 7 7" xfId="112" xr:uid="{00000000-0005-0000-0000-000070000000}"/>
    <cellStyle name="Normal 7 8" xfId="113" xr:uid="{00000000-0005-0000-0000-000071000000}"/>
    <cellStyle name="Normal 7 9" xfId="114" xr:uid="{00000000-0005-0000-0000-000072000000}"/>
    <cellStyle name="Normal 8" xfId="115" xr:uid="{00000000-0005-0000-0000-000073000000}"/>
    <cellStyle name="Normal 9" xfId="116" xr:uid="{00000000-0005-0000-0000-00007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</a:t>
            </a:r>
            <a:r>
              <a:rPr lang="el-GR"/>
              <a:t>θ</a:t>
            </a:r>
            <a:r>
              <a:rPr lang="en-US"/>
              <a:t>ha</a:t>
            </a:r>
          </a:p>
          <a:p>
            <a:pPr>
              <a:defRPr/>
            </a:pPr>
            <a:r>
              <a:rPr lang="en-US"/>
              <a:t>90cfm Fan</a:t>
            </a:r>
          </a:p>
        </c:rich>
      </c:tx>
      <c:layout>
        <c:manualLayout>
          <c:xMode val="edge"/>
          <c:yMode val="edge"/>
          <c:x val="0.46471692610750698"/>
          <c:y val="6.03024103852303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334311465101677E-2"/>
          <c:y val="0.15275310834813505"/>
          <c:w val="0.83672186124502212"/>
          <c:h val="0.66548253404381308"/>
        </c:manualLayout>
      </c:layout>
      <c:lineChart>
        <c:grouping val="standard"/>
        <c:varyColors val="0"/>
        <c:ser>
          <c:idx val="0"/>
          <c:order val="0"/>
          <c:tx>
            <c:strRef>
              <c:f>'Heat Sinks'!$F$42</c:f>
              <c:strCache>
                <c:ptCount val="1"/>
                <c:pt idx="0">
                  <c:v>Rθha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0"/>
            <c:dispEq val="0"/>
          </c:trendline>
          <c:trendline>
            <c:trendlineType val="poly"/>
            <c:order val="5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numRef>
              <c:f>'Heat Sinks'!$C$44:$C$120</c:f>
              <c:numCache>
                <c:formatCode>General</c:formatCode>
                <c:ptCount val="77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135</c:v>
                </c:pt>
                <c:pt idx="4">
                  <c:v>140</c:v>
                </c:pt>
                <c:pt idx="5">
                  <c:v>145</c:v>
                </c:pt>
                <c:pt idx="6">
                  <c:v>150</c:v>
                </c:pt>
                <c:pt idx="7">
                  <c:v>155</c:v>
                </c:pt>
                <c:pt idx="8">
                  <c:v>160</c:v>
                </c:pt>
                <c:pt idx="9">
                  <c:v>165</c:v>
                </c:pt>
                <c:pt idx="10">
                  <c:v>170</c:v>
                </c:pt>
                <c:pt idx="11">
                  <c:v>175</c:v>
                </c:pt>
                <c:pt idx="12">
                  <c:v>180</c:v>
                </c:pt>
                <c:pt idx="13">
                  <c:v>185</c:v>
                </c:pt>
                <c:pt idx="14">
                  <c:v>190</c:v>
                </c:pt>
                <c:pt idx="15">
                  <c:v>195</c:v>
                </c:pt>
                <c:pt idx="16">
                  <c:v>200</c:v>
                </c:pt>
                <c:pt idx="17">
                  <c:v>205</c:v>
                </c:pt>
                <c:pt idx="18">
                  <c:v>210</c:v>
                </c:pt>
                <c:pt idx="19">
                  <c:v>215</c:v>
                </c:pt>
                <c:pt idx="20">
                  <c:v>220</c:v>
                </c:pt>
                <c:pt idx="21">
                  <c:v>225</c:v>
                </c:pt>
                <c:pt idx="22">
                  <c:v>230</c:v>
                </c:pt>
                <c:pt idx="23">
                  <c:v>235</c:v>
                </c:pt>
                <c:pt idx="24">
                  <c:v>240</c:v>
                </c:pt>
                <c:pt idx="25">
                  <c:v>245</c:v>
                </c:pt>
                <c:pt idx="26">
                  <c:v>250</c:v>
                </c:pt>
                <c:pt idx="27">
                  <c:v>255</c:v>
                </c:pt>
                <c:pt idx="28">
                  <c:v>260</c:v>
                </c:pt>
                <c:pt idx="29">
                  <c:v>265</c:v>
                </c:pt>
                <c:pt idx="30">
                  <c:v>270</c:v>
                </c:pt>
                <c:pt idx="31">
                  <c:v>275</c:v>
                </c:pt>
                <c:pt idx="32">
                  <c:v>280</c:v>
                </c:pt>
                <c:pt idx="33">
                  <c:v>285</c:v>
                </c:pt>
                <c:pt idx="34">
                  <c:v>290</c:v>
                </c:pt>
                <c:pt idx="35">
                  <c:v>295</c:v>
                </c:pt>
                <c:pt idx="36">
                  <c:v>300</c:v>
                </c:pt>
                <c:pt idx="37">
                  <c:v>305</c:v>
                </c:pt>
                <c:pt idx="38">
                  <c:v>310</c:v>
                </c:pt>
                <c:pt idx="39">
                  <c:v>315</c:v>
                </c:pt>
                <c:pt idx="40">
                  <c:v>320</c:v>
                </c:pt>
                <c:pt idx="41">
                  <c:v>325</c:v>
                </c:pt>
                <c:pt idx="42">
                  <c:v>330</c:v>
                </c:pt>
                <c:pt idx="43">
                  <c:v>335</c:v>
                </c:pt>
                <c:pt idx="44">
                  <c:v>340</c:v>
                </c:pt>
                <c:pt idx="45">
                  <c:v>345</c:v>
                </c:pt>
                <c:pt idx="46">
                  <c:v>350</c:v>
                </c:pt>
                <c:pt idx="47">
                  <c:v>355</c:v>
                </c:pt>
                <c:pt idx="48">
                  <c:v>360</c:v>
                </c:pt>
                <c:pt idx="49">
                  <c:v>365</c:v>
                </c:pt>
                <c:pt idx="50">
                  <c:v>370</c:v>
                </c:pt>
                <c:pt idx="51">
                  <c:v>375</c:v>
                </c:pt>
                <c:pt idx="52">
                  <c:v>380</c:v>
                </c:pt>
                <c:pt idx="53">
                  <c:v>385</c:v>
                </c:pt>
                <c:pt idx="54">
                  <c:v>390</c:v>
                </c:pt>
                <c:pt idx="55">
                  <c:v>395</c:v>
                </c:pt>
                <c:pt idx="56">
                  <c:v>400</c:v>
                </c:pt>
                <c:pt idx="57">
                  <c:v>405</c:v>
                </c:pt>
                <c:pt idx="58">
                  <c:v>410</c:v>
                </c:pt>
                <c:pt idx="59">
                  <c:v>415</c:v>
                </c:pt>
                <c:pt idx="60">
                  <c:v>420</c:v>
                </c:pt>
                <c:pt idx="61">
                  <c:v>425</c:v>
                </c:pt>
                <c:pt idx="62">
                  <c:v>430</c:v>
                </c:pt>
                <c:pt idx="63">
                  <c:v>435</c:v>
                </c:pt>
                <c:pt idx="64">
                  <c:v>440</c:v>
                </c:pt>
                <c:pt idx="65">
                  <c:v>445</c:v>
                </c:pt>
                <c:pt idx="66">
                  <c:v>450</c:v>
                </c:pt>
                <c:pt idx="67">
                  <c:v>455</c:v>
                </c:pt>
                <c:pt idx="68">
                  <c:v>460</c:v>
                </c:pt>
                <c:pt idx="69">
                  <c:v>465</c:v>
                </c:pt>
                <c:pt idx="70">
                  <c:v>470</c:v>
                </c:pt>
                <c:pt idx="71">
                  <c:v>475</c:v>
                </c:pt>
                <c:pt idx="72">
                  <c:v>480</c:v>
                </c:pt>
                <c:pt idx="73">
                  <c:v>485</c:v>
                </c:pt>
                <c:pt idx="74">
                  <c:v>490</c:v>
                </c:pt>
                <c:pt idx="75">
                  <c:v>495</c:v>
                </c:pt>
                <c:pt idx="76">
                  <c:v>500</c:v>
                </c:pt>
              </c:numCache>
            </c:numRef>
          </c:cat>
          <c:val>
            <c:numRef>
              <c:f>'Heat Sinks'!$I$44:$I$120</c:f>
              <c:numCache>
                <c:formatCode>General</c:formatCode>
                <c:ptCount val="77"/>
                <c:pt idx="0">
                  <c:v>0.14699999999999999</c:v>
                </c:pt>
                <c:pt idx="9">
                  <c:v>0.127</c:v>
                </c:pt>
                <c:pt idx="12">
                  <c:v>0.12</c:v>
                </c:pt>
                <c:pt idx="16">
                  <c:v>0.113</c:v>
                </c:pt>
                <c:pt idx="26">
                  <c:v>9.8000000000000004E-2</c:v>
                </c:pt>
                <c:pt idx="36">
                  <c:v>8.7999999999999995E-2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E-46BA-84C2-120970E03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70176"/>
        <c:axId val="181171712"/>
      </c:lineChart>
      <c:catAx>
        <c:axId val="181170176"/>
        <c:scaling>
          <c:orientation val="minMax"/>
        </c:scaling>
        <c:delete val="0"/>
        <c:axPos val="b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cross"/>
        <c:minorTickMark val="in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81171712"/>
        <c:crossesAt val="0.05"/>
        <c:auto val="1"/>
        <c:lblAlgn val="ctr"/>
        <c:lblOffset val="100"/>
        <c:tickLblSkip val="2"/>
        <c:tickMarkSkip val="2"/>
        <c:noMultiLvlLbl val="0"/>
      </c:catAx>
      <c:valAx>
        <c:axId val="181171712"/>
        <c:scaling>
          <c:orientation val="minMax"/>
          <c:max val="0.15000000000000005"/>
          <c:min val="7.0000000000000021E-2"/>
        </c:scaling>
        <c:delete val="0"/>
        <c:axPos val="l"/>
        <c:majorGridlines/>
        <c:minorGridlines/>
        <c:numFmt formatCode="General" sourceLinked="1"/>
        <c:majorTickMark val="out"/>
        <c:minorTickMark val="in"/>
        <c:tickLblPos val="low"/>
        <c:crossAx val="181170176"/>
        <c:crossesAt val="1"/>
        <c:crossBetween val="midCat"/>
        <c:majorUnit val="1.0000000000000004E-2"/>
        <c:minorUnit val="2.0000000000000009E-3"/>
      </c:valAx>
    </c:plotArea>
    <c:legend>
      <c:legendPos val="r"/>
      <c:layout>
        <c:manualLayout>
          <c:xMode val="edge"/>
          <c:yMode val="edge"/>
          <c:x val="0.8731664988417327"/>
          <c:y val="0.48704678754533925"/>
          <c:w val="0.11635231130699863"/>
          <c:h val="7.2538860103626868E-2"/>
        </c:manualLayout>
      </c:layout>
      <c:overlay val="0"/>
    </c:legend>
    <c:plotVisOnly val="0"/>
    <c:dispBlanksAs val="span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47462817147858"/>
          <c:y val="2.8252405949256338E-2"/>
          <c:w val="0.58698359580052473"/>
          <c:h val="0.798225065616797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wer"/>
            <c:forward val="5"/>
            <c:dispRSqr val="0"/>
            <c:dispEq val="0"/>
          </c:trendline>
          <c:val>
            <c:numRef>
              <c:f>'Heat Sinks'!$S$82:$S$89</c:f>
              <c:numCache>
                <c:formatCode>0.000</c:formatCode>
                <c:ptCount val="8"/>
                <c:pt idx="0">
                  <c:v>0.43</c:v>
                </c:pt>
                <c:pt idx="1">
                  <c:v>0.4</c:v>
                </c:pt>
                <c:pt idx="2">
                  <c:v>0.36</c:v>
                </c:pt>
                <c:pt idx="3">
                  <c:v>0.31</c:v>
                </c:pt>
                <c:pt idx="4">
                  <c:v>0.27500000000000002</c:v>
                </c:pt>
                <c:pt idx="5">
                  <c:v>0.255</c:v>
                </c:pt>
                <c:pt idx="6">
                  <c:v>0.2475</c:v>
                </c:pt>
                <c:pt idx="7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2-4CD8-A531-1E9A430E9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80832"/>
        <c:axId val="181082368"/>
      </c:lineChart>
      <c:catAx>
        <c:axId val="18108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082368"/>
        <c:crosses val="autoZero"/>
        <c:auto val="1"/>
        <c:lblAlgn val="ctr"/>
        <c:lblOffset val="100"/>
        <c:noMultiLvlLbl val="0"/>
      </c:catAx>
      <c:valAx>
        <c:axId val="1810823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1080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291819772528432"/>
          <c:y val="0.4129692832764506"/>
          <c:w val="0.25625043744531928"/>
          <c:h val="0.1672354948805459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</a:t>
            </a:r>
            <a:r>
              <a:rPr lang="el-GR"/>
              <a:t>θ</a:t>
            </a:r>
            <a:r>
              <a:rPr lang="en-US"/>
              <a:t>ha</a:t>
            </a:r>
          </a:p>
          <a:p>
            <a:pPr>
              <a:defRPr/>
            </a:pPr>
            <a:r>
              <a:rPr lang="en-US"/>
              <a:t>90cfm Fan</a:t>
            </a:r>
          </a:p>
        </c:rich>
      </c:tx>
      <c:layout>
        <c:manualLayout>
          <c:xMode val="edge"/>
          <c:yMode val="edge"/>
          <c:x val="0.4647168320158544"/>
          <c:y val="6.03024103852303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426332288401264E-2"/>
          <c:y val="0.15275310834813505"/>
          <c:w val="0.84169278996865193"/>
          <c:h val="0.66548253404381308"/>
        </c:manualLayout>
      </c:layout>
      <c:lineChart>
        <c:grouping val="standard"/>
        <c:varyColors val="0"/>
        <c:ser>
          <c:idx val="0"/>
          <c:order val="0"/>
          <c:tx>
            <c:strRef>
              <c:f>'Heat Sinks'!$F$42</c:f>
              <c:strCache>
                <c:ptCount val="1"/>
                <c:pt idx="0">
                  <c:v>Rθha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0"/>
            <c:dispEq val="0"/>
          </c:trendline>
          <c:cat>
            <c:numRef>
              <c:f>'Heat Sinks'!$P$94:$P$102</c:f>
              <c:numCache>
                <c:formatCode>General</c:formatCode>
                <c:ptCount val="9"/>
                <c:pt idx="0">
                  <c:v>120</c:v>
                </c:pt>
                <c:pt idx="1">
                  <c:v>165</c:v>
                </c:pt>
                <c:pt idx="2">
                  <c:v>180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330</c:v>
                </c:pt>
                <c:pt idx="7">
                  <c:v>380</c:v>
                </c:pt>
                <c:pt idx="8">
                  <c:v>400</c:v>
                </c:pt>
              </c:numCache>
            </c:numRef>
          </c:cat>
          <c:val>
            <c:numRef>
              <c:f>'Heat Sinks'!$T$94:$T$102</c:f>
              <c:numCache>
                <c:formatCode>0.000</c:formatCode>
                <c:ptCount val="9"/>
                <c:pt idx="0">
                  <c:v>0.17</c:v>
                </c:pt>
                <c:pt idx="1">
                  <c:v>0.15</c:v>
                </c:pt>
                <c:pt idx="2">
                  <c:v>0.13</c:v>
                </c:pt>
                <c:pt idx="3">
                  <c:v>0.11700000000000001</c:v>
                </c:pt>
                <c:pt idx="4">
                  <c:v>0.1</c:v>
                </c:pt>
                <c:pt idx="5">
                  <c:v>0.09</c:v>
                </c:pt>
                <c:pt idx="6">
                  <c:v>0.08</c:v>
                </c:pt>
                <c:pt idx="7">
                  <c:v>7.4999999999999997E-2</c:v>
                </c:pt>
                <c:pt idx="8">
                  <c:v>6.9000000000000006E-2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A-404D-978F-6814CA390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36768"/>
        <c:axId val="196342912"/>
      </c:lineChart>
      <c:catAx>
        <c:axId val="181136768"/>
        <c:scaling>
          <c:orientation val="minMax"/>
        </c:scaling>
        <c:delete val="0"/>
        <c:axPos val="b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cross"/>
        <c:minorTickMark val="in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342912"/>
        <c:crossesAt val="0.05"/>
        <c:auto val="1"/>
        <c:lblAlgn val="ctr"/>
        <c:lblOffset val="100"/>
        <c:tickLblSkip val="1"/>
        <c:tickMarkSkip val="1"/>
        <c:noMultiLvlLbl val="0"/>
      </c:catAx>
      <c:valAx>
        <c:axId val="196342912"/>
        <c:scaling>
          <c:orientation val="minMax"/>
          <c:max val="0.18000000000000005"/>
          <c:min val="0.05"/>
        </c:scaling>
        <c:delete val="0"/>
        <c:axPos val="l"/>
        <c:majorGridlines/>
        <c:minorGridlines/>
        <c:numFmt formatCode="0.000" sourceLinked="1"/>
        <c:majorTickMark val="out"/>
        <c:minorTickMark val="in"/>
        <c:tickLblPos val="low"/>
        <c:crossAx val="181136768"/>
        <c:crossesAt val="1"/>
        <c:crossBetween val="midCat"/>
        <c:majorUnit val="1.0000000000000005E-2"/>
        <c:minorUnit val="2.0000000000000018E-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553913778413244"/>
          <c:y val="0.50629179124630153"/>
          <c:w val="6.8582625734813898E-2"/>
          <c:h val="3.6269430051813496E-2"/>
        </c:manualLayout>
      </c:layout>
      <c:overlay val="0"/>
    </c:legend>
    <c:plotVisOnly val="0"/>
    <c:dispBlanksAs val="span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jpeg"/><Relationship Id="rId7" Type="http://schemas.openxmlformats.org/officeDocument/2006/relationships/image" Target="../media/image7.emf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jpeg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447675</xdr:colOff>
      <xdr:row>52</xdr:row>
      <xdr:rowOff>28575</xdr:rowOff>
    </xdr:from>
    <xdr:to>
      <xdr:col>37</xdr:col>
      <xdr:colOff>390525</xdr:colOff>
      <xdr:row>128</xdr:row>
      <xdr:rowOff>76200</xdr:rowOff>
    </xdr:to>
    <xdr:graphicFrame macro="">
      <xdr:nvGraphicFramePr>
        <xdr:cNvPr id="1105004" name="Chart 3">
          <a:extLst>
            <a:ext uri="{FF2B5EF4-FFF2-40B4-BE49-F238E27FC236}">
              <a16:creationId xmlns:a16="http://schemas.microsoft.com/office/drawing/2014/main" id="{00000000-0008-0000-0C00-00006CDC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542925</xdr:colOff>
      <xdr:row>40</xdr:row>
      <xdr:rowOff>342900</xdr:rowOff>
    </xdr:from>
    <xdr:to>
      <xdr:col>37</xdr:col>
      <xdr:colOff>238125</xdr:colOff>
      <xdr:row>56</xdr:row>
      <xdr:rowOff>123825</xdr:rowOff>
    </xdr:to>
    <xdr:graphicFrame macro="">
      <xdr:nvGraphicFramePr>
        <xdr:cNvPr id="1105005" name="Chart 5">
          <a:extLst>
            <a:ext uri="{FF2B5EF4-FFF2-40B4-BE49-F238E27FC236}">
              <a16:creationId xmlns:a16="http://schemas.microsoft.com/office/drawing/2014/main" id="{00000000-0008-0000-0C00-00006DDC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295275</xdr:colOff>
      <xdr:row>104</xdr:row>
      <xdr:rowOff>66675</xdr:rowOff>
    </xdr:from>
    <xdr:to>
      <xdr:col>33</xdr:col>
      <xdr:colOff>190500</xdr:colOff>
      <xdr:row>183</xdr:row>
      <xdr:rowOff>142875</xdr:rowOff>
    </xdr:to>
    <xdr:graphicFrame macro="">
      <xdr:nvGraphicFramePr>
        <xdr:cNvPr id="1105006" name="Chart 3">
          <a:extLst>
            <a:ext uri="{FF2B5EF4-FFF2-40B4-BE49-F238E27FC236}">
              <a16:creationId xmlns:a16="http://schemas.microsoft.com/office/drawing/2014/main" id="{00000000-0008-0000-0C00-00006EDC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27</xdr:row>
      <xdr:rowOff>0</xdr:rowOff>
    </xdr:from>
    <xdr:to>
      <xdr:col>0</xdr:col>
      <xdr:colOff>1190625</xdr:colOff>
      <xdr:row>30</xdr:row>
      <xdr:rowOff>57150</xdr:rowOff>
    </xdr:to>
    <xdr:pic>
      <xdr:nvPicPr>
        <xdr:cNvPr id="1109424" name="Picture 1" descr="GBPAT106">
          <a:extLst>
            <a:ext uri="{FF2B5EF4-FFF2-40B4-BE49-F238E27FC236}">
              <a16:creationId xmlns:a16="http://schemas.microsoft.com/office/drawing/2014/main" id="{00000000-0008-0000-0F00-0000B0ED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4943475"/>
          <a:ext cx="115252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32</xdr:row>
      <xdr:rowOff>85725</xdr:rowOff>
    </xdr:from>
    <xdr:to>
      <xdr:col>0</xdr:col>
      <xdr:colOff>1162050</xdr:colOff>
      <xdr:row>35</xdr:row>
      <xdr:rowOff>190500</xdr:rowOff>
    </xdr:to>
    <xdr:pic>
      <xdr:nvPicPr>
        <xdr:cNvPr id="1109425" name="Picture 2" descr="GBPAT162">
          <a:extLst>
            <a:ext uri="{FF2B5EF4-FFF2-40B4-BE49-F238E27FC236}">
              <a16:creationId xmlns:a16="http://schemas.microsoft.com/office/drawing/2014/main" id="{00000000-0008-0000-0F00-0000B1ED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5991225"/>
          <a:ext cx="111442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161925</xdr:rowOff>
    </xdr:from>
    <xdr:to>
      <xdr:col>0</xdr:col>
      <xdr:colOff>1171575</xdr:colOff>
      <xdr:row>41</xdr:row>
      <xdr:rowOff>0</xdr:rowOff>
    </xdr:to>
    <xdr:pic>
      <xdr:nvPicPr>
        <xdr:cNvPr id="1109426" name="Picture 3" descr="semipack3_neu">
          <a:extLst>
            <a:ext uri="{FF2B5EF4-FFF2-40B4-BE49-F238E27FC236}">
              <a16:creationId xmlns:a16="http://schemas.microsoft.com/office/drawing/2014/main" id="{00000000-0008-0000-0F00-0000B2ED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6829425"/>
          <a:ext cx="117157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76200</xdr:colOff>
      <xdr:row>20</xdr:row>
      <xdr:rowOff>19050</xdr:rowOff>
    </xdr:from>
    <xdr:to>
      <xdr:col>1</xdr:col>
      <xdr:colOff>1152525</xdr:colOff>
      <xdr:row>24</xdr:row>
      <xdr:rowOff>19050</xdr:rowOff>
    </xdr:to>
    <xdr:pic>
      <xdr:nvPicPr>
        <xdr:cNvPr id="1109427" name="Picture 4" descr="Gbpakt430">
          <a:extLst>
            <a:ext uri="{FF2B5EF4-FFF2-40B4-BE49-F238E27FC236}">
              <a16:creationId xmlns:a16="http://schemas.microsoft.com/office/drawing/2014/main" id="{00000000-0008-0000-0F00-0000B3ED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38275" y="3676650"/>
          <a:ext cx="107632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9525</xdr:colOff>
      <xdr:row>31</xdr:row>
      <xdr:rowOff>9525</xdr:rowOff>
    </xdr:from>
    <xdr:to>
      <xdr:col>1</xdr:col>
      <xdr:colOff>1028700</xdr:colOff>
      <xdr:row>35</xdr:row>
      <xdr:rowOff>171450</xdr:rowOff>
    </xdr:to>
    <xdr:pic>
      <xdr:nvPicPr>
        <xdr:cNvPr id="1109428" name="Picture 7">
          <a:extLst>
            <a:ext uri="{FF2B5EF4-FFF2-40B4-BE49-F238E27FC236}">
              <a16:creationId xmlns:a16="http://schemas.microsoft.com/office/drawing/2014/main" id="{00000000-0008-0000-0F00-0000B4ED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371600" y="5753100"/>
          <a:ext cx="10191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20</xdr:row>
      <xdr:rowOff>0</xdr:rowOff>
    </xdr:from>
    <xdr:to>
      <xdr:col>0</xdr:col>
      <xdr:colOff>1162050</xdr:colOff>
      <xdr:row>23</xdr:row>
      <xdr:rowOff>171450</xdr:rowOff>
    </xdr:to>
    <xdr:pic>
      <xdr:nvPicPr>
        <xdr:cNvPr id="1109429" name="Picture 8" descr="GBTOP3">
          <a:extLst>
            <a:ext uri="{FF2B5EF4-FFF2-40B4-BE49-F238E27FC236}">
              <a16:creationId xmlns:a16="http://schemas.microsoft.com/office/drawing/2014/main" id="{00000000-0008-0000-0F00-0000B5ED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42875" y="3657600"/>
          <a:ext cx="10191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25</xdr:row>
      <xdr:rowOff>180975</xdr:rowOff>
    </xdr:from>
    <xdr:to>
      <xdr:col>1</xdr:col>
      <xdr:colOff>828675</xdr:colOff>
      <xdr:row>29</xdr:row>
      <xdr:rowOff>190500</xdr:rowOff>
    </xdr:to>
    <xdr:pic>
      <xdr:nvPicPr>
        <xdr:cNvPr id="1109430" name="Picture 9">
          <a:extLst>
            <a:ext uri="{FF2B5EF4-FFF2-40B4-BE49-F238E27FC236}">
              <a16:creationId xmlns:a16="http://schemas.microsoft.com/office/drawing/2014/main" id="{00000000-0008-0000-0F00-0000B6ED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409700" y="4781550"/>
          <a:ext cx="78105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9525</xdr:colOff>
      <xdr:row>37</xdr:row>
      <xdr:rowOff>0</xdr:rowOff>
    </xdr:from>
    <xdr:to>
      <xdr:col>1</xdr:col>
      <xdr:colOff>1171575</xdr:colOff>
      <xdr:row>41</xdr:row>
      <xdr:rowOff>47625</xdr:rowOff>
    </xdr:to>
    <xdr:pic>
      <xdr:nvPicPr>
        <xdr:cNvPr id="1109431" name="Picture 1914">
          <a:extLst>
            <a:ext uri="{FF2B5EF4-FFF2-40B4-BE49-F238E27FC236}">
              <a16:creationId xmlns:a16="http://schemas.microsoft.com/office/drawing/2014/main" id="{00000000-0008-0000-0F00-0000B7ED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371600" y="6867525"/>
          <a:ext cx="116205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19</xdr:row>
      <xdr:rowOff>95250</xdr:rowOff>
    </xdr:from>
    <xdr:to>
      <xdr:col>2</xdr:col>
      <xdr:colOff>971550</xdr:colOff>
      <xdr:row>24</xdr:row>
      <xdr:rowOff>28575</xdr:rowOff>
    </xdr:to>
    <xdr:pic>
      <xdr:nvPicPr>
        <xdr:cNvPr id="1109432" name="Picture 1931">
          <a:extLst>
            <a:ext uri="{FF2B5EF4-FFF2-40B4-BE49-F238E27FC236}">
              <a16:creationId xmlns:a16="http://schemas.microsoft.com/office/drawing/2014/main" id="{00000000-0008-0000-0F00-0000B8ED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714625" y="3590925"/>
          <a:ext cx="9620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1333500</xdr:colOff>
      <xdr:row>32</xdr:row>
      <xdr:rowOff>19050</xdr:rowOff>
    </xdr:from>
    <xdr:to>
      <xdr:col>3</xdr:col>
      <xdr:colOff>114300</xdr:colOff>
      <xdr:row>35</xdr:row>
      <xdr:rowOff>142875</xdr:rowOff>
    </xdr:to>
    <xdr:pic>
      <xdr:nvPicPr>
        <xdr:cNvPr id="1109433" name="Picture 1941">
          <a:extLst>
            <a:ext uri="{FF2B5EF4-FFF2-40B4-BE49-F238E27FC236}">
              <a16:creationId xmlns:a16="http://schemas.microsoft.com/office/drawing/2014/main" id="{00000000-0008-0000-0F00-0000B9ED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2695575" y="5924550"/>
          <a:ext cx="132397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971550</xdr:colOff>
      <xdr:row>42</xdr:row>
      <xdr:rowOff>28575</xdr:rowOff>
    </xdr:to>
    <xdr:pic>
      <xdr:nvPicPr>
        <xdr:cNvPr id="1109434" name="Picture 1942">
          <a:extLst>
            <a:ext uri="{FF2B5EF4-FFF2-40B4-BE49-F238E27FC236}">
              <a16:creationId xmlns:a16="http://schemas.microsoft.com/office/drawing/2014/main" id="{00000000-0008-0000-0F00-0000BAED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2705100" y="6867525"/>
          <a:ext cx="9715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38100</xdr:colOff>
      <xdr:row>26</xdr:row>
      <xdr:rowOff>0</xdr:rowOff>
    </xdr:from>
    <xdr:to>
      <xdr:col>2</xdr:col>
      <xdr:colOff>1009650</xdr:colOff>
      <xdr:row>30</xdr:row>
      <xdr:rowOff>66675</xdr:rowOff>
    </xdr:to>
    <xdr:pic>
      <xdr:nvPicPr>
        <xdr:cNvPr id="1109435" name="Picture 1931">
          <a:extLst>
            <a:ext uri="{FF2B5EF4-FFF2-40B4-BE49-F238E27FC236}">
              <a16:creationId xmlns:a16="http://schemas.microsoft.com/office/drawing/2014/main" id="{00000000-0008-0000-0F00-0000BBED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743200" y="4781550"/>
          <a:ext cx="971550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mikron.com/databook/11semipo/skdt115.pdf" TargetMode="External"/><Relationship Id="rId2" Type="http://schemas.openxmlformats.org/officeDocument/2006/relationships/hyperlink" Target="http://www.semikron.com/databook/11semipo/skdt145.pdf" TargetMode="External"/><Relationship Id="rId1" Type="http://schemas.openxmlformats.org/officeDocument/2006/relationships/hyperlink" Target="http://www.semikron.com/databook/11semipo/skdt230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semikron.com/databook/17semito/sk70dt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E5AB09"/>
    <pageSetUpPr fitToPage="1"/>
  </sheetPr>
  <dimension ref="A1:BA110"/>
  <sheetViews>
    <sheetView topLeftCell="A7" workbookViewId="0">
      <pane xSplit="2" topLeftCell="C1" activePane="topRight" state="frozen"/>
      <selection pane="topRight" activeCell="D22" sqref="D22"/>
    </sheetView>
  </sheetViews>
  <sheetFormatPr baseColWidth="10" defaultColWidth="9.140625" defaultRowHeight="12.75"/>
  <cols>
    <col min="1" max="1" width="9.28515625" customWidth="1"/>
    <col min="2" max="4" width="7.28515625" customWidth="1"/>
    <col min="5" max="5" width="8.85546875" style="4" customWidth="1"/>
    <col min="6" max="6" width="9.28515625" style="4" customWidth="1"/>
    <col min="7" max="7" width="8.5703125" style="4" customWidth="1"/>
    <col min="8" max="8" width="7.28515625" style="50" customWidth="1"/>
    <col min="9" max="9" width="7.28515625" style="4" customWidth="1"/>
    <col min="10" max="10" width="8.7109375" style="4" customWidth="1"/>
    <col min="11" max="11" width="7.28515625" style="4" customWidth="1"/>
    <col min="12" max="12" width="5.7109375" style="4" customWidth="1"/>
    <col min="13" max="13" width="5.42578125" customWidth="1"/>
    <col min="14" max="26" width="7.28515625" customWidth="1"/>
    <col min="27" max="27" width="8.85546875" customWidth="1"/>
    <col min="28" max="31" width="7.28515625" style="4" customWidth="1"/>
    <col min="32" max="32" width="7.5703125" style="4" customWidth="1"/>
    <col min="33" max="33" width="7.28515625" style="4" customWidth="1"/>
    <col min="34" max="34" width="9.85546875" customWidth="1"/>
    <col min="35" max="35" width="7.28515625" style="4" customWidth="1"/>
    <col min="36" max="36" width="7.28515625" customWidth="1"/>
    <col min="37" max="39" width="7.28515625" style="4" customWidth="1"/>
    <col min="40" max="40" width="10.42578125" style="4" customWidth="1"/>
    <col min="41" max="41" width="9" customWidth="1"/>
  </cols>
  <sheetData>
    <row r="1" spans="1:49" ht="18.75" thickBot="1">
      <c r="A1" s="32" t="s">
        <v>105</v>
      </c>
      <c r="B1" s="33"/>
      <c r="C1" s="37"/>
      <c r="D1" s="37"/>
      <c r="E1" s="36"/>
      <c r="F1" s="432" t="s">
        <v>107</v>
      </c>
    </row>
    <row r="2" spans="1:49">
      <c r="B2" s="37"/>
      <c r="C2" s="37"/>
      <c r="D2" s="37"/>
      <c r="E2" s="36"/>
    </row>
    <row r="3" spans="1:49">
      <c r="E3"/>
      <c r="F3"/>
      <c r="G3"/>
      <c r="H3"/>
      <c r="I3"/>
      <c r="J3"/>
      <c r="K3"/>
      <c r="L3"/>
      <c r="AB3"/>
      <c r="AC3"/>
      <c r="AD3"/>
      <c r="AE3"/>
      <c r="AF3"/>
      <c r="AG3"/>
      <c r="AI3"/>
      <c r="AK3"/>
      <c r="AL3"/>
      <c r="AM3"/>
      <c r="AN3"/>
    </row>
    <row r="4" spans="1:49" ht="13.5" customHeight="1">
      <c r="E4"/>
      <c r="F4"/>
      <c r="G4"/>
      <c r="H4"/>
      <c r="I4"/>
      <c r="J4"/>
      <c r="K4"/>
      <c r="L4"/>
      <c r="AB4"/>
      <c r="AC4"/>
      <c r="AD4"/>
      <c r="AE4"/>
      <c r="AF4"/>
      <c r="AG4"/>
      <c r="AI4"/>
      <c r="AK4"/>
      <c r="AL4"/>
      <c r="AM4"/>
      <c r="AN4"/>
    </row>
    <row r="5" spans="1:49">
      <c r="B5" s="2" t="s">
        <v>23</v>
      </c>
      <c r="C5" s="1" t="s">
        <v>16</v>
      </c>
      <c r="D5" s="1" t="s">
        <v>24</v>
      </c>
      <c r="E5" s="1" t="s">
        <v>25</v>
      </c>
      <c r="F5" s="1" t="s">
        <v>26</v>
      </c>
      <c r="G5" s="1" t="s">
        <v>27</v>
      </c>
      <c r="H5" s="1" t="s">
        <v>28</v>
      </c>
      <c r="I5" s="21" t="s">
        <v>29</v>
      </c>
      <c r="J5" s="21"/>
      <c r="K5" s="21" t="s">
        <v>18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33</v>
      </c>
      <c r="Q5" s="1" t="s">
        <v>33</v>
      </c>
      <c r="R5" s="1" t="s">
        <v>34</v>
      </c>
      <c r="S5" s="1" t="s">
        <v>14</v>
      </c>
      <c r="T5" s="1" t="s">
        <v>35</v>
      </c>
      <c r="U5" s="1" t="s">
        <v>36</v>
      </c>
      <c r="V5" s="1" t="s">
        <v>37</v>
      </c>
      <c r="W5" t="s">
        <v>38</v>
      </c>
      <c r="X5" s="1" t="s">
        <v>39</v>
      </c>
      <c r="AB5"/>
      <c r="AC5"/>
      <c r="AD5"/>
      <c r="AE5"/>
      <c r="AF5"/>
      <c r="AG5"/>
      <c r="AI5"/>
      <c r="AK5"/>
      <c r="AL5"/>
      <c r="AM5"/>
      <c r="AN5"/>
    </row>
    <row r="6" spans="1:49">
      <c r="B6" s="2" t="s">
        <v>40</v>
      </c>
      <c r="C6" s="1" t="s">
        <v>41</v>
      </c>
      <c r="D6" s="1"/>
      <c r="E6" s="1" t="s">
        <v>40</v>
      </c>
      <c r="F6" s="1" t="s">
        <v>40</v>
      </c>
      <c r="G6" s="1" t="s">
        <v>42</v>
      </c>
      <c r="H6" s="1" t="s">
        <v>43</v>
      </c>
      <c r="I6" s="21" t="s">
        <v>44</v>
      </c>
      <c r="J6" s="21"/>
      <c r="K6" s="21" t="s">
        <v>44</v>
      </c>
      <c r="L6" s="1" t="s">
        <v>43</v>
      </c>
      <c r="M6" s="1" t="s">
        <v>42</v>
      </c>
      <c r="N6" s="1" t="s">
        <v>43</v>
      </c>
      <c r="O6" s="1" t="s">
        <v>45</v>
      </c>
      <c r="P6" s="1" t="s">
        <v>46</v>
      </c>
      <c r="Q6" s="1" t="s">
        <v>47</v>
      </c>
      <c r="R6" s="1" t="s">
        <v>41</v>
      </c>
      <c r="S6" s="1" t="s">
        <v>15</v>
      </c>
      <c r="T6" s="1" t="s">
        <v>48</v>
      </c>
      <c r="U6" s="1" t="s">
        <v>48</v>
      </c>
      <c r="V6" s="1" t="s">
        <v>22</v>
      </c>
      <c r="X6" s="1" t="s">
        <v>49</v>
      </c>
      <c r="AB6"/>
      <c r="AC6"/>
      <c r="AD6"/>
      <c r="AE6"/>
      <c r="AF6"/>
      <c r="AG6"/>
      <c r="AI6"/>
      <c r="AK6"/>
      <c r="AL6"/>
      <c r="AM6"/>
      <c r="AN6"/>
    </row>
    <row r="7" spans="1:49" ht="13.5" thickBot="1">
      <c r="B7" s="111"/>
      <c r="C7" s="7"/>
      <c r="D7" s="7"/>
      <c r="E7" s="7"/>
      <c r="F7" s="7"/>
      <c r="G7" s="7"/>
      <c r="H7" s="7"/>
      <c r="I7" s="43"/>
      <c r="J7" s="43"/>
      <c r="K7" s="4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X7" s="7"/>
      <c r="AB7"/>
      <c r="AC7"/>
      <c r="AD7"/>
      <c r="AE7"/>
      <c r="AF7"/>
      <c r="AG7"/>
      <c r="AI7"/>
      <c r="AK7"/>
      <c r="AL7"/>
      <c r="AM7"/>
      <c r="AN7"/>
    </row>
    <row r="8" spans="1:49" s="155" customFormat="1" ht="20.100000000000001" customHeight="1" thickBot="1">
      <c r="B8" s="85" t="s">
        <v>77</v>
      </c>
      <c r="C8" s="145"/>
      <c r="D8" s="145"/>
      <c r="E8" s="145"/>
      <c r="F8" s="146"/>
      <c r="G8" s="147" t="s">
        <v>101</v>
      </c>
      <c r="H8" s="148"/>
      <c r="I8" s="148"/>
      <c r="J8" s="148"/>
      <c r="K8" s="149"/>
      <c r="L8" s="147" t="s">
        <v>83</v>
      </c>
      <c r="M8" s="168"/>
      <c r="N8" s="148"/>
      <c r="O8" s="144"/>
      <c r="P8" s="144"/>
      <c r="Q8" s="144"/>
      <c r="R8" s="144"/>
      <c r="S8" s="144"/>
      <c r="T8" s="150"/>
      <c r="U8" s="85" t="s">
        <v>84</v>
      </c>
      <c r="V8" s="144"/>
      <c r="W8" s="144"/>
      <c r="X8" s="144"/>
      <c r="Y8" s="144"/>
      <c r="Z8" s="144"/>
      <c r="AA8" s="144"/>
      <c r="AB8" s="144"/>
      <c r="AC8" s="150"/>
      <c r="AD8" s="425" t="s">
        <v>62</v>
      </c>
      <c r="AE8" s="152"/>
      <c r="AF8" s="147" t="s">
        <v>90</v>
      </c>
      <c r="AG8" s="148"/>
      <c r="AH8" s="147" t="s">
        <v>87</v>
      </c>
      <c r="AI8" s="324"/>
      <c r="AJ8" s="324"/>
      <c r="AK8" s="324"/>
      <c r="AL8" s="324"/>
      <c r="AM8" s="324"/>
      <c r="AN8" s="324"/>
      <c r="AO8" s="326"/>
      <c r="AP8" s="574" t="s">
        <v>88</v>
      </c>
      <c r="AQ8" s="153"/>
      <c r="AR8" s="153"/>
      <c r="AS8" s="153"/>
      <c r="AT8" s="153"/>
      <c r="AU8" s="150"/>
      <c r="AV8" s="83"/>
    </row>
    <row r="9" spans="1:49" s="349" customFormat="1" ht="20.100000000000001" customHeight="1" thickBot="1">
      <c r="B9" s="184" t="s">
        <v>76</v>
      </c>
      <c r="C9" s="340"/>
      <c r="D9" s="327" t="s">
        <v>57</v>
      </c>
      <c r="E9" s="341"/>
      <c r="F9" s="342"/>
      <c r="G9" s="83" t="s">
        <v>106</v>
      </c>
      <c r="H9" s="344"/>
      <c r="I9" s="344"/>
      <c r="J9" s="344"/>
      <c r="K9" s="344"/>
      <c r="L9" s="339" t="s">
        <v>81</v>
      </c>
      <c r="M9" s="341"/>
      <c r="N9" s="342"/>
      <c r="O9" s="339" t="s">
        <v>82</v>
      </c>
      <c r="P9" s="341"/>
      <c r="Q9" s="342"/>
      <c r="R9" s="339" t="s">
        <v>80</v>
      </c>
      <c r="S9" s="341"/>
      <c r="T9" s="344"/>
      <c r="U9" s="343" t="s">
        <v>78</v>
      </c>
      <c r="V9" s="341"/>
      <c r="W9" s="340"/>
      <c r="X9" s="343" t="s">
        <v>79</v>
      </c>
      <c r="Y9" s="341"/>
      <c r="Z9" s="340"/>
      <c r="AA9" s="339" t="s">
        <v>80</v>
      </c>
      <c r="AB9" s="341"/>
      <c r="AC9" s="341"/>
      <c r="AD9" s="345"/>
      <c r="AE9" s="346"/>
      <c r="AF9" s="347" t="s">
        <v>94</v>
      </c>
      <c r="AG9" s="344" t="s">
        <v>95</v>
      </c>
      <c r="AH9" s="575"/>
      <c r="AI9" s="545" t="s">
        <v>126</v>
      </c>
      <c r="AJ9" s="556" t="s">
        <v>127</v>
      </c>
      <c r="AK9" s="567" t="s">
        <v>149</v>
      </c>
      <c r="AL9" s="559" t="s">
        <v>66</v>
      </c>
      <c r="AM9" s="546" t="s">
        <v>66</v>
      </c>
      <c r="AN9" s="559" t="s">
        <v>66</v>
      </c>
      <c r="AO9" s="546" t="s">
        <v>66</v>
      </c>
      <c r="AP9" s="341" t="s">
        <v>68</v>
      </c>
      <c r="AQ9" s="344"/>
      <c r="AR9" s="344"/>
      <c r="AS9" s="344"/>
      <c r="AT9" s="342"/>
      <c r="AU9" s="340"/>
      <c r="AV9" s="348"/>
    </row>
    <row r="10" spans="1:49" ht="20.100000000000001" customHeight="1">
      <c r="B10" s="65" t="s">
        <v>52</v>
      </c>
      <c r="C10" s="67" t="s">
        <v>16</v>
      </c>
      <c r="D10" s="115" t="s">
        <v>99</v>
      </c>
      <c r="E10" s="18" t="s">
        <v>100</v>
      </c>
      <c r="F10" s="334">
        <v>5</v>
      </c>
      <c r="G10" s="115" t="s">
        <v>50</v>
      </c>
      <c r="H10" s="367" t="s">
        <v>51</v>
      </c>
      <c r="I10" s="335">
        <v>20</v>
      </c>
      <c r="J10" s="18" t="s">
        <v>28</v>
      </c>
      <c r="K10" s="366" t="s">
        <v>29</v>
      </c>
      <c r="L10" s="1121">
        <v>30</v>
      </c>
      <c r="M10" s="1122" t="s">
        <v>60</v>
      </c>
      <c r="N10" s="1079" t="s">
        <v>329</v>
      </c>
      <c r="O10" s="1121">
        <v>30</v>
      </c>
      <c r="P10" s="1122" t="s">
        <v>60</v>
      </c>
      <c r="Q10" s="1079" t="s">
        <v>329</v>
      </c>
      <c r="R10" s="1121">
        <v>30</v>
      </c>
      <c r="S10" s="1122" t="s">
        <v>60</v>
      </c>
      <c r="T10" s="1079" t="s">
        <v>329</v>
      </c>
      <c r="U10" s="337">
        <v>15</v>
      </c>
      <c r="V10" s="62" t="s">
        <v>60</v>
      </c>
      <c r="W10" s="63" t="s">
        <v>85</v>
      </c>
      <c r="X10" s="337">
        <v>10</v>
      </c>
      <c r="Y10" s="62" t="s">
        <v>60</v>
      </c>
      <c r="Z10" s="63" t="s">
        <v>85</v>
      </c>
      <c r="AA10" s="337">
        <v>10</v>
      </c>
      <c r="AB10" s="62" t="s">
        <v>60</v>
      </c>
      <c r="AC10" s="78" t="s">
        <v>85</v>
      </c>
      <c r="AD10" s="70"/>
      <c r="AE10" s="19"/>
      <c r="AF10" s="70">
        <v>40</v>
      </c>
      <c r="AG10" s="19">
        <v>55</v>
      </c>
      <c r="AH10" s="337">
        <v>20</v>
      </c>
      <c r="AI10" s="73" t="s">
        <v>64</v>
      </c>
      <c r="AJ10" s="544" t="s">
        <v>64</v>
      </c>
      <c r="AK10" s="285"/>
      <c r="AL10" s="70">
        <v>100</v>
      </c>
      <c r="AM10" s="19">
        <v>200</v>
      </c>
      <c r="AN10" s="70">
        <v>100</v>
      </c>
      <c r="AO10" s="19">
        <v>200</v>
      </c>
      <c r="AP10" s="541" t="s">
        <v>91</v>
      </c>
      <c r="AQ10" s="18" t="s">
        <v>69</v>
      </c>
      <c r="AR10" s="18" t="s">
        <v>70</v>
      </c>
      <c r="AS10" s="18" t="s">
        <v>71</v>
      </c>
      <c r="AT10" s="197" t="s">
        <v>73</v>
      </c>
      <c r="AU10" s="285" t="s">
        <v>64</v>
      </c>
      <c r="AV10" s="92"/>
    </row>
    <row r="11" spans="1:49" ht="20.100000000000001" customHeight="1" thickBot="1">
      <c r="B11" s="187" t="s">
        <v>53</v>
      </c>
      <c r="C11" s="188" t="s">
        <v>22</v>
      </c>
      <c r="D11" s="368" t="s">
        <v>53</v>
      </c>
      <c r="E11" s="16" t="s">
        <v>22</v>
      </c>
      <c r="F11" s="311" t="s">
        <v>55</v>
      </c>
      <c r="G11" s="368" t="s">
        <v>42</v>
      </c>
      <c r="H11" s="369" t="s">
        <v>42</v>
      </c>
      <c r="I11" s="336" t="s">
        <v>59</v>
      </c>
      <c r="J11" s="16" t="s">
        <v>43</v>
      </c>
      <c r="K11" s="426" t="s">
        <v>44</v>
      </c>
      <c r="L11" s="1183" t="s">
        <v>59</v>
      </c>
      <c r="M11" s="26" t="s">
        <v>22</v>
      </c>
      <c r="N11" s="255" t="s">
        <v>22</v>
      </c>
      <c r="O11" s="1186" t="s">
        <v>59</v>
      </c>
      <c r="P11" s="26" t="s">
        <v>22</v>
      </c>
      <c r="Q11" s="255" t="s">
        <v>22</v>
      </c>
      <c r="R11" s="1186" t="s">
        <v>59</v>
      </c>
      <c r="S11" s="26" t="s">
        <v>22</v>
      </c>
      <c r="T11" s="255" t="s">
        <v>22</v>
      </c>
      <c r="U11" s="1185" t="s">
        <v>59</v>
      </c>
      <c r="V11" s="16" t="s">
        <v>22</v>
      </c>
      <c r="W11" s="17" t="s">
        <v>86</v>
      </c>
      <c r="X11" s="1185" t="s">
        <v>59</v>
      </c>
      <c r="Y11" s="16" t="s">
        <v>22</v>
      </c>
      <c r="Z11" s="17" t="s">
        <v>86</v>
      </c>
      <c r="AA11" s="338" t="s">
        <v>59</v>
      </c>
      <c r="AB11" s="16" t="s">
        <v>22</v>
      </c>
      <c r="AC11" s="202" t="s">
        <v>86</v>
      </c>
      <c r="AD11" s="75" t="s">
        <v>63</v>
      </c>
      <c r="AE11" s="17" t="s">
        <v>67</v>
      </c>
      <c r="AF11" s="75" t="s">
        <v>61</v>
      </c>
      <c r="AG11" s="17" t="s">
        <v>61</v>
      </c>
      <c r="AH11" s="553" t="s">
        <v>59</v>
      </c>
      <c r="AI11" s="532" t="s">
        <v>65</v>
      </c>
      <c r="AJ11" s="532" t="s">
        <v>65</v>
      </c>
      <c r="AK11" s="569"/>
      <c r="AL11" s="280" t="s">
        <v>89</v>
      </c>
      <c r="AM11" s="193" t="s">
        <v>89</v>
      </c>
      <c r="AN11" s="280" t="s">
        <v>89</v>
      </c>
      <c r="AO11" s="193" t="s">
        <v>89</v>
      </c>
      <c r="AP11" s="207" t="s">
        <v>72</v>
      </c>
      <c r="AQ11" s="16" t="s">
        <v>74</v>
      </c>
      <c r="AR11" s="16" t="s">
        <v>74</v>
      </c>
      <c r="AS11" s="16" t="s">
        <v>74</v>
      </c>
      <c r="AT11" s="202" t="s">
        <v>75</v>
      </c>
      <c r="AU11" s="200" t="s">
        <v>67</v>
      </c>
      <c r="AV11" s="46"/>
    </row>
    <row r="12" spans="1:49" ht="20.100000000000001" customHeight="1">
      <c r="B12" s="65"/>
      <c r="C12" s="67"/>
      <c r="D12" s="302"/>
      <c r="E12" s="18"/>
      <c r="F12" s="19"/>
      <c r="G12" s="65"/>
      <c r="H12" s="67"/>
      <c r="I12" s="19"/>
      <c r="J12" s="18"/>
      <c r="K12" s="156"/>
      <c r="L12" s="19"/>
      <c r="M12" s="19"/>
      <c r="N12" s="67"/>
      <c r="O12" s="19"/>
      <c r="P12" s="19"/>
      <c r="Q12" s="19"/>
      <c r="R12" s="19"/>
      <c r="S12" s="197"/>
      <c r="T12" s="197"/>
      <c r="U12" s="19"/>
      <c r="V12" s="62"/>
      <c r="W12" s="59"/>
      <c r="X12" s="19"/>
      <c r="Y12" s="62"/>
      <c r="Z12" s="59"/>
      <c r="AA12" s="19"/>
      <c r="AB12" s="62"/>
      <c r="AC12" s="434"/>
      <c r="AD12" s="70"/>
      <c r="AE12" s="19"/>
      <c r="AF12" s="70"/>
      <c r="AG12" s="197"/>
      <c r="AH12" s="70"/>
      <c r="AI12" s="18"/>
      <c r="AJ12" s="197"/>
      <c r="AK12" s="435"/>
      <c r="AL12" s="70"/>
      <c r="AM12" s="19"/>
      <c r="AN12" s="70"/>
      <c r="AO12" s="19"/>
      <c r="AP12" s="79"/>
      <c r="AQ12" s="18"/>
      <c r="AR12" s="18"/>
      <c r="AS12" s="18"/>
      <c r="AT12" s="197"/>
      <c r="AU12" s="435"/>
      <c r="AV12" s="7"/>
    </row>
    <row r="13" spans="1:49" s="456" customFormat="1" ht="20.100000000000001" customHeight="1">
      <c r="B13" s="438">
        <v>600</v>
      </c>
      <c r="C13" s="439">
        <v>600</v>
      </c>
      <c r="D13" s="440">
        <v>480</v>
      </c>
      <c r="E13" s="441">
        <f>K13*1000/D13/SQRT(3)</f>
        <v>582.16152143287275</v>
      </c>
      <c r="F13" s="442">
        <f>F$10</f>
        <v>5</v>
      </c>
      <c r="G13" s="443">
        <f>IF(B13&lt;85,0.428*(1+F13/100)*B13+2,0.428*(1+F13/100)*B13)</f>
        <v>269.64</v>
      </c>
      <c r="H13" s="444">
        <f>SQRT(3)*G13</f>
        <v>467.03017975287202</v>
      </c>
      <c r="I13" s="442">
        <f>I$10</f>
        <v>20</v>
      </c>
      <c r="J13" s="445">
        <f>(1+I13/100)*C13*0.83</f>
        <v>597.6</v>
      </c>
      <c r="K13" s="475">
        <f>IF(CEILING(H13*J13*SQRT(3)/1000,0.25)&lt;10,CEILING(H13*J13*SQRT(3)/1000,0.25),IF(CEILING(H13*J13*SQRT(3)/1000,0.25)&lt;20,CEILING(H13*J13*SQRT(3)/1000,0.5),CEILING(H13*J13*SQRT(3)/1000,1)))</f>
        <v>484</v>
      </c>
      <c r="L13" s="451">
        <f>L$10</f>
        <v>30</v>
      </c>
      <c r="M13" s="446">
        <f>(1+L13/100)*E13</f>
        <v>756.80997786273463</v>
      </c>
      <c r="N13" s="444">
        <f>LOOKUP(M13,'Circuit Breakers'!$B$5:$B$38,'Circuit Breakers'!$C$5:$C$38)</f>
        <v>800</v>
      </c>
      <c r="O13" s="451">
        <f>O$10</f>
        <v>30</v>
      </c>
      <c r="P13" s="446">
        <f>(1+O13/100)*J13</f>
        <v>776.88000000000011</v>
      </c>
      <c r="Q13" s="444">
        <f>LOOKUP(P13,'Circuit Breakers'!$B$5:$B$38,'Circuit Breakers'!$C$5:$C$38)</f>
        <v>800</v>
      </c>
      <c r="R13" s="451">
        <f>R$10</f>
        <v>30</v>
      </c>
      <c r="S13" s="447">
        <f>(1+R13/100)*C13</f>
        <v>780</v>
      </c>
      <c r="T13" s="1110">
        <f>LOOKUP(S13,'Circuit Breakers'!$B$5:$B$38,'Circuit Breakers'!$C$5:$C$38)</f>
        <v>800</v>
      </c>
      <c r="U13" s="451">
        <f>U$10</f>
        <v>15</v>
      </c>
      <c r="V13" s="448">
        <f>(1+U13/100)*E13</f>
        <v>669.48574964780357</v>
      </c>
      <c r="W13" s="442" t="str">
        <f>LOOKUP(V13,'Wire-Cables Ampacities'!$B$5:$B$35,'Wire-Cables Ampacities'!$C$5:$C$35)</f>
        <v>300MCM 2x</v>
      </c>
      <c r="X13" s="451">
        <f>X$10</f>
        <v>10</v>
      </c>
      <c r="Y13" s="447">
        <f>(1+X13/100)*J13</f>
        <v>657.36000000000013</v>
      </c>
      <c r="Z13" s="442" t="str">
        <f>LOOKUP(Y13,'Wire-Cables Ampacities'!$B$5:$B$35,'Wire-Cables Ampacities'!$C$5:$C$35)</f>
        <v>300MCM 2x</v>
      </c>
      <c r="AA13" s="451">
        <f>AA$10</f>
        <v>10</v>
      </c>
      <c r="AB13" s="447">
        <f>(1+AA13/100)*C13</f>
        <v>660</v>
      </c>
      <c r="AC13" s="442" t="str">
        <f>LOOKUP(AB13,'Wire-Cables Ampacities'!$B$5:$B$35,'Wire-Cables Ampacities'!$C$5:$C$35)</f>
        <v>300MCM 2x</v>
      </c>
      <c r="AD13" s="449">
        <f>(2*C13+0.06*K13*1000)/1000</f>
        <v>30.24</v>
      </c>
      <c r="AE13" s="446">
        <f>AD13*3.412142*1000</f>
        <v>103183.17407999998</v>
      </c>
      <c r="AF13" s="450">
        <f t="shared" ref="AF13:AH14" si="0">AF$10</f>
        <v>40</v>
      </c>
      <c r="AG13" s="549">
        <f t="shared" si="0"/>
        <v>55</v>
      </c>
      <c r="AH13" s="450">
        <f t="shared" si="0"/>
        <v>20</v>
      </c>
      <c r="AI13" s="554">
        <f>1760*AD13/(AG13-AF13)*(1+AH13/100)</f>
        <v>4257.7919999999995</v>
      </c>
      <c r="AJ13" s="568">
        <f>AI13*1.33</f>
        <v>5662.8633599999994</v>
      </c>
      <c r="AK13" s="570" t="str">
        <f>IF(AP13=450,"4.7x4.7","6 inch")</f>
        <v>4.7x4.7</v>
      </c>
      <c r="AL13" s="572">
        <f>IF(CEILING(AI13/AL$44,1)&lt;2,CEILING(AI13/AL$44,1),CEILING(AI13/AL$44,2))</f>
        <v>44</v>
      </c>
      <c r="AM13" s="555">
        <f>IF(CEILING(AI13/AM$44,1)&lt;2,CEILING(AI13/AM$44,1),CEILING(AI13/AM$44,2))</f>
        <v>22</v>
      </c>
      <c r="AN13" s="572">
        <f>IF(CEILING(AJ13/AN$44,1)&lt;2,CEILING(AJ13/AN$44,1),CEILING(AJ13/AN$44,2))</f>
        <v>58</v>
      </c>
      <c r="AO13" s="555">
        <f>IF(CEILING(AJ13/AO$44,1)&lt;2,CEILING(AJ13/AO$44,1),CEILING(AJ13/AO$44,2))</f>
        <v>30</v>
      </c>
      <c r="AP13" s="551">
        <v>450</v>
      </c>
      <c r="AQ13" s="441">
        <v>24</v>
      </c>
      <c r="AR13" s="452">
        <v>30</v>
      </c>
      <c r="AS13" s="452">
        <v>16</v>
      </c>
      <c r="AT13" s="453">
        <f>((2*AR13*AQ13)+2*(AR13*AS13)+(AQ13*AS13))/144</f>
        <v>19.333333333333332</v>
      </c>
      <c r="AU13" s="436">
        <f>AE13+(1.25*AT13*(AF13-AG13))</f>
        <v>102820.67407999998</v>
      </c>
      <c r="AV13" s="454"/>
      <c r="AW13" s="455"/>
    </row>
    <row r="14" spans="1:49" s="456" customFormat="1" ht="20.100000000000001" customHeight="1" thickBot="1">
      <c r="B14" s="457">
        <v>640</v>
      </c>
      <c r="C14" s="458">
        <v>54</v>
      </c>
      <c r="D14" s="459">
        <v>480</v>
      </c>
      <c r="E14" s="460">
        <f>K14*1000/D14/SQRT(3)</f>
        <v>56.532213858150861</v>
      </c>
      <c r="F14" s="461">
        <f>F$10</f>
        <v>5</v>
      </c>
      <c r="G14" s="462">
        <f>IF(B14&lt;85,0.428*(1+F14/100)*B14+2,0.428*(1+F14/100)*B14)</f>
        <v>287.61599999999999</v>
      </c>
      <c r="H14" s="463">
        <f>SQRT(3)*G14</f>
        <v>498.16552506973017</v>
      </c>
      <c r="I14" s="461">
        <f>I$10</f>
        <v>20</v>
      </c>
      <c r="J14" s="464">
        <f>(1+I14/100)*C14*0.83</f>
        <v>53.783999999999992</v>
      </c>
      <c r="K14" s="476">
        <f>IF(CEILING(H14*J14*SQRT(3)/1000,0.25)&lt;10,CEILING(H14*J14*SQRT(3)/1000,0.25),IF(CEILING(H14*J14*SQRT(3)/1000,0.25)&lt;20,CEILING(H14*J14*SQRT(3)/1000,0.5),CEILING(H14*J14*SQRT(3)/1000,1)))</f>
        <v>47</v>
      </c>
      <c r="L14" s="461">
        <f>L$10</f>
        <v>30</v>
      </c>
      <c r="M14" s="465">
        <f>(1+L14/100)*E14</f>
        <v>73.491878015596129</v>
      </c>
      <c r="N14" s="463">
        <f>LOOKUP(M14,'Circuit Breakers'!$B$5:$B$38,'Circuit Breakers'!$C$5:$C$38)</f>
        <v>80</v>
      </c>
      <c r="O14" s="461">
        <f>O$10</f>
        <v>30</v>
      </c>
      <c r="P14" s="465">
        <f>(1+O14/100)*J14</f>
        <v>69.919199999999989</v>
      </c>
      <c r="Q14" s="463">
        <f>LOOKUP(P14,'Circuit Breakers'!$B$5:$B$38,'Circuit Breakers'!$C$5:$C$38)</f>
        <v>70</v>
      </c>
      <c r="R14" s="461">
        <f>R$10</f>
        <v>30</v>
      </c>
      <c r="S14" s="466">
        <f>(1+R14/100)*C14</f>
        <v>70.2</v>
      </c>
      <c r="T14" s="1124">
        <f>LOOKUP(S14,'Circuit Breakers'!$B$5:$B$38,'Circuit Breakers'!$C$5:$C$38)</f>
        <v>70</v>
      </c>
      <c r="U14" s="461">
        <f>U$10</f>
        <v>15</v>
      </c>
      <c r="V14" s="466">
        <f>(1+U14/100)*E14</f>
        <v>65.012045936873491</v>
      </c>
      <c r="W14" s="461" t="str">
        <f>LOOKUP(V14,'Wire-Cables Ampacities'!$B$5:$B$35,'Wire-Cables Ampacities'!$C$5:$C$35)</f>
        <v>#6</v>
      </c>
      <c r="X14" s="461">
        <f>X$10</f>
        <v>10</v>
      </c>
      <c r="Y14" s="466">
        <f>(1+X14/100)*J14</f>
        <v>59.162399999999998</v>
      </c>
      <c r="Z14" s="461" t="str">
        <f>LOOKUP(Y14,'Wire-Cables Ampacities'!$B$5:$B$35,'Wire-Cables Ampacities'!$C$5:$C$35)</f>
        <v>#8</v>
      </c>
      <c r="AA14" s="461">
        <f>AA$10</f>
        <v>10</v>
      </c>
      <c r="AB14" s="466">
        <f>(1+AA14/100)*C14</f>
        <v>59.400000000000006</v>
      </c>
      <c r="AC14" s="461" t="str">
        <f>LOOKUP(AB14,'Wire-Cables Ampacities'!$B$5:$B$35,'Wire-Cables Ampacities'!$C$5:$C$35)</f>
        <v>#8</v>
      </c>
      <c r="AD14" s="467">
        <f>(2*C14+0.06*K14*1000)/1000</f>
        <v>2.9279999999999999</v>
      </c>
      <c r="AE14" s="465">
        <f>AD14*3.412142*1000</f>
        <v>9990.7517759999992</v>
      </c>
      <c r="AF14" s="468">
        <f t="shared" si="0"/>
        <v>40</v>
      </c>
      <c r="AG14" s="550">
        <f t="shared" si="0"/>
        <v>55</v>
      </c>
      <c r="AH14" s="468">
        <f t="shared" si="0"/>
        <v>20</v>
      </c>
      <c r="AI14" s="552">
        <f>1760*AD14/(AG14-AF14)*(1+AH14/100)</f>
        <v>412.26239999999996</v>
      </c>
      <c r="AJ14" s="548">
        <f>AI14*1.33</f>
        <v>548.30899199999999</v>
      </c>
      <c r="AK14" s="571" t="str">
        <f>IF(AP14=450,"4.7x4.7","6 inch")</f>
        <v>4.7x4.7</v>
      </c>
      <c r="AL14" s="468">
        <f>IF(CEILING(AI14/AL$44,1)&lt;2,CEILING(AI14/AL$44,1),CEILING(AI14/AL$44,2))</f>
        <v>6</v>
      </c>
      <c r="AM14" s="573">
        <f>IF(CEILING(AI14/AM$44,1)&lt;2,CEILING(AI14/AM$44,1),CEILING(AI14/AM$44,2))</f>
        <v>4</v>
      </c>
      <c r="AN14" s="468">
        <f>IF(CEILING(AJ14/AN$44,1)&lt;2,CEILING(AJ14/AN$44,1),CEILING(AJ14/AN$44,2))</f>
        <v>6</v>
      </c>
      <c r="AO14" s="573">
        <f>IF(CEILING(AJ14/AO$44,1)&lt;2,CEILING(AJ14/AO$44,1),CEILING(AJ14/AO$44,2))</f>
        <v>4</v>
      </c>
      <c r="AP14" s="552">
        <v>450</v>
      </c>
      <c r="AQ14" s="460">
        <v>24</v>
      </c>
      <c r="AR14" s="469">
        <v>30</v>
      </c>
      <c r="AS14" s="469">
        <v>16</v>
      </c>
      <c r="AT14" s="470">
        <f>((2*AR14*AQ14)+2*(AR14*AS14)+(AQ14*AS14))/144</f>
        <v>19.333333333333332</v>
      </c>
      <c r="AU14" s="437">
        <f>AE14+(1.25*AT14*(AF14-AG14))</f>
        <v>9628.2517759999992</v>
      </c>
      <c r="AV14" s="454"/>
      <c r="AW14" s="455"/>
    </row>
    <row r="15" spans="1:49">
      <c r="B15" s="315"/>
      <c r="C15" s="315"/>
      <c r="D15" s="315"/>
      <c r="E15" s="316"/>
      <c r="F15" s="46"/>
      <c r="G15" s="317"/>
      <c r="H15" s="317"/>
      <c r="I15" s="92"/>
      <c r="J15" s="318"/>
      <c r="K15" s="317"/>
      <c r="L15" s="240"/>
      <c r="M15" s="240"/>
      <c r="N15" s="318"/>
      <c r="O15" s="240"/>
      <c r="P15" s="240"/>
      <c r="Q15" s="318"/>
      <c r="R15" s="240"/>
      <c r="S15" s="240"/>
      <c r="T15" s="318"/>
      <c r="U15" s="240"/>
      <c r="V15" s="318"/>
      <c r="W15" s="7"/>
      <c r="X15" s="240"/>
      <c r="Y15" s="318"/>
      <c r="Z15" s="7"/>
      <c r="AA15" s="240"/>
      <c r="AB15" s="318"/>
      <c r="AC15" s="7"/>
      <c r="AD15" s="319"/>
      <c r="AE15" s="318"/>
      <c r="AF15" s="46"/>
      <c r="AG15" s="46"/>
      <c r="AH15" s="240"/>
      <c r="AI15" s="318"/>
      <c r="AJ15" s="320"/>
      <c r="AK15" s="320"/>
      <c r="AL15" s="7"/>
      <c r="AM15" s="318"/>
      <c r="AN15" s="7"/>
      <c r="AO15" s="318"/>
      <c r="AP15" s="46"/>
      <c r="AQ15" s="46"/>
      <c r="AR15" s="321"/>
      <c r="AS15" s="93"/>
      <c r="AT15" s="93"/>
      <c r="AU15" s="4"/>
    </row>
    <row r="16" spans="1:49">
      <c r="B16" s="315"/>
      <c r="C16" s="315"/>
      <c r="D16" s="315"/>
      <c r="E16" s="316"/>
      <c r="F16" s="46"/>
      <c r="G16" s="317"/>
      <c r="H16" s="317"/>
      <c r="I16" s="92"/>
      <c r="J16" s="318"/>
      <c r="K16" s="317"/>
      <c r="L16" s="240"/>
      <c r="M16" s="240"/>
      <c r="N16" s="318"/>
      <c r="O16" s="240"/>
      <c r="P16" s="240"/>
      <c r="Q16" s="318"/>
      <c r="R16" s="240"/>
      <c r="S16" s="240"/>
      <c r="T16" s="318"/>
      <c r="U16" s="240"/>
      <c r="V16" s="318"/>
      <c r="W16" s="318"/>
      <c r="X16" s="46"/>
      <c r="Y16" s="46"/>
      <c r="Z16" s="240"/>
      <c r="AA16" s="318"/>
      <c r="AB16" s="320"/>
      <c r="AC16" s="320"/>
      <c r="AD16" s="7"/>
      <c r="AE16" s="318"/>
      <c r="AF16" s="7"/>
      <c r="AG16" s="318"/>
      <c r="AH16" s="46"/>
      <c r="AI16" s="46"/>
      <c r="AJ16" s="321"/>
      <c r="AK16" s="93"/>
      <c r="AL16" s="93"/>
      <c r="AN16"/>
    </row>
    <row r="17" spans="1:53" ht="18.75" thickBot="1">
      <c r="B17" s="38"/>
      <c r="C17" s="37"/>
      <c r="D17" s="37"/>
      <c r="E17" s="37"/>
      <c r="F17" s="36"/>
      <c r="H17" s="4"/>
      <c r="I17" s="50"/>
      <c r="M17" s="4"/>
      <c r="N17" s="4"/>
      <c r="AB17"/>
      <c r="AC17"/>
      <c r="AD17"/>
      <c r="AE17"/>
      <c r="AH17" s="4"/>
      <c r="AJ17" s="4"/>
      <c r="AL17"/>
      <c r="AN17"/>
      <c r="AO17" s="4"/>
      <c r="AP17" s="4"/>
      <c r="AQ17" s="4"/>
      <c r="AR17" s="4"/>
    </row>
    <row r="18" spans="1:53" s="330" customFormat="1" ht="16.5" thickBot="1">
      <c r="B18" s="85" t="s">
        <v>77</v>
      </c>
      <c r="C18" s="322"/>
      <c r="D18" s="322"/>
      <c r="E18" s="322"/>
      <c r="F18" s="323"/>
      <c r="G18" s="290" t="s">
        <v>101</v>
      </c>
      <c r="H18" s="324"/>
      <c r="I18" s="325"/>
      <c r="J18" s="324"/>
      <c r="K18" s="326"/>
      <c r="L18" s="290" t="s">
        <v>83</v>
      </c>
      <c r="M18" s="1082"/>
      <c r="N18" s="324"/>
      <c r="O18" s="327"/>
      <c r="P18" s="327"/>
      <c r="Q18" s="327"/>
      <c r="R18" s="327"/>
      <c r="S18" s="327"/>
      <c r="T18" s="185"/>
      <c r="U18" s="184" t="s">
        <v>84</v>
      </c>
      <c r="V18" s="327"/>
      <c r="W18" s="327"/>
      <c r="X18" s="327"/>
      <c r="Y18" s="327"/>
      <c r="Z18" s="327"/>
      <c r="AA18" s="327"/>
      <c r="AB18" s="327"/>
      <c r="AC18" s="185"/>
      <c r="AD18" s="291" t="s">
        <v>62</v>
      </c>
      <c r="AE18" s="328"/>
      <c r="AF18" s="290" t="s">
        <v>90</v>
      </c>
      <c r="AG18" s="324"/>
      <c r="AH18" s="290" t="s">
        <v>87</v>
      </c>
      <c r="AI18" s="324"/>
      <c r="AJ18" s="324"/>
      <c r="AK18" s="324"/>
      <c r="AL18" s="324"/>
      <c r="AM18" s="324"/>
      <c r="AN18" s="324"/>
      <c r="AO18" s="326"/>
      <c r="AP18" s="191" t="s">
        <v>88</v>
      </c>
      <c r="AQ18" s="329"/>
      <c r="AR18" s="329"/>
      <c r="AS18" s="329"/>
      <c r="AT18" s="329"/>
      <c r="AU18" s="185"/>
      <c r="AV18" s="184" t="s">
        <v>125</v>
      </c>
      <c r="AW18" s="44"/>
      <c r="AX18" s="44"/>
      <c r="AY18" s="44"/>
      <c r="AZ18" s="44"/>
      <c r="BA18" s="6"/>
    </row>
    <row r="19" spans="1:53" ht="13.5" thickBot="1">
      <c r="A19" s="579" t="s">
        <v>328</v>
      </c>
      <c r="B19" s="184" t="s">
        <v>76</v>
      </c>
      <c r="C19" s="6"/>
      <c r="D19" s="327" t="s">
        <v>57</v>
      </c>
      <c r="E19" s="44"/>
      <c r="F19" s="40"/>
      <c r="G19" s="111" t="s">
        <v>106</v>
      </c>
      <c r="H19" s="42"/>
      <c r="I19" s="51"/>
      <c r="J19" s="42"/>
      <c r="K19" s="42"/>
      <c r="L19" s="39" t="s">
        <v>81</v>
      </c>
      <c r="M19" s="44"/>
      <c r="N19" s="40"/>
      <c r="O19" s="39" t="s">
        <v>82</v>
      </c>
      <c r="P19" s="44"/>
      <c r="Q19" s="40"/>
      <c r="R19" s="39" t="s">
        <v>80</v>
      </c>
      <c r="S19" s="44"/>
      <c r="T19" s="42"/>
      <c r="U19" s="41" t="s">
        <v>78</v>
      </c>
      <c r="V19" s="44"/>
      <c r="W19" s="6"/>
      <c r="X19" s="41" t="s">
        <v>79</v>
      </c>
      <c r="Y19" s="44"/>
      <c r="Z19" s="6"/>
      <c r="AA19" s="39" t="s">
        <v>80</v>
      </c>
      <c r="AB19" s="44"/>
      <c r="AC19" s="44"/>
      <c r="AD19" s="88"/>
      <c r="AE19" s="89"/>
      <c r="AF19" s="60" t="s">
        <v>94</v>
      </c>
      <c r="AG19" s="42" t="s">
        <v>95</v>
      </c>
      <c r="AH19" s="566"/>
      <c r="AI19" s="545" t="s">
        <v>126</v>
      </c>
      <c r="AJ19" s="545" t="s">
        <v>127</v>
      </c>
      <c r="AK19" s="567" t="s">
        <v>149</v>
      </c>
      <c r="AL19" s="559" t="s">
        <v>66</v>
      </c>
      <c r="AM19" s="546" t="s">
        <v>66</v>
      </c>
      <c r="AN19" s="559" t="s">
        <v>66</v>
      </c>
      <c r="AO19" s="546" t="s">
        <v>66</v>
      </c>
      <c r="AP19" s="39" t="s">
        <v>68</v>
      </c>
      <c r="AQ19" s="42"/>
      <c r="AR19" s="42"/>
      <c r="AS19" s="42"/>
      <c r="AT19" s="40"/>
      <c r="AU19" s="6"/>
      <c r="AV19" s="502" t="s">
        <v>126</v>
      </c>
      <c r="AW19" s="502" t="s">
        <v>127</v>
      </c>
      <c r="AX19" s="88" t="s">
        <v>128</v>
      </c>
      <c r="AY19" s="89"/>
      <c r="AZ19" s="88" t="s">
        <v>129</v>
      </c>
      <c r="BA19" s="89"/>
    </row>
    <row r="20" spans="1:53">
      <c r="A20" s="827" t="s">
        <v>331</v>
      </c>
      <c r="B20" s="65" t="s">
        <v>52</v>
      </c>
      <c r="C20" s="67" t="s">
        <v>16</v>
      </c>
      <c r="D20" s="65" t="s">
        <v>99</v>
      </c>
      <c r="E20" s="18" t="s">
        <v>100</v>
      </c>
      <c r="F20" s="334">
        <v>5</v>
      </c>
      <c r="G20" s="65" t="s">
        <v>50</v>
      </c>
      <c r="H20" s="67" t="s">
        <v>51</v>
      </c>
      <c r="I20" s="335">
        <v>20</v>
      </c>
      <c r="J20" s="18" t="s">
        <v>28</v>
      </c>
      <c r="K20" s="156" t="s">
        <v>29</v>
      </c>
      <c r="L20" s="1121">
        <v>30</v>
      </c>
      <c r="M20" s="1122" t="s">
        <v>60</v>
      </c>
      <c r="N20" s="1079" t="s">
        <v>329</v>
      </c>
      <c r="O20" s="1121">
        <v>30</v>
      </c>
      <c r="P20" s="1122" t="s">
        <v>60</v>
      </c>
      <c r="Q20" s="1079" t="s">
        <v>329</v>
      </c>
      <c r="R20" s="1121">
        <v>30</v>
      </c>
      <c r="S20" s="1122" t="s">
        <v>60</v>
      </c>
      <c r="T20" s="1079" t="s">
        <v>329</v>
      </c>
      <c r="U20" s="337">
        <v>15</v>
      </c>
      <c r="V20" s="62" t="s">
        <v>60</v>
      </c>
      <c r="W20" s="63" t="s">
        <v>85</v>
      </c>
      <c r="X20" s="337">
        <v>10</v>
      </c>
      <c r="Y20" s="62" t="s">
        <v>60</v>
      </c>
      <c r="Z20" s="63" t="s">
        <v>85</v>
      </c>
      <c r="AA20" s="337">
        <v>10</v>
      </c>
      <c r="AB20" s="62" t="s">
        <v>60</v>
      </c>
      <c r="AC20" s="63" t="s">
        <v>85</v>
      </c>
      <c r="AD20" s="77"/>
      <c r="AE20" s="82"/>
      <c r="AF20" s="70">
        <v>40</v>
      </c>
      <c r="AG20" s="19">
        <v>55</v>
      </c>
      <c r="AH20" s="337">
        <v>20</v>
      </c>
      <c r="AI20" s="73" t="s">
        <v>64</v>
      </c>
      <c r="AJ20" s="544" t="s">
        <v>64</v>
      </c>
      <c r="AK20" s="285"/>
      <c r="AL20" s="70">
        <v>100</v>
      </c>
      <c r="AM20" s="19">
        <v>200</v>
      </c>
      <c r="AN20" s="70">
        <v>100</v>
      </c>
      <c r="AO20" s="19">
        <v>200</v>
      </c>
      <c r="AP20" s="91" t="s">
        <v>91</v>
      </c>
      <c r="AQ20" s="18" t="s">
        <v>69</v>
      </c>
      <c r="AR20" s="18" t="s">
        <v>70</v>
      </c>
      <c r="AS20" s="18" t="s">
        <v>71</v>
      </c>
      <c r="AT20" s="197" t="s">
        <v>73</v>
      </c>
      <c r="AU20" s="285" t="s">
        <v>64</v>
      </c>
      <c r="AV20" s="286" t="s">
        <v>140</v>
      </c>
      <c r="AW20" s="286" t="s">
        <v>141</v>
      </c>
      <c r="AX20" s="77" t="s">
        <v>142</v>
      </c>
      <c r="AY20" s="82"/>
      <c r="AZ20" s="77" t="s">
        <v>142</v>
      </c>
      <c r="BA20" s="82"/>
    </row>
    <row r="21" spans="1:53" ht="13.5" thickBot="1">
      <c r="A21" s="760"/>
      <c r="B21" s="187" t="s">
        <v>53</v>
      </c>
      <c r="C21" s="188" t="s">
        <v>22</v>
      </c>
      <c r="D21" s="187" t="s">
        <v>53</v>
      </c>
      <c r="E21" s="16" t="s">
        <v>22</v>
      </c>
      <c r="F21" s="311" t="s">
        <v>55</v>
      </c>
      <c r="G21" s="187" t="s">
        <v>42</v>
      </c>
      <c r="H21" s="188" t="s">
        <v>42</v>
      </c>
      <c r="I21" s="336" t="s">
        <v>59</v>
      </c>
      <c r="J21" s="16" t="s">
        <v>43</v>
      </c>
      <c r="K21" s="195" t="s">
        <v>44</v>
      </c>
      <c r="L21" s="1182" t="s">
        <v>59</v>
      </c>
      <c r="M21" s="26" t="s">
        <v>22</v>
      </c>
      <c r="N21" s="255" t="s">
        <v>22</v>
      </c>
      <c r="O21" s="1182" t="s">
        <v>59</v>
      </c>
      <c r="P21" s="26" t="s">
        <v>22</v>
      </c>
      <c r="Q21" s="255" t="s">
        <v>22</v>
      </c>
      <c r="R21" s="1182" t="s">
        <v>59</v>
      </c>
      <c r="S21" s="26" t="s">
        <v>22</v>
      </c>
      <c r="T21" s="255" t="s">
        <v>22</v>
      </c>
      <c r="U21" s="338" t="s">
        <v>59</v>
      </c>
      <c r="V21" s="16" t="s">
        <v>22</v>
      </c>
      <c r="W21" s="17" t="s">
        <v>86</v>
      </c>
      <c r="X21" s="338" t="s">
        <v>59</v>
      </c>
      <c r="Y21" s="16" t="s">
        <v>22</v>
      </c>
      <c r="Z21" s="17" t="s">
        <v>86</v>
      </c>
      <c r="AA21" s="338" t="s">
        <v>59</v>
      </c>
      <c r="AB21" s="16" t="s">
        <v>22</v>
      </c>
      <c r="AC21" s="17" t="s">
        <v>86</v>
      </c>
      <c r="AD21" s="75" t="s">
        <v>63</v>
      </c>
      <c r="AE21" s="17" t="s">
        <v>67</v>
      </c>
      <c r="AF21" s="75" t="s">
        <v>61</v>
      </c>
      <c r="AG21" s="17" t="s">
        <v>61</v>
      </c>
      <c r="AH21" s="336" t="s">
        <v>59</v>
      </c>
      <c r="AI21" s="202" t="s">
        <v>65</v>
      </c>
      <c r="AJ21" s="202" t="s">
        <v>65</v>
      </c>
      <c r="AK21" s="200"/>
      <c r="AL21" s="75" t="s">
        <v>89</v>
      </c>
      <c r="AM21" s="17" t="s">
        <v>89</v>
      </c>
      <c r="AN21" s="75" t="s">
        <v>89</v>
      </c>
      <c r="AO21" s="17" t="s">
        <v>89</v>
      </c>
      <c r="AP21" s="75" t="s">
        <v>72</v>
      </c>
      <c r="AQ21" s="16" t="s">
        <v>74</v>
      </c>
      <c r="AR21" s="16" t="s">
        <v>74</v>
      </c>
      <c r="AS21" s="16" t="s">
        <v>74</v>
      </c>
      <c r="AT21" s="202" t="s">
        <v>75</v>
      </c>
      <c r="AU21" s="200" t="s">
        <v>67</v>
      </c>
      <c r="AV21" s="515" t="s">
        <v>143</v>
      </c>
      <c r="AW21" s="515" t="s">
        <v>143</v>
      </c>
      <c r="AX21" s="495" t="s">
        <v>96</v>
      </c>
      <c r="AY21" s="497" t="s">
        <v>144</v>
      </c>
      <c r="AZ21" s="495" t="s">
        <v>96</v>
      </c>
      <c r="BA21" s="497" t="s">
        <v>144</v>
      </c>
    </row>
    <row r="22" spans="1:53">
      <c r="A22" s="828"/>
      <c r="B22" s="65"/>
      <c r="C22" s="67"/>
      <c r="D22" s="302"/>
      <c r="E22" s="18"/>
      <c r="F22" s="19"/>
      <c r="G22" s="65"/>
      <c r="H22" s="67"/>
      <c r="I22" s="313"/>
      <c r="J22" s="18"/>
      <c r="K22" s="156"/>
      <c r="L22" s="54"/>
      <c r="M22" s="1049"/>
      <c r="N22" s="19"/>
      <c r="O22" s="54"/>
      <c r="P22" s="1049"/>
      <c r="Q22" s="19"/>
      <c r="R22" s="54"/>
      <c r="S22" s="1049"/>
      <c r="T22" s="197"/>
      <c r="U22" s="54"/>
      <c r="V22" s="269"/>
      <c r="W22" s="59"/>
      <c r="X22" s="54"/>
      <c r="Y22" s="269"/>
      <c r="Z22" s="59"/>
      <c r="AA22" s="54"/>
      <c r="AB22" s="269"/>
      <c r="AC22" s="59"/>
      <c r="AD22" s="70"/>
      <c r="AE22" s="19"/>
      <c r="AF22" s="70"/>
      <c r="AG22" s="19"/>
      <c r="AH22" s="54"/>
      <c r="AI22" s="542"/>
      <c r="AJ22" s="542"/>
      <c r="AK22" s="561"/>
      <c r="AL22" s="559" t="s">
        <v>126</v>
      </c>
      <c r="AM22" s="546" t="s">
        <v>126</v>
      </c>
      <c r="AN22" s="559" t="s">
        <v>127</v>
      </c>
      <c r="AO22" s="546" t="s">
        <v>127</v>
      </c>
      <c r="AP22" s="70"/>
      <c r="AQ22" s="18"/>
      <c r="AR22" s="18"/>
      <c r="AS22" s="18"/>
      <c r="AT22" s="197"/>
      <c r="AU22" s="286"/>
      <c r="AV22" s="516"/>
      <c r="AW22" s="516"/>
      <c r="AX22" s="498"/>
      <c r="AY22" s="499"/>
      <c r="AZ22" s="498"/>
      <c r="BA22" s="499"/>
    </row>
    <row r="23" spans="1:53">
      <c r="A23" s="355">
        <f>C23/4.5</f>
        <v>1.1111111111111112</v>
      </c>
      <c r="B23" s="350">
        <v>600</v>
      </c>
      <c r="C23" s="351">
        <v>5</v>
      </c>
      <c r="D23" s="352">
        <v>380</v>
      </c>
      <c r="E23" s="353">
        <f>K23*1000/D23/SQRT(3)</f>
        <v>6.0773712546276402</v>
      </c>
      <c r="F23" s="354">
        <f t="shared" ref="F23:F38" si="1">F$20</f>
        <v>5</v>
      </c>
      <c r="G23" s="355">
        <v>263</v>
      </c>
      <c r="H23" s="356">
        <f>SQRT(3)*G23</f>
        <v>455.52936239061472</v>
      </c>
      <c r="I23" s="357">
        <f t="shared" ref="I23:I38" si="2">I$20</f>
        <v>20</v>
      </c>
      <c r="J23" s="28">
        <f t="shared" ref="J23:J38" si="3">(1+I23/100)*C23*0.83</f>
        <v>4.9799999999999995</v>
      </c>
      <c r="K23" s="430">
        <f>IF(CEILING(H23*J23*SQRT(3)/1000,0.25)&lt;10,CEILING(H23*J23*SQRT(3)/1000,0.25),IF(CEILING(H23*J23*SQRT(3)/1000,0.25)&lt;20,CEILING(H23*J23*SQRT(3)/1000,0.5),CEILING(H23*J23*SQRT(3)/1000,1)))</f>
        <v>4</v>
      </c>
      <c r="L23" s="358">
        <f t="shared" ref="L23:L38" si="4">L$20</f>
        <v>30</v>
      </c>
      <c r="M23" s="1050">
        <f t="shared" ref="M23:M38" si="5">(1+L23/100)*E23</f>
        <v>7.9005826310159328</v>
      </c>
      <c r="N23" s="356">
        <f>LOOKUP(M23,'Circuit Breakers'!$B$5:$B$38,'Circuit Breakers'!$C$5:$C$38)</f>
        <v>10</v>
      </c>
      <c r="O23" s="358">
        <f t="shared" ref="O23:O38" si="6">O$20</f>
        <v>30</v>
      </c>
      <c r="P23" s="1050">
        <f t="shared" ref="P23:P38" si="7">(1+O23/100)*J23</f>
        <v>6.4739999999999993</v>
      </c>
      <c r="Q23" s="356">
        <f>LOOKUP(P23,'Circuit Breakers'!$B$5:$B$38,'Circuit Breakers'!$C$5:$C$38)</f>
        <v>10</v>
      </c>
      <c r="R23" s="358">
        <f t="shared" ref="R23:R38" si="8">R$20</f>
        <v>30</v>
      </c>
      <c r="S23" s="1050">
        <f t="shared" ref="S23:S38" si="9">(1+R23/100)*C23</f>
        <v>6.5</v>
      </c>
      <c r="T23" s="1125">
        <f>LOOKUP(S23,'Circuit Breakers'!$B$5:$B$38,'Circuit Breakers'!$C$5:$C$38)</f>
        <v>10</v>
      </c>
      <c r="U23" s="358">
        <f t="shared" ref="U23:U38" si="10">U$20</f>
        <v>15</v>
      </c>
      <c r="V23" s="360">
        <f t="shared" ref="V23:V38" si="11">(1+U23/100)*E23</f>
        <v>6.9889769428217861</v>
      </c>
      <c r="W23" s="354" t="str">
        <f>LOOKUP(V23,'Wire-Cables Ampacities'!$B$5:$B$35,'Wire-Cables Ampacities'!$C$5:$C$35)</f>
        <v>#10</v>
      </c>
      <c r="X23" s="358">
        <f t="shared" ref="X23:X38" si="12">X$20</f>
        <v>10</v>
      </c>
      <c r="Y23" s="360">
        <f t="shared" ref="Y23:Y38" si="13">(1+X23/100)*J23</f>
        <v>5.4779999999999998</v>
      </c>
      <c r="Z23" s="354" t="str">
        <f>LOOKUP(Y23,'Wire-Cables Ampacities'!$B$5:$B$35,'Wire-Cables Ampacities'!$C$5:$C$35)</f>
        <v>#10</v>
      </c>
      <c r="AA23" s="358">
        <f t="shared" ref="AA23:AA38" si="14">AA$20</f>
        <v>10</v>
      </c>
      <c r="AB23" s="360">
        <f t="shared" ref="AB23:AB38" si="15">(1+AA23/100)*C23</f>
        <v>5.5</v>
      </c>
      <c r="AC23" s="354" t="str">
        <f>LOOKUP(AB23,'Wire-Cables Ampacities'!$B$5:$B$35,'Wire-Cables Ampacities'!$C$5:$C$35)</f>
        <v>#10</v>
      </c>
      <c r="AD23" s="361">
        <f t="shared" ref="AD23:AD38" si="16">(2*C23+0.06*K23*1000)/1000</f>
        <v>0.25</v>
      </c>
      <c r="AE23" s="359">
        <f t="shared" ref="AE23:AE38" si="17">AD23*3.412142*1000</f>
        <v>853.03549999999996</v>
      </c>
      <c r="AF23" s="362">
        <f>AF$20</f>
        <v>40</v>
      </c>
      <c r="AG23" s="354">
        <f>AG$20</f>
        <v>55</v>
      </c>
      <c r="AH23" s="358">
        <f>AH$20</f>
        <v>20</v>
      </c>
      <c r="AI23" s="28">
        <f t="shared" ref="AI23:AI38" si="18">1760*AD23/(AG23-AF23)*(1+AH23/100)</f>
        <v>35.199999999999996</v>
      </c>
      <c r="AJ23" s="28">
        <f>AI23*1.33</f>
        <v>46.815999999999995</v>
      </c>
      <c r="AK23" s="562" t="str">
        <f>IF(AP23=450,"4.7x4.7","6 inch")</f>
        <v>4.7x4.7</v>
      </c>
      <c r="AL23" s="482">
        <f t="shared" ref="AL23:AL38" si="19">IF(AK23="4.7x4.7",IF(CEILING(AI23/AL$44,1)&lt;2,CEILING(AI23/AL$44,1),CEILING(AI23/AL$44,2)),0)</f>
        <v>1</v>
      </c>
      <c r="AM23" s="359">
        <f t="shared" ref="AM23:AM38" si="20">IF(AK23="6 inch",IF(CEILING(AI23/AM$44,1)&lt;2,CEILING(AI23/AM$44,1),CEILING(AI23/AM$44,2)),0)</f>
        <v>0</v>
      </c>
      <c r="AN23" s="482">
        <f t="shared" ref="AN23:AN38" si="21">IF(AK23="4.7x4.7",IF(CEILING(AJ23/AN$44,1)&lt;2,CEILING(AJ23/AN$44,1),CEILING(AJ23/AN$44,2)),0)</f>
        <v>1</v>
      </c>
      <c r="AO23" s="359">
        <f t="shared" ref="AO23:AO38" si="22">IF(AK23="6 inch",IF(CEILING(AJ23/AO$44,1)&lt;2,CEILING(AJ23/AO$44,1),CEILING(AJ23/AO$44,2)),0)</f>
        <v>0</v>
      </c>
      <c r="AP23" s="363">
        <v>450</v>
      </c>
      <c r="AQ23" s="28">
        <v>24</v>
      </c>
      <c r="AR23" s="27">
        <v>30</v>
      </c>
      <c r="AS23" s="27">
        <v>16</v>
      </c>
      <c r="AT23" s="364">
        <f>((2*AR23*AQ23)+2*(AR23*AS23)+(AQ23*AS23))/144</f>
        <v>19.333333333333332</v>
      </c>
      <c r="AU23" s="365">
        <f t="shared" ref="AU23:AU38" si="23">AE23+(1.25*AT23*(AF23-AG23))</f>
        <v>490.53550000000001</v>
      </c>
      <c r="AV23" s="517"/>
      <c r="AW23" s="517"/>
      <c r="AX23" s="58"/>
      <c r="AY23" s="494"/>
      <c r="AZ23" s="58"/>
      <c r="BA23" s="494"/>
    </row>
    <row r="24" spans="1:53">
      <c r="A24" s="295">
        <f t="shared" ref="A24:A37" si="24">C24/4.5</f>
        <v>2</v>
      </c>
      <c r="B24" s="66">
        <v>600</v>
      </c>
      <c r="C24" s="68">
        <v>9</v>
      </c>
      <c r="D24" s="186">
        <v>380</v>
      </c>
      <c r="E24" s="45">
        <f t="shared" ref="E24:E38" si="25">K24*1000/D24/SQRT(3)</f>
        <v>11.015235399012596</v>
      </c>
      <c r="F24" s="15">
        <f t="shared" si="1"/>
        <v>5</v>
      </c>
      <c r="G24" s="295">
        <v>263</v>
      </c>
      <c r="H24" s="158">
        <f t="shared" ref="H24:H38" si="26">SQRT(3)*G24</f>
        <v>455.52936239061472</v>
      </c>
      <c r="I24" s="199">
        <f t="shared" si="2"/>
        <v>20</v>
      </c>
      <c r="J24" s="25">
        <f t="shared" si="3"/>
        <v>8.9639999999999986</v>
      </c>
      <c r="K24" s="427">
        <f t="shared" ref="K24:K38" si="27">IF(CEILING(H24*J24*SQRT(3)/1000,0.25)&lt;10,CEILING(H24*J24*SQRT(3)/1000,0.25),IF(CEILING(H24*J24*SQRT(3)/1000,0.25)&lt;20,CEILING(H24*J24*SQRT(3)/1000,0.5),CEILING(H24*J24*SQRT(3)/1000,1)))</f>
        <v>7.25</v>
      </c>
      <c r="L24" s="55">
        <f t="shared" si="4"/>
        <v>30</v>
      </c>
      <c r="M24" s="1051">
        <f t="shared" si="5"/>
        <v>14.319806018716376</v>
      </c>
      <c r="N24" s="158">
        <f>LOOKUP(M24,'Circuit Breakers'!$B$5:$B$38,'Circuit Breakers'!$C$5:$C$38)</f>
        <v>15</v>
      </c>
      <c r="O24" s="55">
        <f t="shared" si="6"/>
        <v>30</v>
      </c>
      <c r="P24" s="1051">
        <f t="shared" si="7"/>
        <v>11.653199999999998</v>
      </c>
      <c r="Q24" s="158">
        <f>LOOKUP(P24,'Circuit Breakers'!$B$5:$B$38,'Circuit Breakers'!$C$5:$C$38)</f>
        <v>15</v>
      </c>
      <c r="R24" s="55">
        <f t="shared" si="8"/>
        <v>30</v>
      </c>
      <c r="S24" s="1051">
        <f t="shared" si="9"/>
        <v>11.700000000000001</v>
      </c>
      <c r="T24" s="1064">
        <f>LOOKUP(S24,'Circuit Breakers'!$B$5:$B$38,'Circuit Breakers'!$C$5:$C$38)</f>
        <v>15</v>
      </c>
      <c r="U24" s="55">
        <f t="shared" si="10"/>
        <v>15</v>
      </c>
      <c r="V24" s="53">
        <f t="shared" si="11"/>
        <v>12.667520708864485</v>
      </c>
      <c r="W24" s="15" t="str">
        <f>LOOKUP(V24,'Wire-Cables Ampacities'!$B$5:$B$35,'Wire-Cables Ampacities'!$C$5:$C$35)</f>
        <v>#10</v>
      </c>
      <c r="X24" s="55">
        <f t="shared" si="12"/>
        <v>10</v>
      </c>
      <c r="Y24" s="53">
        <f t="shared" si="13"/>
        <v>9.8603999999999985</v>
      </c>
      <c r="Z24" s="15" t="str">
        <f>LOOKUP(Y24,'Wire-Cables Ampacities'!$B$5:$B$35,'Wire-Cables Ampacities'!$C$5:$C$35)</f>
        <v>#10</v>
      </c>
      <c r="AA24" s="55">
        <f t="shared" si="14"/>
        <v>10</v>
      </c>
      <c r="AB24" s="53">
        <f t="shared" si="15"/>
        <v>9.9</v>
      </c>
      <c r="AC24" s="15" t="str">
        <f>LOOKUP(AB24,'Wire-Cables Ampacities'!$B$5:$B$35,'Wire-Cables Ampacities'!$C$5:$C$35)</f>
        <v>#10</v>
      </c>
      <c r="AD24" s="81">
        <f t="shared" si="16"/>
        <v>0.45300000000000001</v>
      </c>
      <c r="AE24" s="56">
        <f t="shared" si="17"/>
        <v>1545.7003259999999</v>
      </c>
      <c r="AF24" s="72">
        <f t="shared" ref="AF24:AG38" si="28">AF$20</f>
        <v>40</v>
      </c>
      <c r="AG24" s="15">
        <f t="shared" si="28"/>
        <v>55</v>
      </c>
      <c r="AH24" s="55">
        <f t="shared" ref="AH24:AH38" si="29">AH$20</f>
        <v>20</v>
      </c>
      <c r="AI24" s="25">
        <f t="shared" si="18"/>
        <v>63.782399999999996</v>
      </c>
      <c r="AJ24" s="25">
        <f t="shared" ref="AJ24:AJ38" si="30">AI24*1.33</f>
        <v>84.830591999999996</v>
      </c>
      <c r="AK24" s="520" t="str">
        <f t="shared" ref="AK24:AK38" si="31">IF(AP24=450,"4.7x4.7","6 inch")</f>
        <v>4.7x4.7</v>
      </c>
      <c r="AL24" s="483">
        <f t="shared" si="19"/>
        <v>1</v>
      </c>
      <c r="AM24" s="56">
        <f t="shared" si="20"/>
        <v>0</v>
      </c>
      <c r="AN24" s="483">
        <f t="shared" si="21"/>
        <v>1</v>
      </c>
      <c r="AO24" s="56">
        <f t="shared" si="22"/>
        <v>0</v>
      </c>
      <c r="AP24" s="58">
        <v>450</v>
      </c>
      <c r="AQ24" s="25">
        <v>24</v>
      </c>
      <c r="AR24" s="3">
        <v>30</v>
      </c>
      <c r="AS24" s="3">
        <v>16</v>
      </c>
      <c r="AT24" s="312">
        <f t="shared" ref="AT24:AT38" si="32">((2*AR24*AQ24)+2*(AR24*AS24)+(AQ24*AS24))/144</f>
        <v>19.333333333333332</v>
      </c>
      <c r="AU24" s="287">
        <f t="shared" si="23"/>
        <v>1183.2003259999999</v>
      </c>
      <c r="AV24" s="517"/>
      <c r="AW24" s="517"/>
      <c r="AX24" s="58"/>
      <c r="AY24" s="494"/>
      <c r="AZ24" s="58"/>
      <c r="BA24" s="494"/>
    </row>
    <row r="25" spans="1:53">
      <c r="A25" s="375">
        <f t="shared" si="24"/>
        <v>4</v>
      </c>
      <c r="B25" s="370">
        <v>600</v>
      </c>
      <c r="C25" s="371">
        <v>18</v>
      </c>
      <c r="D25" s="372">
        <v>380</v>
      </c>
      <c r="E25" s="373">
        <f t="shared" si="25"/>
        <v>22.030470798025192</v>
      </c>
      <c r="F25" s="374">
        <f t="shared" si="1"/>
        <v>5</v>
      </c>
      <c r="G25" s="375">
        <v>263</v>
      </c>
      <c r="H25" s="376">
        <f t="shared" si="26"/>
        <v>455.52936239061472</v>
      </c>
      <c r="I25" s="377">
        <f t="shared" si="2"/>
        <v>20</v>
      </c>
      <c r="J25" s="378">
        <f t="shared" si="3"/>
        <v>17.927999999999997</v>
      </c>
      <c r="K25" s="479">
        <f t="shared" si="27"/>
        <v>14.5</v>
      </c>
      <c r="L25" s="379">
        <f t="shared" si="4"/>
        <v>30</v>
      </c>
      <c r="M25" s="1052">
        <f t="shared" si="5"/>
        <v>28.639612037432752</v>
      </c>
      <c r="N25" s="376">
        <f>LOOKUP(M25,'Circuit Breakers'!$B$5:$B$38,'Circuit Breakers'!$C$5:$C$38)</f>
        <v>30</v>
      </c>
      <c r="O25" s="379">
        <f t="shared" si="6"/>
        <v>30</v>
      </c>
      <c r="P25" s="1052">
        <f t="shared" si="7"/>
        <v>23.306399999999996</v>
      </c>
      <c r="Q25" s="376">
        <f>LOOKUP(P25,'Circuit Breakers'!$B$5:$B$38,'Circuit Breakers'!$C$5:$C$38)</f>
        <v>25</v>
      </c>
      <c r="R25" s="379">
        <f t="shared" si="8"/>
        <v>30</v>
      </c>
      <c r="S25" s="1052">
        <f t="shared" si="9"/>
        <v>23.400000000000002</v>
      </c>
      <c r="T25" s="1126">
        <f>LOOKUP(S25,'Circuit Breakers'!$B$5:$B$38,'Circuit Breakers'!$C$5:$C$38)</f>
        <v>25</v>
      </c>
      <c r="U25" s="379">
        <f t="shared" si="10"/>
        <v>15</v>
      </c>
      <c r="V25" s="381">
        <f t="shared" si="11"/>
        <v>25.33504141772897</v>
      </c>
      <c r="W25" s="374" t="str">
        <f>LOOKUP(V25,'Wire-Cables Ampacities'!$B$5:$B$35,'Wire-Cables Ampacities'!$C$5:$C$35)</f>
        <v>#10</v>
      </c>
      <c r="X25" s="379">
        <f t="shared" si="12"/>
        <v>10</v>
      </c>
      <c r="Y25" s="381">
        <f t="shared" si="13"/>
        <v>19.720799999999997</v>
      </c>
      <c r="Z25" s="374" t="str">
        <f>LOOKUP(Y25,'Wire-Cables Ampacities'!$B$5:$B$35,'Wire-Cables Ampacities'!$C$5:$C$35)</f>
        <v>#10</v>
      </c>
      <c r="AA25" s="379">
        <f t="shared" si="14"/>
        <v>10</v>
      </c>
      <c r="AB25" s="381">
        <f t="shared" si="15"/>
        <v>19.8</v>
      </c>
      <c r="AC25" s="374" t="str">
        <f>LOOKUP(AB25,'Wire-Cables Ampacities'!$B$5:$B$35,'Wire-Cables Ampacities'!$C$5:$C$35)</f>
        <v>#10</v>
      </c>
      <c r="AD25" s="382">
        <f t="shared" si="16"/>
        <v>0.90600000000000003</v>
      </c>
      <c r="AE25" s="380">
        <f t="shared" si="17"/>
        <v>3091.4006519999998</v>
      </c>
      <c r="AF25" s="383">
        <f t="shared" si="28"/>
        <v>40</v>
      </c>
      <c r="AG25" s="374">
        <f t="shared" si="28"/>
        <v>55</v>
      </c>
      <c r="AH25" s="379">
        <f t="shared" si="29"/>
        <v>20</v>
      </c>
      <c r="AI25" s="378">
        <f t="shared" si="18"/>
        <v>127.56479999999999</v>
      </c>
      <c r="AJ25" s="378">
        <f t="shared" si="30"/>
        <v>169.66118399999999</v>
      </c>
      <c r="AK25" s="563" t="str">
        <f t="shared" si="31"/>
        <v>6 inch</v>
      </c>
      <c r="AL25" s="484">
        <f t="shared" si="19"/>
        <v>0</v>
      </c>
      <c r="AM25" s="380">
        <f t="shared" si="20"/>
        <v>1</v>
      </c>
      <c r="AN25" s="484">
        <f t="shared" si="21"/>
        <v>0</v>
      </c>
      <c r="AO25" s="380">
        <f t="shared" si="22"/>
        <v>1</v>
      </c>
      <c r="AP25" s="384">
        <v>600</v>
      </c>
      <c r="AQ25" s="378">
        <v>24</v>
      </c>
      <c r="AR25" s="385">
        <v>48</v>
      </c>
      <c r="AS25" s="385">
        <v>16</v>
      </c>
      <c r="AT25" s="386">
        <f t="shared" si="32"/>
        <v>29.333333333333332</v>
      </c>
      <c r="AU25" s="387">
        <f t="shared" si="23"/>
        <v>2541.4006519999998</v>
      </c>
      <c r="AV25" s="517"/>
      <c r="AW25" s="517"/>
      <c r="AX25" s="58"/>
      <c r="AY25" s="494"/>
      <c r="AZ25" s="58"/>
      <c r="BA25" s="494"/>
    </row>
    <row r="26" spans="1:53">
      <c r="A26" s="295">
        <f t="shared" si="24"/>
        <v>6</v>
      </c>
      <c r="B26" s="66">
        <v>600</v>
      </c>
      <c r="C26" s="68">
        <v>27</v>
      </c>
      <c r="D26" s="186">
        <v>380</v>
      </c>
      <c r="E26" s="45">
        <f t="shared" si="25"/>
        <v>33.425541900452018</v>
      </c>
      <c r="F26" s="15">
        <f t="shared" si="1"/>
        <v>5</v>
      </c>
      <c r="G26" s="295">
        <v>263</v>
      </c>
      <c r="H26" s="158">
        <f t="shared" si="26"/>
        <v>455.52936239061472</v>
      </c>
      <c r="I26" s="199">
        <f t="shared" si="2"/>
        <v>20</v>
      </c>
      <c r="J26" s="25">
        <f t="shared" si="3"/>
        <v>26.891999999999996</v>
      </c>
      <c r="K26" s="158">
        <f t="shared" si="27"/>
        <v>22</v>
      </c>
      <c r="L26" s="55">
        <f t="shared" si="4"/>
        <v>30</v>
      </c>
      <c r="M26" s="1051">
        <f t="shared" si="5"/>
        <v>43.453204470587622</v>
      </c>
      <c r="N26" s="158">
        <f>LOOKUP(M26,'Circuit Breakers'!$B$5:$B$38,'Circuit Breakers'!$C$5:$C$38)</f>
        <v>50</v>
      </c>
      <c r="O26" s="55">
        <f t="shared" si="6"/>
        <v>30</v>
      </c>
      <c r="P26" s="1051">
        <f t="shared" si="7"/>
        <v>34.959599999999995</v>
      </c>
      <c r="Q26" s="158">
        <f>LOOKUP(P26,'Circuit Breakers'!$B$5:$B$38,'Circuit Breakers'!$C$5:$C$38)</f>
        <v>40</v>
      </c>
      <c r="R26" s="55">
        <f t="shared" si="8"/>
        <v>30</v>
      </c>
      <c r="S26" s="1051">
        <f t="shared" si="9"/>
        <v>35.1</v>
      </c>
      <c r="T26" s="1064">
        <f>LOOKUP(S26,'Circuit Breakers'!$B$5:$B$38,'Circuit Breakers'!$C$5:$C$38)</f>
        <v>40</v>
      </c>
      <c r="U26" s="55">
        <f t="shared" si="10"/>
        <v>15</v>
      </c>
      <c r="V26" s="53">
        <f t="shared" si="11"/>
        <v>38.43937318551982</v>
      </c>
      <c r="W26" s="15" t="str">
        <f>LOOKUP(V26,'Wire-Cables Ampacities'!$B$5:$B$35,'Wire-Cables Ampacities'!$C$5:$C$35)</f>
        <v>#10</v>
      </c>
      <c r="X26" s="55">
        <f t="shared" si="12"/>
        <v>10</v>
      </c>
      <c r="Y26" s="53">
        <f t="shared" si="13"/>
        <v>29.581199999999999</v>
      </c>
      <c r="Z26" s="15" t="str">
        <f>LOOKUP(Y26,'Wire-Cables Ampacities'!$B$5:$B$35,'Wire-Cables Ampacities'!$C$5:$C$35)</f>
        <v>#10</v>
      </c>
      <c r="AA26" s="55">
        <f t="shared" si="14"/>
        <v>10</v>
      </c>
      <c r="AB26" s="53">
        <f t="shared" si="15"/>
        <v>29.700000000000003</v>
      </c>
      <c r="AC26" s="15" t="str">
        <f>LOOKUP(AB26,'Wire-Cables Ampacities'!$B$5:$B$35,'Wire-Cables Ampacities'!$C$5:$C$35)</f>
        <v>#10</v>
      </c>
      <c r="AD26" s="81">
        <f t="shared" si="16"/>
        <v>1.3739999999999997</v>
      </c>
      <c r="AE26" s="56">
        <f t="shared" si="17"/>
        <v>4688.2831079999987</v>
      </c>
      <c r="AF26" s="72">
        <f t="shared" si="28"/>
        <v>40</v>
      </c>
      <c r="AG26" s="15">
        <f t="shared" si="28"/>
        <v>55</v>
      </c>
      <c r="AH26" s="55">
        <f t="shared" si="29"/>
        <v>20</v>
      </c>
      <c r="AI26" s="25">
        <f t="shared" si="18"/>
        <v>193.45919999999992</v>
      </c>
      <c r="AJ26" s="25">
        <f t="shared" si="30"/>
        <v>257.30073599999992</v>
      </c>
      <c r="AK26" s="520" t="str">
        <f t="shared" si="31"/>
        <v>6 inch</v>
      </c>
      <c r="AL26" s="483">
        <f t="shared" si="19"/>
        <v>0</v>
      </c>
      <c r="AM26" s="56">
        <f t="shared" si="20"/>
        <v>1</v>
      </c>
      <c r="AN26" s="483">
        <f t="shared" si="21"/>
        <v>0</v>
      </c>
      <c r="AO26" s="56">
        <f t="shared" si="22"/>
        <v>2</v>
      </c>
      <c r="AP26" s="58">
        <v>600</v>
      </c>
      <c r="AQ26" s="25">
        <v>24</v>
      </c>
      <c r="AR26" s="3">
        <v>48</v>
      </c>
      <c r="AS26" s="3">
        <v>16</v>
      </c>
      <c r="AT26" s="312">
        <f t="shared" si="32"/>
        <v>29.333333333333332</v>
      </c>
      <c r="AU26" s="287">
        <f t="shared" si="23"/>
        <v>4138.2831079999987</v>
      </c>
      <c r="AV26" s="517"/>
      <c r="AW26" s="517"/>
      <c r="AX26" s="58"/>
      <c r="AY26" s="494"/>
      <c r="AZ26" s="58"/>
      <c r="BA26" s="494"/>
    </row>
    <row r="27" spans="1:53">
      <c r="A27" s="393">
        <f t="shared" si="24"/>
        <v>8</v>
      </c>
      <c r="B27" s="388">
        <v>600</v>
      </c>
      <c r="C27" s="389">
        <v>36</v>
      </c>
      <c r="D27" s="390">
        <v>380</v>
      </c>
      <c r="E27" s="391">
        <f t="shared" si="25"/>
        <v>44.060941596050384</v>
      </c>
      <c r="F27" s="392">
        <f t="shared" si="1"/>
        <v>5</v>
      </c>
      <c r="G27" s="393">
        <v>263</v>
      </c>
      <c r="H27" s="394">
        <f t="shared" si="26"/>
        <v>455.52936239061472</v>
      </c>
      <c r="I27" s="395">
        <f t="shared" si="2"/>
        <v>20</v>
      </c>
      <c r="J27" s="396">
        <f t="shared" si="3"/>
        <v>35.855999999999995</v>
      </c>
      <c r="K27" s="394">
        <f t="shared" si="27"/>
        <v>29</v>
      </c>
      <c r="L27" s="397">
        <f t="shared" si="4"/>
        <v>30</v>
      </c>
      <c r="M27" s="1053">
        <f t="shared" si="5"/>
        <v>57.279224074865503</v>
      </c>
      <c r="N27" s="394">
        <f>LOOKUP(M27,'Circuit Breakers'!$B$5:$B$38,'Circuit Breakers'!$C$5:$C$38)</f>
        <v>60</v>
      </c>
      <c r="O27" s="397">
        <f t="shared" si="6"/>
        <v>30</v>
      </c>
      <c r="P27" s="1053">
        <f t="shared" si="7"/>
        <v>46.612799999999993</v>
      </c>
      <c r="Q27" s="394">
        <f>LOOKUP(P27,'Circuit Breakers'!$B$5:$B$38,'Circuit Breakers'!$C$5:$C$38)</f>
        <v>50</v>
      </c>
      <c r="R27" s="397">
        <f t="shared" si="8"/>
        <v>30</v>
      </c>
      <c r="S27" s="1053">
        <f t="shared" si="9"/>
        <v>46.800000000000004</v>
      </c>
      <c r="T27" s="1127">
        <f>LOOKUP(S27,'Circuit Breakers'!$B$5:$B$38,'Circuit Breakers'!$C$5:$C$38)</f>
        <v>50</v>
      </c>
      <c r="U27" s="397">
        <f t="shared" si="10"/>
        <v>15</v>
      </c>
      <c r="V27" s="399">
        <f t="shared" si="11"/>
        <v>50.67008283545794</v>
      </c>
      <c r="W27" s="392" t="str">
        <f>LOOKUP(V27,'Wire-Cables Ampacities'!$B$5:$B$35,'Wire-Cables Ampacities'!$C$5:$C$35)</f>
        <v>#8</v>
      </c>
      <c r="X27" s="397">
        <f t="shared" si="12"/>
        <v>10</v>
      </c>
      <c r="Y27" s="399">
        <f t="shared" si="13"/>
        <v>39.441599999999994</v>
      </c>
      <c r="Z27" s="392" t="str">
        <f>LOOKUP(Y27,'Wire-Cables Ampacities'!$B$5:$B$35,'Wire-Cables Ampacities'!$C$5:$C$35)</f>
        <v>#10</v>
      </c>
      <c r="AA27" s="397">
        <f t="shared" si="14"/>
        <v>10</v>
      </c>
      <c r="AB27" s="399">
        <f t="shared" si="15"/>
        <v>39.6</v>
      </c>
      <c r="AC27" s="392" t="str">
        <f>LOOKUP(AB27,'Wire-Cables Ampacities'!$B$5:$B$35,'Wire-Cables Ampacities'!$C$5:$C$35)</f>
        <v>#10</v>
      </c>
      <c r="AD27" s="400">
        <f t="shared" si="16"/>
        <v>1.8120000000000001</v>
      </c>
      <c r="AE27" s="398">
        <f t="shared" si="17"/>
        <v>6182.8013039999996</v>
      </c>
      <c r="AF27" s="401">
        <f t="shared" si="28"/>
        <v>40</v>
      </c>
      <c r="AG27" s="392">
        <f t="shared" si="28"/>
        <v>55</v>
      </c>
      <c r="AH27" s="397">
        <f t="shared" si="29"/>
        <v>20</v>
      </c>
      <c r="AI27" s="396">
        <f t="shared" si="18"/>
        <v>255.12959999999998</v>
      </c>
      <c r="AJ27" s="396">
        <f t="shared" si="30"/>
        <v>339.32236799999998</v>
      </c>
      <c r="AK27" s="564" t="str">
        <f t="shared" si="31"/>
        <v>6 inch</v>
      </c>
      <c r="AL27" s="485">
        <f t="shared" si="19"/>
        <v>0</v>
      </c>
      <c r="AM27" s="398">
        <f t="shared" si="20"/>
        <v>2</v>
      </c>
      <c r="AN27" s="485">
        <f t="shared" si="21"/>
        <v>0</v>
      </c>
      <c r="AO27" s="398">
        <f t="shared" si="22"/>
        <v>2</v>
      </c>
      <c r="AP27" s="402">
        <v>600</v>
      </c>
      <c r="AQ27" s="396">
        <v>24</v>
      </c>
      <c r="AR27" s="403">
        <v>48</v>
      </c>
      <c r="AS27" s="403">
        <v>16</v>
      </c>
      <c r="AT27" s="404">
        <f t="shared" si="32"/>
        <v>29.333333333333332</v>
      </c>
      <c r="AU27" s="405">
        <f t="shared" si="23"/>
        <v>5632.8013039999996</v>
      </c>
      <c r="AV27" s="517"/>
      <c r="AW27" s="517"/>
      <c r="AX27" s="58"/>
      <c r="AY27" s="494"/>
      <c r="AZ27" s="58"/>
      <c r="BA27" s="494"/>
    </row>
    <row r="28" spans="1:53">
      <c r="A28" s="295">
        <f t="shared" si="24"/>
        <v>9.1111111111111107</v>
      </c>
      <c r="B28" s="66">
        <v>600</v>
      </c>
      <c r="C28" s="68">
        <v>41</v>
      </c>
      <c r="D28" s="186">
        <v>380</v>
      </c>
      <c r="E28" s="45">
        <f t="shared" si="25"/>
        <v>50.138312850678027</v>
      </c>
      <c r="F28" s="15">
        <f t="shared" si="1"/>
        <v>5</v>
      </c>
      <c r="G28" s="295">
        <v>263</v>
      </c>
      <c r="H28" s="158">
        <f t="shared" si="26"/>
        <v>455.52936239061472</v>
      </c>
      <c r="I28" s="199">
        <f t="shared" si="2"/>
        <v>20</v>
      </c>
      <c r="J28" s="25">
        <f t="shared" si="3"/>
        <v>40.835999999999991</v>
      </c>
      <c r="K28" s="158">
        <f t="shared" si="27"/>
        <v>33</v>
      </c>
      <c r="L28" s="55">
        <f t="shared" si="4"/>
        <v>30</v>
      </c>
      <c r="M28" s="1051">
        <f t="shared" si="5"/>
        <v>65.179806705881433</v>
      </c>
      <c r="N28" s="158">
        <f>LOOKUP(M28,'Circuit Breakers'!$B$5:$B$38,'Circuit Breakers'!$C$5:$C$38)</f>
        <v>70</v>
      </c>
      <c r="O28" s="55">
        <f t="shared" si="6"/>
        <v>30</v>
      </c>
      <c r="P28" s="1051">
        <f t="shared" si="7"/>
        <v>53.08679999999999</v>
      </c>
      <c r="Q28" s="158">
        <f>LOOKUP(P28,'Circuit Breakers'!$B$5:$B$38,'Circuit Breakers'!$C$5:$C$38)</f>
        <v>60</v>
      </c>
      <c r="R28" s="55">
        <f t="shared" si="8"/>
        <v>30</v>
      </c>
      <c r="S28" s="1051">
        <f t="shared" si="9"/>
        <v>53.300000000000004</v>
      </c>
      <c r="T28" s="1064">
        <f>LOOKUP(S28,'Circuit Breakers'!$B$5:$B$38,'Circuit Breakers'!$C$5:$C$38)</f>
        <v>60</v>
      </c>
      <c r="U28" s="55">
        <f t="shared" si="10"/>
        <v>15</v>
      </c>
      <c r="V28" s="53">
        <f t="shared" si="11"/>
        <v>57.659059778279726</v>
      </c>
      <c r="W28" s="15" t="str">
        <f>LOOKUP(V28,'Wire-Cables Ampacities'!$B$5:$B$35,'Wire-Cables Ampacities'!$C$5:$C$35)</f>
        <v>#8</v>
      </c>
      <c r="X28" s="55">
        <f t="shared" si="12"/>
        <v>10</v>
      </c>
      <c r="Y28" s="53">
        <f t="shared" si="13"/>
        <v>44.919599999999996</v>
      </c>
      <c r="Z28" s="15" t="str">
        <f>LOOKUP(Y28,'Wire-Cables Ampacities'!$B$5:$B$35,'Wire-Cables Ampacities'!$C$5:$C$35)</f>
        <v>#8</v>
      </c>
      <c r="AA28" s="55">
        <f t="shared" si="14"/>
        <v>10</v>
      </c>
      <c r="AB28" s="53">
        <f t="shared" si="15"/>
        <v>45.1</v>
      </c>
      <c r="AC28" s="15" t="str">
        <f>LOOKUP(AB28,'Wire-Cables Ampacities'!$B$5:$B$35,'Wire-Cables Ampacities'!$C$5:$C$35)</f>
        <v>#8</v>
      </c>
      <c r="AD28" s="81">
        <f t="shared" si="16"/>
        <v>2.0619999999999998</v>
      </c>
      <c r="AE28" s="56">
        <f t="shared" si="17"/>
        <v>7035.8368039999987</v>
      </c>
      <c r="AF28" s="72">
        <f t="shared" si="28"/>
        <v>40</v>
      </c>
      <c r="AG28" s="15">
        <f t="shared" si="28"/>
        <v>55</v>
      </c>
      <c r="AH28" s="55">
        <f t="shared" si="29"/>
        <v>20</v>
      </c>
      <c r="AI28" s="25">
        <f t="shared" si="18"/>
        <v>290.32959999999997</v>
      </c>
      <c r="AJ28" s="25">
        <f t="shared" si="30"/>
        <v>386.13836799999996</v>
      </c>
      <c r="AK28" s="520" t="str">
        <f t="shared" si="31"/>
        <v>6 inch</v>
      </c>
      <c r="AL28" s="483">
        <f t="shared" si="19"/>
        <v>0</v>
      </c>
      <c r="AM28" s="56">
        <f t="shared" si="20"/>
        <v>2</v>
      </c>
      <c r="AN28" s="483">
        <f t="shared" si="21"/>
        <v>0</v>
      </c>
      <c r="AO28" s="56">
        <f t="shared" si="22"/>
        <v>2</v>
      </c>
      <c r="AP28" s="58">
        <v>600</v>
      </c>
      <c r="AQ28" s="25">
        <v>24</v>
      </c>
      <c r="AR28" s="3">
        <v>48</v>
      </c>
      <c r="AS28" s="3">
        <v>16</v>
      </c>
      <c r="AT28" s="312">
        <f t="shared" si="32"/>
        <v>29.333333333333332</v>
      </c>
      <c r="AU28" s="287">
        <f t="shared" si="23"/>
        <v>6485.8368039999987</v>
      </c>
      <c r="AV28" s="517"/>
      <c r="AW28" s="517"/>
      <c r="AX28" s="58"/>
      <c r="AY28" s="494"/>
      <c r="AZ28" s="58"/>
      <c r="BA28" s="494"/>
    </row>
    <row r="29" spans="1:53">
      <c r="A29" s="355">
        <f t="shared" si="24"/>
        <v>10</v>
      </c>
      <c r="B29" s="350">
        <v>600</v>
      </c>
      <c r="C29" s="351">
        <v>45</v>
      </c>
      <c r="D29" s="352">
        <v>380</v>
      </c>
      <c r="E29" s="353">
        <f t="shared" si="25"/>
        <v>54.696341291648764</v>
      </c>
      <c r="F29" s="354">
        <f t="shared" si="1"/>
        <v>5</v>
      </c>
      <c r="G29" s="355">
        <v>263</v>
      </c>
      <c r="H29" s="356">
        <f t="shared" si="26"/>
        <v>455.52936239061472</v>
      </c>
      <c r="I29" s="357">
        <f t="shared" si="2"/>
        <v>20</v>
      </c>
      <c r="J29" s="28">
        <f t="shared" si="3"/>
        <v>44.82</v>
      </c>
      <c r="K29" s="356">
        <f t="shared" si="27"/>
        <v>36</v>
      </c>
      <c r="L29" s="358">
        <f t="shared" si="4"/>
        <v>30</v>
      </c>
      <c r="M29" s="1050">
        <f t="shared" si="5"/>
        <v>71.105243679143399</v>
      </c>
      <c r="N29" s="356">
        <f>LOOKUP(M29,'Circuit Breakers'!$B$5:$B$38,'Circuit Breakers'!$C$5:$C$38)</f>
        <v>80</v>
      </c>
      <c r="O29" s="358">
        <f t="shared" si="6"/>
        <v>30</v>
      </c>
      <c r="P29" s="1050">
        <f t="shared" si="7"/>
        <v>58.266000000000005</v>
      </c>
      <c r="Q29" s="356">
        <f>LOOKUP(P29,'Circuit Breakers'!$B$5:$B$38,'Circuit Breakers'!$C$5:$C$38)</f>
        <v>60</v>
      </c>
      <c r="R29" s="358">
        <f t="shared" si="8"/>
        <v>30</v>
      </c>
      <c r="S29" s="1050">
        <f t="shared" si="9"/>
        <v>58.5</v>
      </c>
      <c r="T29" s="1125">
        <f>LOOKUP(S29,'Circuit Breakers'!$B$5:$B$38,'Circuit Breakers'!$C$5:$C$38)</f>
        <v>60</v>
      </c>
      <c r="U29" s="358">
        <f t="shared" si="10"/>
        <v>15</v>
      </c>
      <c r="V29" s="360">
        <f t="shared" si="11"/>
        <v>62.900792485396074</v>
      </c>
      <c r="W29" s="354" t="str">
        <f>LOOKUP(V29,'Wire-Cables Ampacities'!$B$5:$B$35,'Wire-Cables Ampacities'!$C$5:$C$35)</f>
        <v>#6</v>
      </c>
      <c r="X29" s="358">
        <f t="shared" si="12"/>
        <v>10</v>
      </c>
      <c r="Y29" s="360">
        <f t="shared" si="13"/>
        <v>49.302000000000007</v>
      </c>
      <c r="Z29" s="354" t="str">
        <f>LOOKUP(Y29,'Wire-Cables Ampacities'!$B$5:$B$35,'Wire-Cables Ampacities'!$C$5:$C$35)</f>
        <v>#8</v>
      </c>
      <c r="AA29" s="358">
        <f t="shared" si="14"/>
        <v>10</v>
      </c>
      <c r="AB29" s="360">
        <f t="shared" si="15"/>
        <v>49.500000000000007</v>
      </c>
      <c r="AC29" s="351" t="str">
        <f>LOOKUP(AB29,'Wire-Cables Ampacities'!$B$5:$B$35,'Wire-Cables Ampacities'!$C$5:$C$35)</f>
        <v>#8</v>
      </c>
      <c r="AD29" s="361">
        <f t="shared" si="16"/>
        <v>2.25</v>
      </c>
      <c r="AE29" s="359">
        <f t="shared" si="17"/>
        <v>7677.3194999999996</v>
      </c>
      <c r="AF29" s="362">
        <f t="shared" si="28"/>
        <v>40</v>
      </c>
      <c r="AG29" s="354">
        <f t="shared" si="28"/>
        <v>55</v>
      </c>
      <c r="AH29" s="358">
        <f t="shared" si="29"/>
        <v>20</v>
      </c>
      <c r="AI29" s="28">
        <f t="shared" si="18"/>
        <v>316.8</v>
      </c>
      <c r="AJ29" s="28">
        <f t="shared" si="30"/>
        <v>421.34400000000005</v>
      </c>
      <c r="AK29" s="562" t="str">
        <f t="shared" si="31"/>
        <v>6 inch</v>
      </c>
      <c r="AL29" s="482">
        <f t="shared" si="19"/>
        <v>0</v>
      </c>
      <c r="AM29" s="359">
        <f t="shared" si="20"/>
        <v>2</v>
      </c>
      <c r="AN29" s="482">
        <f t="shared" si="21"/>
        <v>0</v>
      </c>
      <c r="AO29" s="359">
        <f t="shared" si="22"/>
        <v>4</v>
      </c>
      <c r="AP29" s="363">
        <v>600</v>
      </c>
      <c r="AQ29" s="28">
        <v>24</v>
      </c>
      <c r="AR29" s="27">
        <v>48</v>
      </c>
      <c r="AS29" s="27">
        <v>16</v>
      </c>
      <c r="AT29" s="364">
        <f t="shared" si="32"/>
        <v>29.333333333333332</v>
      </c>
      <c r="AU29" s="365">
        <f t="shared" si="23"/>
        <v>7127.3194999999996</v>
      </c>
      <c r="AV29" s="517"/>
      <c r="AW29" s="517"/>
      <c r="AX29" s="58"/>
      <c r="AY29" s="494"/>
      <c r="AZ29" s="58"/>
      <c r="BA29" s="494"/>
    </row>
    <row r="30" spans="1:53">
      <c r="A30" s="295">
        <f t="shared" si="24"/>
        <v>12</v>
      </c>
      <c r="B30" s="66">
        <v>600</v>
      </c>
      <c r="C30" s="68">
        <v>54</v>
      </c>
      <c r="D30" s="186">
        <v>380</v>
      </c>
      <c r="E30" s="45">
        <f t="shared" si="25"/>
        <v>65.33174098724713</v>
      </c>
      <c r="F30" s="15">
        <f t="shared" si="1"/>
        <v>5</v>
      </c>
      <c r="G30" s="295">
        <v>263</v>
      </c>
      <c r="H30" s="158">
        <f t="shared" si="26"/>
        <v>455.52936239061472</v>
      </c>
      <c r="I30" s="199">
        <f t="shared" si="2"/>
        <v>20</v>
      </c>
      <c r="J30" s="25">
        <f t="shared" si="3"/>
        <v>53.783999999999992</v>
      </c>
      <c r="K30" s="158">
        <f t="shared" si="27"/>
        <v>43</v>
      </c>
      <c r="L30" s="55">
        <f t="shared" si="4"/>
        <v>30</v>
      </c>
      <c r="M30" s="1051">
        <f t="shared" si="5"/>
        <v>84.931263283421274</v>
      </c>
      <c r="N30" s="158">
        <f>LOOKUP(M30,'Circuit Breakers'!$B$5:$B$38,'Circuit Breakers'!$C$5:$C$38)</f>
        <v>90</v>
      </c>
      <c r="O30" s="55">
        <f t="shared" si="6"/>
        <v>30</v>
      </c>
      <c r="P30" s="1051">
        <f t="shared" si="7"/>
        <v>69.919199999999989</v>
      </c>
      <c r="Q30" s="158">
        <f>LOOKUP(P30,'Circuit Breakers'!$B$5:$B$38,'Circuit Breakers'!$C$5:$C$38)</f>
        <v>70</v>
      </c>
      <c r="R30" s="55">
        <f t="shared" si="8"/>
        <v>30</v>
      </c>
      <c r="S30" s="1051">
        <f t="shared" si="9"/>
        <v>70.2</v>
      </c>
      <c r="T30" s="1064">
        <f>LOOKUP(S30,'Circuit Breakers'!$B$5:$B$38,'Circuit Breakers'!$C$5:$C$38)</f>
        <v>70</v>
      </c>
      <c r="U30" s="55">
        <f t="shared" si="10"/>
        <v>15</v>
      </c>
      <c r="V30" s="53">
        <f t="shared" si="11"/>
        <v>75.131502135334188</v>
      </c>
      <c r="W30" s="15" t="str">
        <f>LOOKUP(V30,'Wire-Cables Ampacities'!$B$5:$B$35,'Wire-Cables Ampacities'!$C$5:$C$35)</f>
        <v>#6</v>
      </c>
      <c r="X30" s="55">
        <f t="shared" si="12"/>
        <v>10</v>
      </c>
      <c r="Y30" s="53">
        <f t="shared" si="13"/>
        <v>59.162399999999998</v>
      </c>
      <c r="Z30" s="15" t="str">
        <f>LOOKUP(Y30,'Wire-Cables Ampacities'!$B$5:$B$35,'Wire-Cables Ampacities'!$C$5:$C$35)</f>
        <v>#8</v>
      </c>
      <c r="AA30" s="55">
        <f t="shared" si="14"/>
        <v>10</v>
      </c>
      <c r="AB30" s="53">
        <f t="shared" si="15"/>
        <v>59.400000000000006</v>
      </c>
      <c r="AC30" s="15" t="str">
        <f>LOOKUP(AB30,'Wire-Cables Ampacities'!$B$5:$B$35,'Wire-Cables Ampacities'!$C$5:$C$35)</f>
        <v>#8</v>
      </c>
      <c r="AD30" s="81">
        <f t="shared" si="16"/>
        <v>2.6880000000000002</v>
      </c>
      <c r="AE30" s="56">
        <f t="shared" si="17"/>
        <v>9171.8376960000005</v>
      </c>
      <c r="AF30" s="72">
        <f t="shared" si="28"/>
        <v>40</v>
      </c>
      <c r="AG30" s="15">
        <f t="shared" si="28"/>
        <v>55</v>
      </c>
      <c r="AH30" s="55">
        <f t="shared" si="29"/>
        <v>20</v>
      </c>
      <c r="AI30" s="25">
        <f t="shared" si="18"/>
        <v>378.47039999999998</v>
      </c>
      <c r="AJ30" s="25">
        <f t="shared" si="30"/>
        <v>503.36563200000001</v>
      </c>
      <c r="AK30" s="520" t="str">
        <f t="shared" si="31"/>
        <v>6 inch</v>
      </c>
      <c r="AL30" s="483">
        <f t="shared" si="19"/>
        <v>0</v>
      </c>
      <c r="AM30" s="56">
        <f t="shared" si="20"/>
        <v>2</v>
      </c>
      <c r="AN30" s="483">
        <f t="shared" si="21"/>
        <v>0</v>
      </c>
      <c r="AO30" s="56">
        <f t="shared" si="22"/>
        <v>4</v>
      </c>
      <c r="AP30" s="58">
        <v>800</v>
      </c>
      <c r="AQ30" s="25">
        <v>34</v>
      </c>
      <c r="AR30" s="3">
        <v>48</v>
      </c>
      <c r="AS30" s="3">
        <v>28</v>
      </c>
      <c r="AT30" s="312">
        <f t="shared" si="32"/>
        <v>47.944444444444443</v>
      </c>
      <c r="AU30" s="287">
        <f t="shared" si="23"/>
        <v>8272.8793626666666</v>
      </c>
      <c r="AV30" s="517"/>
      <c r="AW30" s="517"/>
      <c r="AX30" s="58"/>
      <c r="AY30" s="494"/>
      <c r="AZ30" s="58"/>
      <c r="BA30" s="494"/>
    </row>
    <row r="31" spans="1:53">
      <c r="A31" s="375">
        <f t="shared" si="24"/>
        <v>14</v>
      </c>
      <c r="B31" s="370">
        <v>600</v>
      </c>
      <c r="C31" s="371">
        <v>63</v>
      </c>
      <c r="D31" s="372">
        <v>380</v>
      </c>
      <c r="E31" s="373">
        <f t="shared" si="25"/>
        <v>75.967140682845496</v>
      </c>
      <c r="F31" s="374">
        <f t="shared" si="1"/>
        <v>5</v>
      </c>
      <c r="G31" s="375">
        <v>263</v>
      </c>
      <c r="H31" s="376">
        <f t="shared" si="26"/>
        <v>455.52936239061472</v>
      </c>
      <c r="I31" s="377">
        <f t="shared" si="2"/>
        <v>20</v>
      </c>
      <c r="J31" s="378">
        <f t="shared" si="3"/>
        <v>62.74799999999999</v>
      </c>
      <c r="K31" s="376">
        <f t="shared" si="27"/>
        <v>50</v>
      </c>
      <c r="L31" s="379">
        <f t="shared" si="4"/>
        <v>30</v>
      </c>
      <c r="M31" s="1052">
        <f t="shared" si="5"/>
        <v>98.757282887699148</v>
      </c>
      <c r="N31" s="376">
        <f>LOOKUP(M31,'Circuit Breakers'!$B$5:$B$38,'Circuit Breakers'!$C$5:$C$38)</f>
        <v>100</v>
      </c>
      <c r="O31" s="379">
        <f t="shared" si="6"/>
        <v>30</v>
      </c>
      <c r="P31" s="1052">
        <f t="shared" si="7"/>
        <v>81.572399999999988</v>
      </c>
      <c r="Q31" s="376">
        <f>LOOKUP(P31,'Circuit Breakers'!$B$5:$B$38,'Circuit Breakers'!$C$5:$C$38)</f>
        <v>90</v>
      </c>
      <c r="R31" s="379">
        <f t="shared" si="8"/>
        <v>30</v>
      </c>
      <c r="S31" s="1052">
        <f t="shared" si="9"/>
        <v>81.900000000000006</v>
      </c>
      <c r="T31" s="1126">
        <f>LOOKUP(S31,'Circuit Breakers'!$B$5:$B$38,'Circuit Breakers'!$C$5:$C$38)</f>
        <v>90</v>
      </c>
      <c r="U31" s="379">
        <f t="shared" si="10"/>
        <v>15</v>
      </c>
      <c r="V31" s="381">
        <f t="shared" si="11"/>
        <v>87.362211785272308</v>
      </c>
      <c r="W31" s="374" t="str">
        <f>LOOKUP(V31,'Wire-Cables Ampacities'!$B$5:$B$35,'Wire-Cables Ampacities'!$C$5:$C$35)</f>
        <v>#4</v>
      </c>
      <c r="X31" s="379">
        <f t="shared" si="12"/>
        <v>10</v>
      </c>
      <c r="Y31" s="381">
        <f t="shared" si="13"/>
        <v>69.022799999999989</v>
      </c>
      <c r="Z31" s="374" t="str">
        <f>LOOKUP(Y31,'Wire-Cables Ampacities'!$B$5:$B$35,'Wire-Cables Ampacities'!$C$5:$C$35)</f>
        <v>#6</v>
      </c>
      <c r="AA31" s="379">
        <f t="shared" si="14"/>
        <v>10</v>
      </c>
      <c r="AB31" s="381">
        <f t="shared" si="15"/>
        <v>69.300000000000011</v>
      </c>
      <c r="AC31" s="374" t="str">
        <f>LOOKUP(AB31,'Wire-Cables Ampacities'!$B$5:$B$35,'Wire-Cables Ampacities'!$C$5:$C$35)</f>
        <v>#6</v>
      </c>
      <c r="AD31" s="382">
        <f t="shared" si="16"/>
        <v>3.1259999999999999</v>
      </c>
      <c r="AE31" s="380">
        <f t="shared" si="17"/>
        <v>10666.355891999998</v>
      </c>
      <c r="AF31" s="383">
        <f t="shared" si="28"/>
        <v>40</v>
      </c>
      <c r="AG31" s="374">
        <f t="shared" si="28"/>
        <v>55</v>
      </c>
      <c r="AH31" s="379">
        <f t="shared" si="29"/>
        <v>20</v>
      </c>
      <c r="AI31" s="378">
        <f t="shared" si="18"/>
        <v>440.14079999999996</v>
      </c>
      <c r="AJ31" s="378">
        <f t="shared" si="30"/>
        <v>585.38726399999996</v>
      </c>
      <c r="AK31" s="563" t="str">
        <f t="shared" si="31"/>
        <v>6 inch</v>
      </c>
      <c r="AL31" s="484">
        <f t="shared" si="19"/>
        <v>0</v>
      </c>
      <c r="AM31" s="380">
        <f t="shared" si="20"/>
        <v>4</v>
      </c>
      <c r="AN31" s="484">
        <f t="shared" si="21"/>
        <v>0</v>
      </c>
      <c r="AO31" s="380">
        <f t="shared" si="22"/>
        <v>4</v>
      </c>
      <c r="AP31" s="384">
        <v>800</v>
      </c>
      <c r="AQ31" s="378">
        <v>34</v>
      </c>
      <c r="AR31" s="385">
        <v>48</v>
      </c>
      <c r="AS31" s="385">
        <v>28</v>
      </c>
      <c r="AT31" s="386">
        <f t="shared" si="32"/>
        <v>47.944444444444443</v>
      </c>
      <c r="AU31" s="387">
        <f t="shared" si="23"/>
        <v>9767.3975586666638</v>
      </c>
      <c r="AV31" s="517"/>
      <c r="AW31" s="517"/>
      <c r="AX31" s="58"/>
      <c r="AY31" s="494"/>
      <c r="AZ31" s="58"/>
      <c r="BA31" s="494"/>
    </row>
    <row r="32" spans="1:53">
      <c r="A32" s="295">
        <f t="shared" si="24"/>
        <v>16</v>
      </c>
      <c r="B32" s="66">
        <v>600</v>
      </c>
      <c r="C32" s="68">
        <v>72</v>
      </c>
      <c r="D32" s="186">
        <v>380</v>
      </c>
      <c r="E32" s="45">
        <f t="shared" si="25"/>
        <v>86.602540378443877</v>
      </c>
      <c r="F32" s="15">
        <f t="shared" si="1"/>
        <v>5</v>
      </c>
      <c r="G32" s="295">
        <v>263</v>
      </c>
      <c r="H32" s="158">
        <f t="shared" si="26"/>
        <v>455.52936239061472</v>
      </c>
      <c r="I32" s="199">
        <f t="shared" si="2"/>
        <v>20</v>
      </c>
      <c r="J32" s="25">
        <f t="shared" si="3"/>
        <v>71.711999999999989</v>
      </c>
      <c r="K32" s="158">
        <f t="shared" si="27"/>
        <v>57</v>
      </c>
      <c r="L32" s="55">
        <f t="shared" si="4"/>
        <v>30</v>
      </c>
      <c r="M32" s="1051">
        <f t="shared" si="5"/>
        <v>112.58330249197704</v>
      </c>
      <c r="N32" s="158">
        <f>LOOKUP(M32,'Circuit Breakers'!$B$5:$B$38,'Circuit Breakers'!$C$5:$C$38)</f>
        <v>125</v>
      </c>
      <c r="O32" s="55">
        <f t="shared" si="6"/>
        <v>30</v>
      </c>
      <c r="P32" s="1051">
        <f t="shared" si="7"/>
        <v>93.225599999999986</v>
      </c>
      <c r="Q32" s="158">
        <f>LOOKUP(P32,'Circuit Breakers'!$B$5:$B$38,'Circuit Breakers'!$C$5:$C$38)</f>
        <v>100</v>
      </c>
      <c r="R32" s="55">
        <f t="shared" si="8"/>
        <v>30</v>
      </c>
      <c r="S32" s="1051">
        <f t="shared" si="9"/>
        <v>93.600000000000009</v>
      </c>
      <c r="T32" s="1064">
        <f>LOOKUP(S32,'Circuit Breakers'!$B$5:$B$38,'Circuit Breakers'!$C$5:$C$38)</f>
        <v>100</v>
      </c>
      <c r="U32" s="55">
        <f t="shared" si="10"/>
        <v>15</v>
      </c>
      <c r="V32" s="53">
        <f t="shared" si="11"/>
        <v>99.592921435210457</v>
      </c>
      <c r="W32" s="15" t="str">
        <f>LOOKUP(V32,'Wire-Cables Ampacities'!$B$5:$B$35,'Wire-Cables Ampacities'!$C$5:$C$35)</f>
        <v>#4</v>
      </c>
      <c r="X32" s="55">
        <f t="shared" si="12"/>
        <v>10</v>
      </c>
      <c r="Y32" s="53">
        <f t="shared" si="13"/>
        <v>78.883199999999988</v>
      </c>
      <c r="Z32" s="15" t="str">
        <f>LOOKUP(Y32,'Wire-Cables Ampacities'!$B$5:$B$35,'Wire-Cables Ampacities'!$C$5:$C$35)</f>
        <v>#6</v>
      </c>
      <c r="AA32" s="55">
        <f t="shared" si="14"/>
        <v>10</v>
      </c>
      <c r="AB32" s="53">
        <f t="shared" si="15"/>
        <v>79.2</v>
      </c>
      <c r="AC32" s="15" t="str">
        <f>LOOKUP(AB32,'Wire-Cables Ampacities'!$B$5:$B$35,'Wire-Cables Ampacities'!$C$5:$C$35)</f>
        <v>#6</v>
      </c>
      <c r="AD32" s="81">
        <f t="shared" si="16"/>
        <v>3.5640000000000001</v>
      </c>
      <c r="AE32" s="56">
        <f t="shared" si="17"/>
        <v>12160.874088</v>
      </c>
      <c r="AF32" s="72">
        <f t="shared" si="28"/>
        <v>40</v>
      </c>
      <c r="AG32" s="15">
        <f t="shared" si="28"/>
        <v>55</v>
      </c>
      <c r="AH32" s="55">
        <f t="shared" si="29"/>
        <v>20</v>
      </c>
      <c r="AI32" s="25">
        <f t="shared" si="18"/>
        <v>501.81120000000004</v>
      </c>
      <c r="AJ32" s="25">
        <f t="shared" si="30"/>
        <v>667.40889600000014</v>
      </c>
      <c r="AK32" s="520" t="str">
        <f t="shared" si="31"/>
        <v>6 inch</v>
      </c>
      <c r="AL32" s="483">
        <f t="shared" si="19"/>
        <v>0</v>
      </c>
      <c r="AM32" s="56">
        <f t="shared" si="20"/>
        <v>4</v>
      </c>
      <c r="AN32" s="483">
        <f t="shared" si="21"/>
        <v>0</v>
      </c>
      <c r="AO32" s="56">
        <f t="shared" si="22"/>
        <v>4</v>
      </c>
      <c r="AP32" s="58">
        <v>800</v>
      </c>
      <c r="AQ32" s="25">
        <v>34</v>
      </c>
      <c r="AR32" s="3">
        <v>48</v>
      </c>
      <c r="AS32" s="3">
        <v>28</v>
      </c>
      <c r="AT32" s="312">
        <f t="shared" si="32"/>
        <v>47.944444444444443</v>
      </c>
      <c r="AU32" s="287">
        <f t="shared" si="23"/>
        <v>11261.915754666667</v>
      </c>
      <c r="AV32" s="517"/>
      <c r="AW32" s="517"/>
      <c r="AX32" s="58"/>
      <c r="AY32" s="494"/>
      <c r="AZ32" s="58"/>
      <c r="BA32" s="494"/>
    </row>
    <row r="33" spans="1:53">
      <c r="A33" s="393">
        <f t="shared" si="24"/>
        <v>18</v>
      </c>
      <c r="B33" s="388">
        <v>600</v>
      </c>
      <c r="C33" s="389">
        <v>81</v>
      </c>
      <c r="D33" s="390">
        <v>380</v>
      </c>
      <c r="E33" s="391">
        <f t="shared" si="25"/>
        <v>97.237940074042243</v>
      </c>
      <c r="F33" s="392">
        <f t="shared" si="1"/>
        <v>5</v>
      </c>
      <c r="G33" s="393">
        <v>263</v>
      </c>
      <c r="H33" s="394">
        <f t="shared" si="26"/>
        <v>455.52936239061472</v>
      </c>
      <c r="I33" s="395">
        <f t="shared" si="2"/>
        <v>20</v>
      </c>
      <c r="J33" s="396">
        <f t="shared" si="3"/>
        <v>80.676000000000002</v>
      </c>
      <c r="K33" s="394">
        <f t="shared" si="27"/>
        <v>64</v>
      </c>
      <c r="L33" s="397">
        <f t="shared" si="4"/>
        <v>30</v>
      </c>
      <c r="M33" s="1053">
        <f t="shared" si="5"/>
        <v>126.40932209625493</v>
      </c>
      <c r="N33" s="394">
        <f>LOOKUP(M33,'Circuit Breakers'!$B$5:$B$38,'Circuit Breakers'!$C$5:$C$38)</f>
        <v>150</v>
      </c>
      <c r="O33" s="397">
        <f t="shared" si="6"/>
        <v>30</v>
      </c>
      <c r="P33" s="1053">
        <f t="shared" si="7"/>
        <v>104.87880000000001</v>
      </c>
      <c r="Q33" s="394">
        <f>LOOKUP(P33,'Circuit Breakers'!$B$5:$B$38,'Circuit Breakers'!$C$5:$C$38)</f>
        <v>110</v>
      </c>
      <c r="R33" s="397">
        <f t="shared" si="8"/>
        <v>30</v>
      </c>
      <c r="S33" s="1053">
        <f t="shared" si="9"/>
        <v>105.3</v>
      </c>
      <c r="T33" s="1127">
        <f>LOOKUP(S33,'Circuit Breakers'!$B$5:$B$38,'Circuit Breakers'!$C$5:$C$38)</f>
        <v>110</v>
      </c>
      <c r="U33" s="397">
        <f t="shared" si="10"/>
        <v>15</v>
      </c>
      <c r="V33" s="399">
        <f t="shared" si="11"/>
        <v>111.82363108514858</v>
      </c>
      <c r="W33" s="392" t="str">
        <f>LOOKUP(V33,'Wire-Cables Ampacities'!$B$5:$B$35,'Wire-Cables Ampacities'!$C$5:$C$35)</f>
        <v>#3</v>
      </c>
      <c r="X33" s="397">
        <f t="shared" si="12"/>
        <v>10</v>
      </c>
      <c r="Y33" s="399">
        <f t="shared" si="13"/>
        <v>88.743600000000015</v>
      </c>
      <c r="Z33" s="392" t="str">
        <f>LOOKUP(Y33,'Wire-Cables Ampacities'!$B$5:$B$35,'Wire-Cables Ampacities'!$C$5:$C$35)</f>
        <v>#4</v>
      </c>
      <c r="AA33" s="397">
        <f t="shared" si="14"/>
        <v>10</v>
      </c>
      <c r="AB33" s="399">
        <f t="shared" si="15"/>
        <v>89.100000000000009</v>
      </c>
      <c r="AC33" s="392" t="str">
        <f>LOOKUP(AB33,'Wire-Cables Ampacities'!$B$5:$B$35,'Wire-Cables Ampacities'!$C$5:$C$35)</f>
        <v>#4</v>
      </c>
      <c r="AD33" s="400">
        <f t="shared" si="16"/>
        <v>4.0019999999999998</v>
      </c>
      <c r="AE33" s="398">
        <f t="shared" si="17"/>
        <v>13655.392283999998</v>
      </c>
      <c r="AF33" s="401">
        <f t="shared" si="28"/>
        <v>40</v>
      </c>
      <c r="AG33" s="392">
        <f t="shared" si="28"/>
        <v>55</v>
      </c>
      <c r="AH33" s="397">
        <f t="shared" si="29"/>
        <v>20</v>
      </c>
      <c r="AI33" s="396">
        <f t="shared" si="18"/>
        <v>563.48159999999996</v>
      </c>
      <c r="AJ33" s="396">
        <f t="shared" si="30"/>
        <v>749.43052799999998</v>
      </c>
      <c r="AK33" s="564" t="str">
        <f t="shared" si="31"/>
        <v>6 inch</v>
      </c>
      <c r="AL33" s="485">
        <f t="shared" si="19"/>
        <v>0</v>
      </c>
      <c r="AM33" s="398">
        <f t="shared" si="20"/>
        <v>4</v>
      </c>
      <c r="AN33" s="485">
        <f t="shared" si="21"/>
        <v>0</v>
      </c>
      <c r="AO33" s="398">
        <f t="shared" si="22"/>
        <v>4</v>
      </c>
      <c r="AP33" s="402">
        <v>800</v>
      </c>
      <c r="AQ33" s="396">
        <v>34</v>
      </c>
      <c r="AR33" s="403">
        <v>48</v>
      </c>
      <c r="AS33" s="403">
        <v>28</v>
      </c>
      <c r="AT33" s="404">
        <f t="shared" si="32"/>
        <v>47.944444444444443</v>
      </c>
      <c r="AU33" s="405">
        <f t="shared" si="23"/>
        <v>12756.433950666664</v>
      </c>
      <c r="AV33" s="517"/>
      <c r="AW33" s="517"/>
      <c r="AX33" s="58"/>
      <c r="AY33" s="494"/>
      <c r="AZ33" s="58"/>
      <c r="BA33" s="494"/>
    </row>
    <row r="34" spans="1:53">
      <c r="A34" s="295">
        <f t="shared" si="24"/>
        <v>24</v>
      </c>
      <c r="B34" s="66">
        <v>600</v>
      </c>
      <c r="C34" s="68">
        <v>108</v>
      </c>
      <c r="D34" s="186">
        <v>380</v>
      </c>
      <c r="E34" s="45">
        <f t="shared" si="25"/>
        <v>129.14413916083734</v>
      </c>
      <c r="F34" s="15">
        <f t="shared" si="1"/>
        <v>5</v>
      </c>
      <c r="G34" s="295">
        <v>263</v>
      </c>
      <c r="H34" s="158">
        <f t="shared" si="26"/>
        <v>455.52936239061472</v>
      </c>
      <c r="I34" s="199">
        <f t="shared" si="2"/>
        <v>20</v>
      </c>
      <c r="J34" s="25">
        <f t="shared" si="3"/>
        <v>107.56799999999998</v>
      </c>
      <c r="K34" s="158">
        <f t="shared" si="27"/>
        <v>85</v>
      </c>
      <c r="L34" s="55">
        <f t="shared" si="4"/>
        <v>30</v>
      </c>
      <c r="M34" s="1051">
        <f t="shared" si="5"/>
        <v>167.88738090908856</v>
      </c>
      <c r="N34" s="158">
        <f>LOOKUP(M34,'Circuit Breakers'!$B$5:$B$38,'Circuit Breakers'!$C$5:$C$38)</f>
        <v>175</v>
      </c>
      <c r="O34" s="55">
        <f t="shared" si="6"/>
        <v>30</v>
      </c>
      <c r="P34" s="1051">
        <f t="shared" si="7"/>
        <v>139.83839999999998</v>
      </c>
      <c r="Q34" s="158">
        <f>LOOKUP(P34,'Circuit Breakers'!$B$5:$B$38,'Circuit Breakers'!$C$5:$C$38)</f>
        <v>150</v>
      </c>
      <c r="R34" s="55">
        <f t="shared" si="8"/>
        <v>30</v>
      </c>
      <c r="S34" s="1051">
        <f t="shared" si="9"/>
        <v>140.4</v>
      </c>
      <c r="T34" s="1064">
        <f>LOOKUP(S34,'Circuit Breakers'!$B$5:$B$38,'Circuit Breakers'!$C$5:$C$38)</f>
        <v>150</v>
      </c>
      <c r="U34" s="55">
        <f t="shared" si="10"/>
        <v>15</v>
      </c>
      <c r="V34" s="53">
        <f t="shared" si="11"/>
        <v>148.51576003496294</v>
      </c>
      <c r="W34" s="15" t="str">
        <f>LOOKUP(V34,'Wire-Cables Ampacities'!$B$5:$B$35,'Wire-Cables Ampacities'!$C$5:$C$35)</f>
        <v>#1</v>
      </c>
      <c r="X34" s="55">
        <f t="shared" si="12"/>
        <v>10</v>
      </c>
      <c r="Y34" s="53">
        <f t="shared" si="13"/>
        <v>118.3248</v>
      </c>
      <c r="Z34" s="15" t="str">
        <f>LOOKUP(Y34,'Wire-Cables Ampacities'!$B$5:$B$35,'Wire-Cables Ampacities'!$C$5:$C$35)</f>
        <v>#3</v>
      </c>
      <c r="AA34" s="55">
        <f t="shared" si="14"/>
        <v>10</v>
      </c>
      <c r="AB34" s="53">
        <f t="shared" si="15"/>
        <v>118.80000000000001</v>
      </c>
      <c r="AC34" s="15" t="str">
        <f>LOOKUP(AB34,'Wire-Cables Ampacities'!$B$5:$B$35,'Wire-Cables Ampacities'!$C$5:$C$35)</f>
        <v>#3</v>
      </c>
      <c r="AD34" s="81">
        <f t="shared" si="16"/>
        <v>5.3159999999999998</v>
      </c>
      <c r="AE34" s="56">
        <f t="shared" si="17"/>
        <v>18138.946871999997</v>
      </c>
      <c r="AF34" s="72">
        <f t="shared" si="28"/>
        <v>40</v>
      </c>
      <c r="AG34" s="15">
        <f t="shared" si="28"/>
        <v>55</v>
      </c>
      <c r="AH34" s="55">
        <f t="shared" si="29"/>
        <v>20</v>
      </c>
      <c r="AI34" s="25">
        <f t="shared" si="18"/>
        <v>748.49279999999999</v>
      </c>
      <c r="AJ34" s="25">
        <f t="shared" si="30"/>
        <v>995.49542400000007</v>
      </c>
      <c r="AK34" s="520" t="str">
        <f t="shared" si="31"/>
        <v>6 inch</v>
      </c>
      <c r="AL34" s="483">
        <f t="shared" si="19"/>
        <v>0</v>
      </c>
      <c r="AM34" s="56">
        <f t="shared" si="20"/>
        <v>4</v>
      </c>
      <c r="AN34" s="483">
        <f t="shared" si="21"/>
        <v>0</v>
      </c>
      <c r="AO34" s="56">
        <f t="shared" si="22"/>
        <v>6</v>
      </c>
      <c r="AP34" s="58">
        <v>800</v>
      </c>
      <c r="AQ34" s="25">
        <v>34</v>
      </c>
      <c r="AR34" s="3">
        <v>48</v>
      </c>
      <c r="AS34" s="3">
        <v>28</v>
      </c>
      <c r="AT34" s="312">
        <f t="shared" si="32"/>
        <v>47.944444444444443</v>
      </c>
      <c r="AU34" s="287">
        <f t="shared" si="23"/>
        <v>17239.988538666665</v>
      </c>
      <c r="AV34" s="517"/>
      <c r="AW34" s="517"/>
      <c r="AX34" s="58"/>
      <c r="AY34" s="494"/>
      <c r="AZ34" s="58"/>
      <c r="BA34" s="494"/>
    </row>
    <row r="35" spans="1:53">
      <c r="A35" s="355">
        <f t="shared" si="24"/>
        <v>30</v>
      </c>
      <c r="B35" s="350">
        <v>600</v>
      </c>
      <c r="C35" s="351">
        <v>135</v>
      </c>
      <c r="D35" s="352">
        <v>380</v>
      </c>
      <c r="E35" s="353">
        <f t="shared" si="25"/>
        <v>162.56968106128937</v>
      </c>
      <c r="F35" s="354">
        <f t="shared" si="1"/>
        <v>5</v>
      </c>
      <c r="G35" s="355">
        <v>263</v>
      </c>
      <c r="H35" s="356">
        <f t="shared" si="26"/>
        <v>455.52936239061472</v>
      </c>
      <c r="I35" s="357">
        <f t="shared" si="2"/>
        <v>20</v>
      </c>
      <c r="J35" s="28">
        <f t="shared" si="3"/>
        <v>134.45999999999998</v>
      </c>
      <c r="K35" s="356">
        <f t="shared" si="27"/>
        <v>107</v>
      </c>
      <c r="L35" s="358">
        <f t="shared" si="4"/>
        <v>30</v>
      </c>
      <c r="M35" s="1050">
        <f t="shared" si="5"/>
        <v>211.34058537967618</v>
      </c>
      <c r="N35" s="356">
        <f>LOOKUP(M35,'Circuit Breakers'!$B$5:$B$38,'Circuit Breakers'!$C$5:$C$38)</f>
        <v>225</v>
      </c>
      <c r="O35" s="358">
        <f t="shared" si="6"/>
        <v>30</v>
      </c>
      <c r="P35" s="1050">
        <f t="shared" si="7"/>
        <v>174.79799999999997</v>
      </c>
      <c r="Q35" s="356">
        <f>LOOKUP(P35,'Circuit Breakers'!$B$5:$B$38,'Circuit Breakers'!$C$5:$C$38)</f>
        <v>175</v>
      </c>
      <c r="R35" s="358">
        <f t="shared" si="8"/>
        <v>30</v>
      </c>
      <c r="S35" s="1050">
        <f t="shared" si="9"/>
        <v>175.5</v>
      </c>
      <c r="T35" s="1125">
        <f>LOOKUP(S35,'Circuit Breakers'!$B$5:$B$38,'Circuit Breakers'!$C$5:$C$38)</f>
        <v>175</v>
      </c>
      <c r="U35" s="358">
        <f t="shared" si="10"/>
        <v>15</v>
      </c>
      <c r="V35" s="360">
        <f t="shared" si="11"/>
        <v>186.95513322048276</v>
      </c>
      <c r="W35" s="354" t="str">
        <f>LOOKUP(V35,'Wire-Cables Ampacities'!$B$5:$B$35,'Wire-Cables Ampacities'!$C$5:$C$35)</f>
        <v>#1/0</v>
      </c>
      <c r="X35" s="358">
        <f t="shared" si="12"/>
        <v>10</v>
      </c>
      <c r="Y35" s="360">
        <f t="shared" si="13"/>
        <v>147.90599999999998</v>
      </c>
      <c r="Z35" s="354" t="str">
        <f>LOOKUP(Y35,'Wire-Cables Ampacities'!$B$5:$B$35,'Wire-Cables Ampacities'!$C$5:$C$35)</f>
        <v>#1</v>
      </c>
      <c r="AA35" s="358">
        <f t="shared" si="14"/>
        <v>10</v>
      </c>
      <c r="AB35" s="360">
        <f t="shared" si="15"/>
        <v>148.5</v>
      </c>
      <c r="AC35" s="354" t="str">
        <f>LOOKUP(AB35,'Wire-Cables Ampacities'!$B$5:$B$35,'Wire-Cables Ampacities'!$C$5:$C$35)</f>
        <v>#1</v>
      </c>
      <c r="AD35" s="361">
        <f t="shared" si="16"/>
        <v>6.69</v>
      </c>
      <c r="AE35" s="359">
        <f t="shared" si="17"/>
        <v>22827.22998</v>
      </c>
      <c r="AF35" s="362">
        <f t="shared" si="28"/>
        <v>40</v>
      </c>
      <c r="AG35" s="354">
        <f t="shared" si="28"/>
        <v>55</v>
      </c>
      <c r="AH35" s="358">
        <f t="shared" si="29"/>
        <v>20</v>
      </c>
      <c r="AI35" s="28">
        <f t="shared" si="18"/>
        <v>941.95200000000011</v>
      </c>
      <c r="AJ35" s="28">
        <f t="shared" si="30"/>
        <v>1252.7961600000003</v>
      </c>
      <c r="AK35" s="562" t="str">
        <f t="shared" si="31"/>
        <v>6 inch</v>
      </c>
      <c r="AL35" s="482">
        <f t="shared" si="19"/>
        <v>0</v>
      </c>
      <c r="AM35" s="359">
        <f t="shared" si="20"/>
        <v>6</v>
      </c>
      <c r="AN35" s="482">
        <f t="shared" si="21"/>
        <v>0</v>
      </c>
      <c r="AO35" s="359">
        <f t="shared" si="22"/>
        <v>8</v>
      </c>
      <c r="AP35" s="363">
        <v>800</v>
      </c>
      <c r="AQ35" s="28">
        <v>34</v>
      </c>
      <c r="AR35" s="27">
        <v>48</v>
      </c>
      <c r="AS35" s="27">
        <v>28</v>
      </c>
      <c r="AT35" s="364">
        <f t="shared" si="32"/>
        <v>47.944444444444443</v>
      </c>
      <c r="AU35" s="365">
        <f t="shared" si="23"/>
        <v>21928.271646666668</v>
      </c>
      <c r="AV35" s="517"/>
      <c r="AW35" s="517"/>
      <c r="AX35" s="58"/>
      <c r="AY35" s="494"/>
      <c r="AZ35" s="58"/>
      <c r="BA35" s="494"/>
    </row>
    <row r="36" spans="1:53">
      <c r="A36" s="295">
        <f t="shared" si="24"/>
        <v>32</v>
      </c>
      <c r="B36" s="66">
        <v>600</v>
      </c>
      <c r="C36" s="68">
        <v>144</v>
      </c>
      <c r="D36" s="186">
        <v>380</v>
      </c>
      <c r="E36" s="45">
        <f t="shared" si="25"/>
        <v>173.20508075688775</v>
      </c>
      <c r="F36" s="15">
        <f t="shared" si="1"/>
        <v>5</v>
      </c>
      <c r="G36" s="295">
        <v>263</v>
      </c>
      <c r="H36" s="158">
        <f t="shared" si="26"/>
        <v>455.52936239061472</v>
      </c>
      <c r="I36" s="199">
        <f t="shared" si="2"/>
        <v>20</v>
      </c>
      <c r="J36" s="25">
        <f t="shared" si="3"/>
        <v>143.42399999999998</v>
      </c>
      <c r="K36" s="158">
        <f t="shared" si="27"/>
        <v>114</v>
      </c>
      <c r="L36" s="55">
        <f t="shared" si="4"/>
        <v>30</v>
      </c>
      <c r="M36" s="1051">
        <f t="shared" si="5"/>
        <v>225.16660498395407</v>
      </c>
      <c r="N36" s="158">
        <f>LOOKUP(M36,'Circuit Breakers'!$B$5:$B$38,'Circuit Breakers'!$C$5:$C$38)</f>
        <v>225</v>
      </c>
      <c r="O36" s="55">
        <f t="shared" si="6"/>
        <v>30</v>
      </c>
      <c r="P36" s="1051">
        <f t="shared" si="7"/>
        <v>186.45119999999997</v>
      </c>
      <c r="Q36" s="158">
        <f>LOOKUP(P36,'Circuit Breakers'!$B$5:$B$38,'Circuit Breakers'!$C$5:$C$38)</f>
        <v>200</v>
      </c>
      <c r="R36" s="55">
        <f t="shared" si="8"/>
        <v>30</v>
      </c>
      <c r="S36" s="1051">
        <f t="shared" si="9"/>
        <v>187.20000000000002</v>
      </c>
      <c r="T36" s="1064">
        <f>LOOKUP(S36,'Circuit Breakers'!$B$5:$B$38,'Circuit Breakers'!$C$5:$C$38)</f>
        <v>200</v>
      </c>
      <c r="U36" s="55">
        <f t="shared" si="10"/>
        <v>15</v>
      </c>
      <c r="V36" s="53">
        <f t="shared" si="11"/>
        <v>199.18584287042091</v>
      </c>
      <c r="W36" s="15" t="str">
        <f>LOOKUP(V36,'Wire-Cables Ampacities'!$B$5:$B$35,'Wire-Cables Ampacities'!$C$5:$C$35)</f>
        <v>#2/0</v>
      </c>
      <c r="X36" s="55">
        <f t="shared" si="12"/>
        <v>10</v>
      </c>
      <c r="Y36" s="53">
        <f t="shared" si="13"/>
        <v>157.76639999999998</v>
      </c>
      <c r="Z36" s="15" t="str">
        <f>LOOKUP(Y36,'Wire-Cables Ampacities'!$B$5:$B$35,'Wire-Cables Ampacities'!$C$5:$C$35)</f>
        <v>#1</v>
      </c>
      <c r="AA36" s="55">
        <f t="shared" si="14"/>
        <v>10</v>
      </c>
      <c r="AB36" s="53">
        <f t="shared" si="15"/>
        <v>158.4</v>
      </c>
      <c r="AC36" s="15" t="str">
        <f>LOOKUP(AB36,'Wire-Cables Ampacities'!$B$5:$B$35,'Wire-Cables Ampacities'!$C$5:$C$35)</f>
        <v>#1</v>
      </c>
      <c r="AD36" s="81">
        <f t="shared" si="16"/>
        <v>7.1280000000000001</v>
      </c>
      <c r="AE36" s="56">
        <f t="shared" si="17"/>
        <v>24321.748176000001</v>
      </c>
      <c r="AF36" s="72">
        <f t="shared" si="28"/>
        <v>40</v>
      </c>
      <c r="AG36" s="15">
        <f t="shared" si="28"/>
        <v>55</v>
      </c>
      <c r="AH36" s="55">
        <f t="shared" si="29"/>
        <v>20</v>
      </c>
      <c r="AI36" s="25">
        <f t="shared" si="18"/>
        <v>1003.6224000000001</v>
      </c>
      <c r="AJ36" s="25">
        <f t="shared" si="30"/>
        <v>1334.8177920000003</v>
      </c>
      <c r="AK36" s="520" t="str">
        <f t="shared" si="31"/>
        <v>6 inch</v>
      </c>
      <c r="AL36" s="483">
        <f t="shared" si="19"/>
        <v>0</v>
      </c>
      <c r="AM36" s="56">
        <f t="shared" si="20"/>
        <v>6</v>
      </c>
      <c r="AN36" s="483">
        <f t="shared" si="21"/>
        <v>0</v>
      </c>
      <c r="AO36" s="56">
        <f t="shared" si="22"/>
        <v>8</v>
      </c>
      <c r="AP36" s="58">
        <v>800</v>
      </c>
      <c r="AQ36" s="25">
        <v>34</v>
      </c>
      <c r="AR36" s="3">
        <v>48</v>
      </c>
      <c r="AS36" s="3">
        <v>28</v>
      </c>
      <c r="AT36" s="312">
        <f t="shared" si="32"/>
        <v>47.944444444444443</v>
      </c>
      <c r="AU36" s="287">
        <f t="shared" si="23"/>
        <v>23422.789842666669</v>
      </c>
      <c r="AV36" s="517"/>
      <c r="AW36" s="517"/>
      <c r="AX36" s="58"/>
      <c r="AY36" s="494"/>
      <c r="AZ36" s="58"/>
      <c r="BA36" s="494"/>
    </row>
    <row r="37" spans="1:53">
      <c r="A37" s="375">
        <f t="shared" si="24"/>
        <v>40</v>
      </c>
      <c r="B37" s="370">
        <v>600</v>
      </c>
      <c r="C37" s="371">
        <v>180</v>
      </c>
      <c r="D37" s="372">
        <v>380</v>
      </c>
      <c r="E37" s="373">
        <f t="shared" si="25"/>
        <v>215.74667953928122</v>
      </c>
      <c r="F37" s="374">
        <f t="shared" si="1"/>
        <v>5</v>
      </c>
      <c r="G37" s="375">
        <v>263</v>
      </c>
      <c r="H37" s="376">
        <f t="shared" si="26"/>
        <v>455.52936239061472</v>
      </c>
      <c r="I37" s="377">
        <f t="shared" si="2"/>
        <v>20</v>
      </c>
      <c r="J37" s="378">
        <f t="shared" si="3"/>
        <v>179.28</v>
      </c>
      <c r="K37" s="376">
        <f t="shared" si="27"/>
        <v>142</v>
      </c>
      <c r="L37" s="379">
        <f t="shared" si="4"/>
        <v>30</v>
      </c>
      <c r="M37" s="1052">
        <f t="shared" si="5"/>
        <v>280.47068340106557</v>
      </c>
      <c r="N37" s="376">
        <f>LOOKUP(M37,'Circuit Breakers'!$B$5:$B$38,'Circuit Breakers'!$C$5:$C$38)</f>
        <v>300</v>
      </c>
      <c r="O37" s="379">
        <f t="shared" si="6"/>
        <v>30</v>
      </c>
      <c r="P37" s="1052">
        <f t="shared" si="7"/>
        <v>233.06400000000002</v>
      </c>
      <c r="Q37" s="376">
        <f>LOOKUP(P37,'Circuit Breakers'!$B$5:$B$38,'Circuit Breakers'!$C$5:$C$38)</f>
        <v>250</v>
      </c>
      <c r="R37" s="379">
        <f t="shared" si="8"/>
        <v>30</v>
      </c>
      <c r="S37" s="1052">
        <f t="shared" si="9"/>
        <v>234</v>
      </c>
      <c r="T37" s="1126">
        <f>LOOKUP(S37,'Circuit Breakers'!$B$5:$B$38,'Circuit Breakers'!$C$5:$C$38)</f>
        <v>250</v>
      </c>
      <c r="U37" s="379">
        <f t="shared" si="10"/>
        <v>15</v>
      </c>
      <c r="V37" s="381">
        <f t="shared" si="11"/>
        <v>248.10868147017339</v>
      </c>
      <c r="W37" s="374" t="str">
        <f>LOOKUP(V37,'Wire-Cables Ampacities'!$B$5:$B$35,'Wire-Cables Ampacities'!$C$5:$C$35)</f>
        <v>#3/0</v>
      </c>
      <c r="X37" s="379">
        <f t="shared" si="12"/>
        <v>10</v>
      </c>
      <c r="Y37" s="381">
        <f t="shared" si="13"/>
        <v>197.20800000000003</v>
      </c>
      <c r="Z37" s="374" t="str">
        <f>LOOKUP(Y37,'Wire-Cables Ampacities'!$B$5:$B$35,'Wire-Cables Ampacities'!$C$5:$C$35)</f>
        <v>#2/0</v>
      </c>
      <c r="AA37" s="379">
        <f t="shared" si="14"/>
        <v>10</v>
      </c>
      <c r="AB37" s="381">
        <f t="shared" si="15"/>
        <v>198.00000000000003</v>
      </c>
      <c r="AC37" s="374" t="str">
        <f>LOOKUP(AB37,'Wire-Cables Ampacities'!$B$5:$B$35,'Wire-Cables Ampacities'!$C$5:$C$35)</f>
        <v>#2/0</v>
      </c>
      <c r="AD37" s="382">
        <f t="shared" si="16"/>
        <v>8.8800000000000008</v>
      </c>
      <c r="AE37" s="380">
        <f t="shared" si="17"/>
        <v>30299.820960000001</v>
      </c>
      <c r="AF37" s="383">
        <f t="shared" si="28"/>
        <v>40</v>
      </c>
      <c r="AG37" s="374">
        <f t="shared" si="28"/>
        <v>55</v>
      </c>
      <c r="AH37" s="379">
        <f t="shared" si="29"/>
        <v>20</v>
      </c>
      <c r="AI37" s="378">
        <f t="shared" si="18"/>
        <v>1250.3040000000001</v>
      </c>
      <c r="AJ37" s="378">
        <f t="shared" si="30"/>
        <v>1662.9043200000001</v>
      </c>
      <c r="AK37" s="563" t="str">
        <f t="shared" si="31"/>
        <v>6 inch</v>
      </c>
      <c r="AL37" s="484">
        <f t="shared" si="19"/>
        <v>0</v>
      </c>
      <c r="AM37" s="380">
        <f t="shared" si="20"/>
        <v>8</v>
      </c>
      <c r="AN37" s="484">
        <f t="shared" si="21"/>
        <v>0</v>
      </c>
      <c r="AO37" s="380">
        <f t="shared" si="22"/>
        <v>10</v>
      </c>
      <c r="AP37" s="384">
        <v>1250</v>
      </c>
      <c r="AQ37" s="378">
        <v>38</v>
      </c>
      <c r="AR37" s="385">
        <v>70</v>
      </c>
      <c r="AS37" s="385">
        <v>28</v>
      </c>
      <c r="AT37" s="386">
        <f t="shared" si="32"/>
        <v>71.555555555555557</v>
      </c>
      <c r="AU37" s="387">
        <f t="shared" si="23"/>
        <v>28958.154293333333</v>
      </c>
      <c r="AV37" s="517"/>
      <c r="AW37" s="517"/>
      <c r="AX37" s="58"/>
      <c r="AY37" s="494"/>
      <c r="AZ37" s="58"/>
      <c r="BA37" s="494"/>
    </row>
    <row r="38" spans="1:53">
      <c r="A38" s="295">
        <v>48</v>
      </c>
      <c r="B38" s="66">
        <v>600</v>
      </c>
      <c r="C38" s="68">
        <v>216</v>
      </c>
      <c r="D38" s="186">
        <v>380</v>
      </c>
      <c r="E38" s="45">
        <f t="shared" si="25"/>
        <v>258.28827832167468</v>
      </c>
      <c r="F38" s="15">
        <f t="shared" si="1"/>
        <v>5</v>
      </c>
      <c r="G38" s="295">
        <v>263</v>
      </c>
      <c r="H38" s="158">
        <f t="shared" si="26"/>
        <v>455.52936239061472</v>
      </c>
      <c r="I38" s="199">
        <f t="shared" si="2"/>
        <v>20</v>
      </c>
      <c r="J38" s="25">
        <f t="shared" si="3"/>
        <v>215.13599999999997</v>
      </c>
      <c r="K38" s="158">
        <f t="shared" si="27"/>
        <v>170</v>
      </c>
      <c r="L38" s="55">
        <f t="shared" si="4"/>
        <v>30</v>
      </c>
      <c r="M38" s="1051">
        <f t="shared" si="5"/>
        <v>335.77476181817713</v>
      </c>
      <c r="N38" s="158">
        <f>LOOKUP(M38,'Circuit Breakers'!$B$5:$B$38,'Circuit Breakers'!$C$5:$C$38)</f>
        <v>350</v>
      </c>
      <c r="O38" s="55">
        <f t="shared" si="6"/>
        <v>30</v>
      </c>
      <c r="P38" s="1051">
        <f t="shared" si="7"/>
        <v>279.67679999999996</v>
      </c>
      <c r="Q38" s="158">
        <f>LOOKUP(P38,'Circuit Breakers'!$B$5:$B$38,'Circuit Breakers'!$C$5:$C$38)</f>
        <v>300</v>
      </c>
      <c r="R38" s="55">
        <f t="shared" si="8"/>
        <v>30</v>
      </c>
      <c r="S38" s="1051">
        <f t="shared" si="9"/>
        <v>280.8</v>
      </c>
      <c r="T38" s="1064">
        <f>LOOKUP(S38,'Circuit Breakers'!$B$5:$B$38,'Circuit Breakers'!$C$5:$C$38)</f>
        <v>300</v>
      </c>
      <c r="U38" s="55">
        <f t="shared" si="10"/>
        <v>15</v>
      </c>
      <c r="V38" s="53">
        <f t="shared" si="11"/>
        <v>297.03152006992588</v>
      </c>
      <c r="W38" s="15" t="str">
        <f>LOOKUP(V38,'Wire-Cables Ampacities'!$B$5:$B$35,'Wire-Cables Ampacities'!$C$5:$C$35)</f>
        <v>#4/0</v>
      </c>
      <c r="X38" s="55">
        <f t="shared" si="12"/>
        <v>10</v>
      </c>
      <c r="Y38" s="53">
        <f t="shared" si="13"/>
        <v>236.64959999999999</v>
      </c>
      <c r="Z38" s="15" t="str">
        <f>LOOKUP(Y38,'Wire-Cables Ampacities'!$B$5:$B$35,'Wire-Cables Ampacities'!$C$5:$C$35)</f>
        <v>#3/0</v>
      </c>
      <c r="AA38" s="55">
        <f t="shared" si="14"/>
        <v>10</v>
      </c>
      <c r="AB38" s="53">
        <f t="shared" si="15"/>
        <v>237.60000000000002</v>
      </c>
      <c r="AC38" s="15" t="str">
        <f>LOOKUP(AB38,'Wire-Cables Ampacities'!$B$5:$B$35,'Wire-Cables Ampacities'!$C$5:$C$35)</f>
        <v>#3/0</v>
      </c>
      <c r="AD38" s="81">
        <f t="shared" si="16"/>
        <v>10.632</v>
      </c>
      <c r="AE38" s="56">
        <f t="shared" si="17"/>
        <v>36277.893743999994</v>
      </c>
      <c r="AF38" s="72">
        <f t="shared" si="28"/>
        <v>40</v>
      </c>
      <c r="AG38" s="15">
        <f t="shared" si="28"/>
        <v>55</v>
      </c>
      <c r="AH38" s="55">
        <f t="shared" si="29"/>
        <v>20</v>
      </c>
      <c r="AI38" s="25">
        <f t="shared" si="18"/>
        <v>1496.9856</v>
      </c>
      <c r="AJ38" s="25">
        <f t="shared" si="30"/>
        <v>1990.9908480000001</v>
      </c>
      <c r="AK38" s="520" t="str">
        <f t="shared" si="31"/>
        <v>6 inch</v>
      </c>
      <c r="AL38" s="483">
        <f t="shared" si="19"/>
        <v>0</v>
      </c>
      <c r="AM38" s="56">
        <f t="shared" si="20"/>
        <v>8</v>
      </c>
      <c r="AN38" s="483">
        <f t="shared" si="21"/>
        <v>0</v>
      </c>
      <c r="AO38" s="56">
        <f t="shared" si="22"/>
        <v>10</v>
      </c>
      <c r="AP38" s="58">
        <v>1250</v>
      </c>
      <c r="AQ38" s="25">
        <v>38</v>
      </c>
      <c r="AR38" s="3">
        <v>70</v>
      </c>
      <c r="AS38" s="3">
        <v>28</v>
      </c>
      <c r="AT38" s="312">
        <f t="shared" si="32"/>
        <v>71.555555555555557</v>
      </c>
      <c r="AU38" s="287">
        <f t="shared" si="23"/>
        <v>34936.227077333329</v>
      </c>
      <c r="AV38" s="517"/>
      <c r="AW38" s="518"/>
      <c r="AX38" s="58"/>
      <c r="AY38" s="494"/>
      <c r="AZ38" s="58"/>
      <c r="BA38" s="494"/>
    </row>
    <row r="39" spans="1:53" s="84" customFormat="1" ht="13.5" thickBot="1">
      <c r="A39" s="410"/>
      <c r="B39" s="406"/>
      <c r="C39" s="69"/>
      <c r="D39" s="407"/>
      <c r="E39" s="408"/>
      <c r="F39" s="409"/>
      <c r="G39" s="410"/>
      <c r="H39" s="411"/>
      <c r="I39" s="412"/>
      <c r="J39" s="413"/>
      <c r="K39" s="431"/>
      <c r="L39" s="414"/>
      <c r="M39" s="1054"/>
      <c r="N39" s="415"/>
      <c r="O39" s="414"/>
      <c r="P39" s="1054"/>
      <c r="Q39" s="415"/>
      <c r="R39" s="414"/>
      <c r="S39" s="1054"/>
      <c r="T39" s="416"/>
      <c r="U39" s="414"/>
      <c r="V39" s="416"/>
      <c r="W39" s="409"/>
      <c r="X39" s="414"/>
      <c r="Y39" s="416"/>
      <c r="Z39" s="409"/>
      <c r="AA39" s="414"/>
      <c r="AB39" s="416"/>
      <c r="AC39" s="409"/>
      <c r="AD39" s="417"/>
      <c r="AE39" s="415"/>
      <c r="AF39" s="418"/>
      <c r="AG39" s="409"/>
      <c r="AH39" s="414"/>
      <c r="AI39" s="413"/>
      <c r="AJ39" s="413"/>
      <c r="AK39" s="565"/>
      <c r="AL39" s="419"/>
      <c r="AM39" s="420"/>
      <c r="AN39" s="419"/>
      <c r="AO39" s="420"/>
      <c r="AP39" s="421"/>
      <c r="AQ39" s="413"/>
      <c r="AR39" s="422"/>
      <c r="AS39" s="422"/>
      <c r="AT39" s="423"/>
      <c r="AU39" s="424"/>
      <c r="AV39" s="515"/>
      <c r="AW39" s="515"/>
      <c r="AX39" s="495"/>
      <c r="AY39" s="497"/>
      <c r="AZ39" s="495"/>
      <c r="BA39" s="497"/>
    </row>
    <row r="40" spans="1:53">
      <c r="E40"/>
      <c r="H40" s="4"/>
      <c r="I40" s="50"/>
      <c r="M40" s="4"/>
      <c r="N40" s="4"/>
      <c r="AB40"/>
      <c r="AC40"/>
      <c r="AD40"/>
      <c r="AE40"/>
      <c r="AH40" s="4"/>
      <c r="AJ40" s="4"/>
      <c r="AL40"/>
      <c r="AN40"/>
      <c r="AO40" s="4"/>
      <c r="AP40" s="4"/>
      <c r="AQ40" s="4"/>
      <c r="AR40" s="4"/>
    </row>
    <row r="41" spans="1:53" ht="13.5" thickBot="1">
      <c r="E41"/>
      <c r="H41" s="4"/>
      <c r="I41" s="50"/>
      <c r="M41" s="4"/>
      <c r="N41" s="4"/>
      <c r="AB41"/>
      <c r="AC41"/>
      <c r="AD41"/>
      <c r="AE41"/>
      <c r="AH41" s="4"/>
      <c r="AJ41" s="4"/>
      <c r="AL41"/>
      <c r="AN41"/>
      <c r="AO41" s="4"/>
      <c r="AP41" s="4"/>
      <c r="AQ41" s="4"/>
      <c r="AR41" s="4"/>
    </row>
    <row r="42" spans="1:53" s="330" customFormat="1" ht="16.5" thickBot="1">
      <c r="B42" s="85" t="s">
        <v>77</v>
      </c>
      <c r="C42" s="322"/>
      <c r="D42" s="322"/>
      <c r="E42" s="322"/>
      <c r="F42" s="323"/>
      <c r="G42" s="290" t="s">
        <v>101</v>
      </c>
      <c r="H42" s="324"/>
      <c r="I42" s="325"/>
      <c r="J42" s="324"/>
      <c r="K42" s="326"/>
      <c r="L42" s="290" t="s">
        <v>83</v>
      </c>
      <c r="M42" s="1082"/>
      <c r="N42" s="324"/>
      <c r="O42" s="327"/>
      <c r="P42" s="327"/>
      <c r="Q42" s="327"/>
      <c r="R42" s="327"/>
      <c r="S42" s="327"/>
      <c r="T42" s="185"/>
      <c r="U42" s="184" t="s">
        <v>84</v>
      </c>
      <c r="V42" s="327"/>
      <c r="W42" s="327"/>
      <c r="X42" s="327"/>
      <c r="Y42" s="327"/>
      <c r="Z42" s="327"/>
      <c r="AA42" s="327"/>
      <c r="AB42" s="327"/>
      <c r="AC42" s="185"/>
      <c r="AD42" s="291" t="s">
        <v>62</v>
      </c>
      <c r="AE42" s="328"/>
      <c r="AF42" s="290" t="s">
        <v>90</v>
      </c>
      <c r="AG42" s="326"/>
      <c r="AH42" s="290" t="s">
        <v>87</v>
      </c>
      <c r="AI42" s="324"/>
      <c r="AJ42" s="324"/>
      <c r="AK42" s="324"/>
      <c r="AL42" s="324"/>
      <c r="AM42" s="324"/>
      <c r="AN42" s="324"/>
      <c r="AO42" s="326"/>
      <c r="AP42" s="191" t="s">
        <v>88</v>
      </c>
      <c r="AQ42" s="329"/>
      <c r="AR42" s="329"/>
      <c r="AS42" s="329"/>
      <c r="AT42" s="329"/>
      <c r="AU42" s="185"/>
      <c r="AV42" s="184" t="s">
        <v>125</v>
      </c>
      <c r="AW42" s="44"/>
      <c r="AX42" s="44"/>
      <c r="AY42" s="44"/>
      <c r="AZ42" s="44"/>
      <c r="BA42" s="6"/>
    </row>
    <row r="43" spans="1:53" ht="13.5" thickBot="1">
      <c r="A43" s="579" t="s">
        <v>328</v>
      </c>
      <c r="B43" s="184" t="s">
        <v>76</v>
      </c>
      <c r="C43" s="6"/>
      <c r="D43" s="327" t="s">
        <v>57</v>
      </c>
      <c r="E43" s="44"/>
      <c r="F43" s="40"/>
      <c r="G43" s="1178" t="s">
        <v>106</v>
      </c>
      <c r="H43" s="1179"/>
      <c r="I43" s="1180"/>
      <c r="J43" s="1181"/>
      <c r="K43" s="42"/>
      <c r="L43" s="39" t="s">
        <v>81</v>
      </c>
      <c r="M43" s="44"/>
      <c r="N43" s="40"/>
      <c r="O43" s="39" t="s">
        <v>82</v>
      </c>
      <c r="P43" s="44"/>
      <c r="Q43" s="40"/>
      <c r="R43" s="39" t="s">
        <v>80</v>
      </c>
      <c r="S43" s="44"/>
      <c r="T43" s="42"/>
      <c r="U43" s="41" t="s">
        <v>78</v>
      </c>
      <c r="V43" s="44"/>
      <c r="W43" s="6"/>
      <c r="X43" s="41" t="s">
        <v>79</v>
      </c>
      <c r="Y43" s="44"/>
      <c r="Z43" s="6"/>
      <c r="AA43" s="39" t="s">
        <v>80</v>
      </c>
      <c r="AB43" s="44"/>
      <c r="AC43" s="44"/>
      <c r="AD43" s="88"/>
      <c r="AE43" s="89"/>
      <c r="AF43" s="60" t="s">
        <v>94</v>
      </c>
      <c r="AG43" s="42" t="s">
        <v>95</v>
      </c>
      <c r="AH43" s="547"/>
      <c r="AI43" s="545" t="s">
        <v>126</v>
      </c>
      <c r="AJ43" s="556" t="s">
        <v>127</v>
      </c>
      <c r="AK43" s="560" t="s">
        <v>149</v>
      </c>
      <c r="AL43" s="558" t="s">
        <v>66</v>
      </c>
      <c r="AM43" s="314" t="s">
        <v>66</v>
      </c>
      <c r="AN43" s="558" t="s">
        <v>66</v>
      </c>
      <c r="AO43" s="314" t="s">
        <v>66</v>
      </c>
      <c r="AP43" s="44" t="s">
        <v>68</v>
      </c>
      <c r="AQ43" s="42"/>
      <c r="AR43" s="42"/>
      <c r="AS43" s="42"/>
      <c r="AT43" s="40"/>
      <c r="AU43" s="6"/>
      <c r="AV43" s="502" t="s">
        <v>126</v>
      </c>
      <c r="AW43" s="502" t="s">
        <v>127</v>
      </c>
      <c r="AX43" s="88" t="s">
        <v>128</v>
      </c>
      <c r="AY43" s="89"/>
      <c r="AZ43" s="88" t="s">
        <v>129</v>
      </c>
      <c r="BA43" s="89"/>
    </row>
    <row r="44" spans="1:53">
      <c r="A44" s="827" t="s">
        <v>331</v>
      </c>
      <c r="B44" s="65" t="s">
        <v>52</v>
      </c>
      <c r="C44" s="67" t="s">
        <v>16</v>
      </c>
      <c r="D44" s="65" t="s">
        <v>99</v>
      </c>
      <c r="E44" s="18" t="s">
        <v>100</v>
      </c>
      <c r="F44" s="486">
        <v>5</v>
      </c>
      <c r="G44" s="65" t="s">
        <v>50</v>
      </c>
      <c r="H44" s="67" t="s">
        <v>51</v>
      </c>
      <c r="I44" s="337">
        <v>20</v>
      </c>
      <c r="J44" s="18" t="s">
        <v>28</v>
      </c>
      <c r="K44" s="156" t="s">
        <v>29</v>
      </c>
      <c r="L44" s="1121">
        <v>30</v>
      </c>
      <c r="M44" s="1122" t="s">
        <v>60</v>
      </c>
      <c r="N44" s="1079" t="s">
        <v>329</v>
      </c>
      <c r="O44" s="1121">
        <v>30</v>
      </c>
      <c r="P44" s="1122" t="s">
        <v>60</v>
      </c>
      <c r="Q44" s="1079" t="s">
        <v>329</v>
      </c>
      <c r="R44" s="1121">
        <v>30</v>
      </c>
      <c r="S44" s="1122" t="s">
        <v>60</v>
      </c>
      <c r="T44" s="1079" t="s">
        <v>329</v>
      </c>
      <c r="U44" s="337">
        <v>15</v>
      </c>
      <c r="V44" s="62" t="s">
        <v>60</v>
      </c>
      <c r="W44" s="1131" t="s">
        <v>85</v>
      </c>
      <c r="X44" s="337">
        <v>10</v>
      </c>
      <c r="Y44" s="62" t="s">
        <v>60</v>
      </c>
      <c r="Z44" s="1131" t="s">
        <v>85</v>
      </c>
      <c r="AA44" s="337">
        <v>10</v>
      </c>
      <c r="AB44" s="62" t="s">
        <v>60</v>
      </c>
      <c r="AC44" s="1131" t="s">
        <v>85</v>
      </c>
      <c r="AD44" s="77"/>
      <c r="AE44" s="82"/>
      <c r="AF44" s="70">
        <v>40</v>
      </c>
      <c r="AG44" s="19">
        <v>55</v>
      </c>
      <c r="AH44" s="337">
        <v>20</v>
      </c>
      <c r="AI44" s="73" t="s">
        <v>64</v>
      </c>
      <c r="AJ44" s="544" t="s">
        <v>64</v>
      </c>
      <c r="AK44" s="285"/>
      <c r="AL44" s="70">
        <v>100</v>
      </c>
      <c r="AM44" s="19">
        <v>200</v>
      </c>
      <c r="AN44" s="70">
        <v>100</v>
      </c>
      <c r="AO44" s="19">
        <v>200</v>
      </c>
      <c r="AP44" s="541" t="s">
        <v>91</v>
      </c>
      <c r="AQ44" s="18" t="s">
        <v>69</v>
      </c>
      <c r="AR44" s="18" t="s">
        <v>70</v>
      </c>
      <c r="AS44" s="18" t="s">
        <v>71</v>
      </c>
      <c r="AT44" s="197" t="s">
        <v>73</v>
      </c>
      <c r="AU44" s="285" t="s">
        <v>64</v>
      </c>
      <c r="AV44" s="286" t="s">
        <v>140</v>
      </c>
      <c r="AW44" s="286" t="s">
        <v>141</v>
      </c>
      <c r="AX44" s="77" t="s">
        <v>142</v>
      </c>
      <c r="AY44" s="82"/>
      <c r="AZ44" s="77" t="s">
        <v>142</v>
      </c>
      <c r="BA44" s="82"/>
    </row>
    <row r="45" spans="1:53" ht="13.5" thickBot="1">
      <c r="A45" s="760"/>
      <c r="B45" s="187" t="s">
        <v>53</v>
      </c>
      <c r="C45" s="188" t="s">
        <v>22</v>
      </c>
      <c r="D45" s="187" t="s">
        <v>53</v>
      </c>
      <c r="E45" s="16" t="s">
        <v>22</v>
      </c>
      <c r="F45" s="311" t="s">
        <v>55</v>
      </c>
      <c r="G45" s="187" t="s">
        <v>42</v>
      </c>
      <c r="H45" s="188" t="s">
        <v>42</v>
      </c>
      <c r="I45" s="1184" t="s">
        <v>59</v>
      </c>
      <c r="J45" s="16" t="s">
        <v>43</v>
      </c>
      <c r="K45" s="195" t="s">
        <v>44</v>
      </c>
      <c r="L45" s="1182" t="s">
        <v>59</v>
      </c>
      <c r="M45" s="26" t="s">
        <v>22</v>
      </c>
      <c r="N45" s="255" t="s">
        <v>22</v>
      </c>
      <c r="O45" s="1182" t="s">
        <v>59</v>
      </c>
      <c r="P45" s="26" t="s">
        <v>22</v>
      </c>
      <c r="Q45" s="255" t="s">
        <v>22</v>
      </c>
      <c r="R45" s="1182" t="s">
        <v>59</v>
      </c>
      <c r="S45" s="26" t="s">
        <v>22</v>
      </c>
      <c r="T45" s="255" t="s">
        <v>22</v>
      </c>
      <c r="U45" s="338" t="s">
        <v>59</v>
      </c>
      <c r="V45" s="16" t="s">
        <v>22</v>
      </c>
      <c r="W45" s="188" t="s">
        <v>86</v>
      </c>
      <c r="X45" s="338" t="s">
        <v>59</v>
      </c>
      <c r="Y45" s="16" t="s">
        <v>22</v>
      </c>
      <c r="Z45" s="188" t="s">
        <v>86</v>
      </c>
      <c r="AA45" s="338" t="s">
        <v>59</v>
      </c>
      <c r="AB45" s="16" t="s">
        <v>22</v>
      </c>
      <c r="AC45" s="188" t="s">
        <v>86</v>
      </c>
      <c r="AD45" s="75" t="s">
        <v>63</v>
      </c>
      <c r="AE45" s="17" t="s">
        <v>67</v>
      </c>
      <c r="AF45" s="75" t="s">
        <v>61</v>
      </c>
      <c r="AG45" s="17" t="s">
        <v>61</v>
      </c>
      <c r="AH45" s="338" t="s">
        <v>59</v>
      </c>
      <c r="AI45" s="202" t="s">
        <v>65</v>
      </c>
      <c r="AJ45" s="202" t="s">
        <v>65</v>
      </c>
      <c r="AK45" s="200"/>
      <c r="AL45" s="75" t="s">
        <v>89</v>
      </c>
      <c r="AM45" s="17" t="s">
        <v>89</v>
      </c>
      <c r="AN45" s="75" t="s">
        <v>89</v>
      </c>
      <c r="AO45" s="17" t="s">
        <v>89</v>
      </c>
      <c r="AP45" s="207" t="s">
        <v>72</v>
      </c>
      <c r="AQ45" s="16" t="s">
        <v>74</v>
      </c>
      <c r="AR45" s="16" t="s">
        <v>74</v>
      </c>
      <c r="AS45" s="16" t="s">
        <v>74</v>
      </c>
      <c r="AT45" s="202" t="s">
        <v>75</v>
      </c>
      <c r="AU45" s="200" t="s">
        <v>67</v>
      </c>
      <c r="AV45" s="515" t="s">
        <v>143</v>
      </c>
      <c r="AW45" s="519" t="s">
        <v>145</v>
      </c>
      <c r="AX45" s="495" t="s">
        <v>96</v>
      </c>
      <c r="AY45" s="497" t="s">
        <v>144</v>
      </c>
      <c r="AZ45" s="495" t="s">
        <v>96</v>
      </c>
      <c r="BA45" s="497" t="s">
        <v>144</v>
      </c>
    </row>
    <row r="46" spans="1:53">
      <c r="A46" s="828"/>
      <c r="B46" s="65"/>
      <c r="C46" s="67"/>
      <c r="D46" s="302"/>
      <c r="E46" s="18"/>
      <c r="F46" s="19"/>
      <c r="G46" s="65"/>
      <c r="H46" s="67"/>
      <c r="I46" s="54"/>
      <c r="J46" s="18"/>
      <c r="K46" s="156"/>
      <c r="L46" s="54"/>
      <c r="M46" s="1049"/>
      <c r="N46" s="19"/>
      <c r="O46" s="54"/>
      <c r="P46" s="1049"/>
      <c r="Q46" s="19"/>
      <c r="R46" s="54"/>
      <c r="S46" s="1049"/>
      <c r="T46" s="197"/>
      <c r="U46" s="54"/>
      <c r="V46" s="269"/>
      <c r="W46" s="156"/>
      <c r="X46" s="54"/>
      <c r="Y46" s="269"/>
      <c r="Z46" s="156"/>
      <c r="AA46" s="54"/>
      <c r="AB46" s="269"/>
      <c r="AC46" s="156"/>
      <c r="AD46" s="70"/>
      <c r="AE46" s="19"/>
      <c r="AF46" s="70"/>
      <c r="AG46" s="197"/>
      <c r="AH46" s="543"/>
      <c r="AI46" s="542"/>
      <c r="AJ46" s="557"/>
      <c r="AK46" s="561"/>
      <c r="AL46" s="559" t="s">
        <v>126</v>
      </c>
      <c r="AM46" s="546" t="s">
        <v>126</v>
      </c>
      <c r="AN46" s="559" t="s">
        <v>127</v>
      </c>
      <c r="AO46" s="546" t="s">
        <v>127</v>
      </c>
      <c r="AP46" s="79"/>
      <c r="AQ46" s="18"/>
      <c r="AR46" s="18"/>
      <c r="AS46" s="18"/>
      <c r="AT46" s="197"/>
      <c r="AU46" s="286"/>
      <c r="AV46" s="516"/>
      <c r="AW46" s="516"/>
      <c r="AX46" s="498"/>
      <c r="AY46" s="499"/>
      <c r="AZ46" s="498"/>
      <c r="BA46" s="499"/>
    </row>
    <row r="47" spans="1:53">
      <c r="A47" s="355">
        <f>C47/4.5</f>
        <v>1.1111111111111112</v>
      </c>
      <c r="B47" s="350">
        <v>400</v>
      </c>
      <c r="C47" s="351">
        <v>5</v>
      </c>
      <c r="D47" s="352">
        <v>380</v>
      </c>
      <c r="E47" s="353">
        <f>K47*1000/D47/SQRT(3)</f>
        <v>4.1781927375565022</v>
      </c>
      <c r="F47" s="354">
        <f>F$44</f>
        <v>5</v>
      </c>
      <c r="G47" s="355">
        <f t="shared" ref="G47:G62" si="33">IF(B47&lt;85,0.428*(1+F47/100)*B47+2,0.428*(1+F47/100)*B47)</f>
        <v>179.76000000000002</v>
      </c>
      <c r="H47" s="356">
        <f>SQRT(3)*G47</f>
        <v>311.35345316858138</v>
      </c>
      <c r="I47" s="358">
        <f t="shared" ref="I47:I62" si="34">I$44</f>
        <v>20</v>
      </c>
      <c r="J47" s="28">
        <f t="shared" ref="J47:J62" si="35">(1+I47/100)*C47*0.83</f>
        <v>4.9799999999999995</v>
      </c>
      <c r="K47" s="430">
        <f t="shared" ref="K47:K62" si="36">IF(CEILING(H47*J47*SQRT(3)/1000,0.25)&lt;10,CEILING(H47*J47*SQRT(3)/1000,0.25),IF(CEILING(H47*J47*SQRT(3)/1000,0.25)&lt;20,CEILING(H47*J47*SQRT(3)/1000,0.5),CEILING(H47*J47*SQRT(3)/1000,1)))</f>
        <v>2.75</v>
      </c>
      <c r="L47" s="358">
        <f t="shared" ref="L47:L62" si="37">L$44</f>
        <v>30</v>
      </c>
      <c r="M47" s="1050">
        <f t="shared" ref="M47:M62" si="38">(1+L47/100)*E47</f>
        <v>5.4316505588234527</v>
      </c>
      <c r="N47" s="356">
        <f>LOOKUP(M47,'Circuit Breakers'!$B$5:$B$38,'Circuit Breakers'!$C$5:$C$38)</f>
        <v>10</v>
      </c>
      <c r="O47" s="358">
        <f t="shared" ref="O47:O62" si="39">O$44</f>
        <v>30</v>
      </c>
      <c r="P47" s="1050">
        <f t="shared" ref="P47:P62" si="40">(1+O47/100)*J47</f>
        <v>6.4739999999999993</v>
      </c>
      <c r="Q47" s="356">
        <f>LOOKUP(P47,'Circuit Breakers'!$B$5:$B$38,'Circuit Breakers'!$C$5:$C$38)</f>
        <v>10</v>
      </c>
      <c r="R47" s="358">
        <f t="shared" ref="R47:R62" si="41">R$44</f>
        <v>30</v>
      </c>
      <c r="S47" s="1050">
        <f t="shared" ref="S47:S62" si="42">(1+R47/100)*C47</f>
        <v>6.5</v>
      </c>
      <c r="T47" s="1125">
        <f>LOOKUP(S47,'Circuit Breakers'!$B$5:$B$38,'Circuit Breakers'!$C$5:$C$38)</f>
        <v>10</v>
      </c>
      <c r="U47" s="358">
        <f t="shared" ref="U47:U62" si="43">U$44</f>
        <v>15</v>
      </c>
      <c r="V47" s="360">
        <f t="shared" ref="V47:V62" si="44">(1+U47/100)*E47</f>
        <v>4.8049216481899775</v>
      </c>
      <c r="W47" s="351" t="str">
        <f>LOOKUP(V47,'Wire-Cables Ampacities'!$B$5:$B$35,'Wire-Cables Ampacities'!$C$5:$C$35)</f>
        <v>#10</v>
      </c>
      <c r="X47" s="358">
        <f t="shared" ref="X47:X62" si="45">X$44</f>
        <v>10</v>
      </c>
      <c r="Y47" s="360">
        <f t="shared" ref="Y47:Y62" si="46">(1+X47/100)*J47</f>
        <v>5.4779999999999998</v>
      </c>
      <c r="Z47" s="351" t="str">
        <f>LOOKUP(Y47,'Wire-Cables Ampacities'!$B$5:$B$35,'Wire-Cables Ampacities'!$C$5:$C$35)</f>
        <v>#10</v>
      </c>
      <c r="AA47" s="358">
        <f>AA$44</f>
        <v>10</v>
      </c>
      <c r="AB47" s="360">
        <f t="shared" ref="AB47:AB62" si="47">(1+AA47/100)*C47</f>
        <v>5.5</v>
      </c>
      <c r="AC47" s="351" t="str">
        <f>LOOKUP(AB47,'Wire-Cables Ampacities'!$B$5:$B$35,'Wire-Cables Ampacities'!$C$5:$C$35)</f>
        <v>#10</v>
      </c>
      <c r="AD47" s="361">
        <f>(2*C47+0.06*K47*1000)/1000</f>
        <v>0.17499999999999996</v>
      </c>
      <c r="AE47" s="359">
        <f t="shared" ref="AE47:AE62" si="48">AD47*3.412142*1000</f>
        <v>597.12484999999981</v>
      </c>
      <c r="AF47" s="362">
        <f>AF$20</f>
        <v>40</v>
      </c>
      <c r="AG47" s="533">
        <f>AG$20</f>
        <v>55</v>
      </c>
      <c r="AH47" s="358">
        <f>AH$44</f>
        <v>20</v>
      </c>
      <c r="AI47" s="28">
        <f t="shared" ref="AI47:AI62" si="49">1760*AD47/(AG47-AF47)*(1+AH47/100)</f>
        <v>24.639999999999993</v>
      </c>
      <c r="AJ47" s="360">
        <f>AI47*1.33</f>
        <v>32.771199999999993</v>
      </c>
      <c r="AK47" s="562" t="str">
        <f>IF(AP47=450,"4.7x4.7","6 inch")</f>
        <v>4.7x4.7</v>
      </c>
      <c r="AL47" s="482">
        <f>IF(AK47="4.7x4.7",IF(CEILING(AI47/AL$44,1)&lt;2,CEILING(AI47/AL$44,1),CEILING(AI47/AL$44,2)),0)</f>
        <v>1</v>
      </c>
      <c r="AM47" s="359">
        <f>IF(AK47="6 inch",IF(CEILING(AI47/AM$44,1)&lt;2,CEILING(AI47/AM$44,1),CEILING(AI47/AM$44,2)),0)</f>
        <v>0</v>
      </c>
      <c r="AN47" s="482">
        <f>IF(AK47="4.7x4.7",IF(CEILING(AJ47/AN$44,1)&lt;2,CEILING(AJ47/AN$44,1),CEILING(AJ47/AN$44,2)),0)</f>
        <v>1</v>
      </c>
      <c r="AO47" s="359">
        <f>IF(AK47="6 inch",IF(CEILING(AJ47/AO$44,1)&lt;2,CEILING(AJ47/AO$44,1),CEILING(AJ47/AO$44,2)),0)</f>
        <v>0</v>
      </c>
      <c r="AP47" s="537">
        <v>450</v>
      </c>
      <c r="AQ47" s="28">
        <v>24</v>
      </c>
      <c r="AR47" s="27">
        <v>30</v>
      </c>
      <c r="AS47" s="27">
        <v>16</v>
      </c>
      <c r="AT47" s="364">
        <f>((2*AR47*AQ47)+2*(AR47*AS47)+(AQ47*AS47))/144</f>
        <v>19.333333333333332</v>
      </c>
      <c r="AU47" s="365">
        <f t="shared" ref="AU47:AU62" si="50">AE47+(1.25*AT47*(AF47-AG47))</f>
        <v>234.62484999999987</v>
      </c>
      <c r="AV47" s="520"/>
      <c r="AW47" s="520"/>
      <c r="AX47" s="531"/>
      <c r="AY47" s="494"/>
      <c r="AZ47" s="58"/>
      <c r="BA47" s="494"/>
    </row>
    <row r="48" spans="1:53">
      <c r="A48" s="295">
        <f t="shared" ref="A48:A62" si="51">C48/4.5</f>
        <v>2</v>
      </c>
      <c r="B48" s="66">
        <v>400</v>
      </c>
      <c r="C48" s="68">
        <v>9</v>
      </c>
      <c r="D48" s="186">
        <v>380</v>
      </c>
      <c r="E48" s="45">
        <f t="shared" ref="E48:E62" si="52">K48*1000/D48/SQRT(3)</f>
        <v>7.5967140682845491</v>
      </c>
      <c r="F48" s="15">
        <f t="shared" ref="F48:F62" si="53">F$44</f>
        <v>5</v>
      </c>
      <c r="G48" s="295">
        <f t="shared" si="33"/>
        <v>179.76000000000002</v>
      </c>
      <c r="H48" s="158">
        <f t="shared" ref="H48:H62" si="54">SQRT(3)*G48</f>
        <v>311.35345316858138</v>
      </c>
      <c r="I48" s="55">
        <f>I$44</f>
        <v>20</v>
      </c>
      <c r="J48" s="25">
        <f t="shared" si="35"/>
        <v>8.9639999999999986</v>
      </c>
      <c r="K48" s="427">
        <f t="shared" si="36"/>
        <v>5</v>
      </c>
      <c r="L48" s="55">
        <f t="shared" si="37"/>
        <v>30</v>
      </c>
      <c r="M48" s="1051">
        <f t="shared" si="38"/>
        <v>9.8757282887699134</v>
      </c>
      <c r="N48" s="158">
        <f>LOOKUP(M48,'Circuit Breakers'!$B$5:$B$38,'Circuit Breakers'!$C$5:$C$38)</f>
        <v>10</v>
      </c>
      <c r="O48" s="55">
        <f t="shared" si="39"/>
        <v>30</v>
      </c>
      <c r="P48" s="1051">
        <f t="shared" si="40"/>
        <v>11.653199999999998</v>
      </c>
      <c r="Q48" s="158">
        <f>LOOKUP(P48,'Circuit Breakers'!$B$5:$B$38,'Circuit Breakers'!$C$5:$C$38)</f>
        <v>15</v>
      </c>
      <c r="R48" s="55">
        <f t="shared" si="41"/>
        <v>30</v>
      </c>
      <c r="S48" s="1051">
        <f t="shared" si="42"/>
        <v>11.700000000000001</v>
      </c>
      <c r="T48" s="1064">
        <f>LOOKUP(S48,'Circuit Breakers'!$B$5:$B$38,'Circuit Breakers'!$C$5:$C$38)</f>
        <v>15</v>
      </c>
      <c r="U48" s="55">
        <f t="shared" si="43"/>
        <v>15</v>
      </c>
      <c r="V48" s="53">
        <f t="shared" si="44"/>
        <v>8.7362211785272308</v>
      </c>
      <c r="W48" s="68" t="str">
        <f>LOOKUP(V48,'Wire-Cables Ampacities'!$B$5:$B$35,'Wire-Cables Ampacities'!$C$5:$C$35)</f>
        <v>#10</v>
      </c>
      <c r="X48" s="55">
        <f t="shared" si="45"/>
        <v>10</v>
      </c>
      <c r="Y48" s="53">
        <f t="shared" si="46"/>
        <v>9.8603999999999985</v>
      </c>
      <c r="Z48" s="68" t="str">
        <f>LOOKUP(Y48,'Wire-Cables Ampacities'!$B$5:$B$35,'Wire-Cables Ampacities'!$C$5:$C$35)</f>
        <v>#10</v>
      </c>
      <c r="AA48" s="55">
        <f t="shared" ref="AA48:AA62" si="55">AA$44</f>
        <v>10</v>
      </c>
      <c r="AB48" s="53">
        <f t="shared" si="47"/>
        <v>9.9</v>
      </c>
      <c r="AC48" s="68" t="str">
        <f>LOOKUP(AB48,'Wire-Cables Ampacities'!$B$5:$B$35,'Wire-Cables Ampacities'!$C$5:$C$35)</f>
        <v>#10</v>
      </c>
      <c r="AD48" s="81">
        <f t="shared" ref="AD48:AD62" si="56">(2*C48+0.06*K48*1000)/1000</f>
        <v>0.318</v>
      </c>
      <c r="AE48" s="56">
        <f t="shared" si="48"/>
        <v>1085.0611559999998</v>
      </c>
      <c r="AF48" s="72">
        <f t="shared" ref="AF48:AG62" si="57">AF$20</f>
        <v>40</v>
      </c>
      <c r="AG48" s="61">
        <f t="shared" si="57"/>
        <v>55</v>
      </c>
      <c r="AH48" s="55">
        <f>AH$44</f>
        <v>20</v>
      </c>
      <c r="AI48" s="25">
        <f t="shared" si="49"/>
        <v>44.774400000000007</v>
      </c>
      <c r="AJ48" s="53">
        <f t="shared" ref="AJ48:AJ62" si="58">AI48*1.33</f>
        <v>59.549952000000012</v>
      </c>
      <c r="AK48" s="520" t="str">
        <f t="shared" ref="AK48:AK62" si="59">IF(AP48=450,"4.7x4.7","6 inch")</f>
        <v>4.7x4.7</v>
      </c>
      <c r="AL48" s="483">
        <f t="shared" ref="AL48:AL62" si="60">IF(AK48="4.7x4.7",IF(CEILING(AI48/AL$44,1)&lt;2,CEILING(AI48/AL$44,1),CEILING(AI48/AL$44,2)),0)</f>
        <v>1</v>
      </c>
      <c r="AM48" s="56">
        <f t="shared" ref="AM48:AM62" si="61">IF(AK48="6 inch",IF(CEILING(AI48/AM$44,1)&lt;2,CEILING(AI48/AM$44,1),CEILING(AI48/AM$44,2)),0)</f>
        <v>0</v>
      </c>
      <c r="AN48" s="483">
        <f t="shared" ref="AN48:AN62" si="62">IF(AK48="4.7x4.7",IF(CEILING(AJ48/AN$44,1)&lt;2,CEILING(AJ48/AN$44,1),CEILING(AJ48/AN$44,2)),0)</f>
        <v>1</v>
      </c>
      <c r="AO48" s="56">
        <f t="shared" ref="AO48:AO62" si="63">IF(AK48="6 inch",IF(CEILING(AJ48/AO$44,1)&lt;2,CEILING(AJ48/AO$44,1),CEILING(AJ48/AO$44,2)),0)</f>
        <v>0</v>
      </c>
      <c r="AP48" s="489">
        <v>450</v>
      </c>
      <c r="AQ48" s="25">
        <v>24</v>
      </c>
      <c r="AR48" s="3">
        <v>30</v>
      </c>
      <c r="AS48" s="3">
        <v>16</v>
      </c>
      <c r="AT48" s="312">
        <f t="shared" ref="AT48:AT62" si="64">((2*AR48*AQ48)+2*(AR48*AS48)+(AQ48*AS48))/144</f>
        <v>19.333333333333332</v>
      </c>
      <c r="AU48" s="287">
        <f t="shared" si="50"/>
        <v>722.56115599999976</v>
      </c>
      <c r="AV48" s="520"/>
      <c r="AW48" s="520"/>
      <c r="AX48" s="531"/>
      <c r="AY48" s="494"/>
      <c r="AZ48" s="58"/>
      <c r="BA48" s="494"/>
    </row>
    <row r="49" spans="1:53">
      <c r="A49" s="375">
        <f t="shared" si="51"/>
        <v>4</v>
      </c>
      <c r="B49" s="370">
        <v>400</v>
      </c>
      <c r="C49" s="371">
        <v>18</v>
      </c>
      <c r="D49" s="372">
        <v>380</v>
      </c>
      <c r="E49" s="373">
        <f t="shared" si="52"/>
        <v>14.813592433154874</v>
      </c>
      <c r="F49" s="374">
        <f t="shared" si="53"/>
        <v>5</v>
      </c>
      <c r="G49" s="375">
        <f t="shared" si="33"/>
        <v>179.76000000000002</v>
      </c>
      <c r="H49" s="376">
        <f t="shared" si="54"/>
        <v>311.35345316858138</v>
      </c>
      <c r="I49" s="379">
        <f t="shared" si="34"/>
        <v>20</v>
      </c>
      <c r="J49" s="378">
        <f t="shared" si="35"/>
        <v>17.927999999999997</v>
      </c>
      <c r="K49" s="479">
        <f t="shared" si="36"/>
        <v>9.75</v>
      </c>
      <c r="L49" s="379">
        <f t="shared" si="37"/>
        <v>30</v>
      </c>
      <c r="M49" s="1052">
        <f t="shared" si="38"/>
        <v>19.257670163101338</v>
      </c>
      <c r="N49" s="376">
        <f>LOOKUP(M49,'Circuit Breakers'!$B$5:$B$38,'Circuit Breakers'!$C$5:$C$38)</f>
        <v>20</v>
      </c>
      <c r="O49" s="379">
        <f t="shared" si="39"/>
        <v>30</v>
      </c>
      <c r="P49" s="1052">
        <f t="shared" si="40"/>
        <v>23.306399999999996</v>
      </c>
      <c r="Q49" s="376">
        <f>LOOKUP(P49,'Circuit Breakers'!$B$5:$B$38,'Circuit Breakers'!$C$5:$C$38)</f>
        <v>25</v>
      </c>
      <c r="R49" s="379">
        <f t="shared" si="41"/>
        <v>30</v>
      </c>
      <c r="S49" s="1052">
        <f t="shared" si="42"/>
        <v>23.400000000000002</v>
      </c>
      <c r="T49" s="1126">
        <f>LOOKUP(S49,'Circuit Breakers'!$B$5:$B$38,'Circuit Breakers'!$C$5:$C$38)</f>
        <v>25</v>
      </c>
      <c r="U49" s="379">
        <f t="shared" si="43"/>
        <v>15</v>
      </c>
      <c r="V49" s="381">
        <f t="shared" si="44"/>
        <v>17.035631298128102</v>
      </c>
      <c r="W49" s="371" t="str">
        <f>LOOKUP(V49,'Wire-Cables Ampacities'!$B$5:$B$35,'Wire-Cables Ampacities'!$C$5:$C$35)</f>
        <v>#10</v>
      </c>
      <c r="X49" s="379">
        <f t="shared" si="45"/>
        <v>10</v>
      </c>
      <c r="Y49" s="381">
        <f t="shared" si="46"/>
        <v>19.720799999999997</v>
      </c>
      <c r="Z49" s="371" t="str">
        <f>LOOKUP(Y49,'Wire-Cables Ampacities'!$B$5:$B$35,'Wire-Cables Ampacities'!$C$5:$C$35)</f>
        <v>#10</v>
      </c>
      <c r="AA49" s="379">
        <f t="shared" si="55"/>
        <v>10</v>
      </c>
      <c r="AB49" s="381">
        <f t="shared" si="47"/>
        <v>19.8</v>
      </c>
      <c r="AC49" s="371" t="str">
        <f>LOOKUP(AB49,'Wire-Cables Ampacities'!$B$5:$B$35,'Wire-Cables Ampacities'!$C$5:$C$35)</f>
        <v>#10</v>
      </c>
      <c r="AD49" s="382">
        <f t="shared" si="56"/>
        <v>0.621</v>
      </c>
      <c r="AE49" s="380">
        <f t="shared" si="48"/>
        <v>2118.9401819999998</v>
      </c>
      <c r="AF49" s="383">
        <f t="shared" si="57"/>
        <v>40</v>
      </c>
      <c r="AG49" s="534">
        <f t="shared" si="57"/>
        <v>55</v>
      </c>
      <c r="AH49" s="379">
        <f t="shared" ref="AH49:AH62" si="65">AH$44</f>
        <v>20</v>
      </c>
      <c r="AI49" s="378">
        <f t="shared" si="49"/>
        <v>87.436800000000005</v>
      </c>
      <c r="AJ49" s="381">
        <f t="shared" si="58"/>
        <v>116.29094400000001</v>
      </c>
      <c r="AK49" s="563" t="str">
        <f t="shared" si="59"/>
        <v>6 inch</v>
      </c>
      <c r="AL49" s="484">
        <f t="shared" si="60"/>
        <v>0</v>
      </c>
      <c r="AM49" s="380">
        <f t="shared" si="61"/>
        <v>1</v>
      </c>
      <c r="AN49" s="484">
        <f t="shared" si="62"/>
        <v>0</v>
      </c>
      <c r="AO49" s="380">
        <f t="shared" si="63"/>
        <v>1</v>
      </c>
      <c r="AP49" s="538">
        <v>600</v>
      </c>
      <c r="AQ49" s="378">
        <v>24</v>
      </c>
      <c r="AR49" s="385">
        <v>48</v>
      </c>
      <c r="AS49" s="385">
        <v>16</v>
      </c>
      <c r="AT49" s="386">
        <f t="shared" si="64"/>
        <v>29.333333333333332</v>
      </c>
      <c r="AU49" s="387">
        <f t="shared" si="50"/>
        <v>1568.9401819999998</v>
      </c>
      <c r="AV49" s="520"/>
      <c r="AW49" s="520"/>
      <c r="AX49" s="531"/>
      <c r="AY49" s="494"/>
      <c r="AZ49" s="58"/>
      <c r="BA49" s="494"/>
    </row>
    <row r="50" spans="1:53">
      <c r="A50" s="295">
        <f t="shared" si="51"/>
        <v>6</v>
      </c>
      <c r="B50" s="66">
        <v>400</v>
      </c>
      <c r="C50" s="68">
        <v>27</v>
      </c>
      <c r="D50" s="186">
        <v>380</v>
      </c>
      <c r="E50" s="45">
        <f t="shared" si="52"/>
        <v>22.790142204853648</v>
      </c>
      <c r="F50" s="15">
        <f t="shared" si="53"/>
        <v>5</v>
      </c>
      <c r="G50" s="295">
        <f t="shared" si="33"/>
        <v>179.76000000000002</v>
      </c>
      <c r="H50" s="158">
        <f t="shared" si="54"/>
        <v>311.35345316858138</v>
      </c>
      <c r="I50" s="55">
        <f t="shared" si="34"/>
        <v>20</v>
      </c>
      <c r="J50" s="25">
        <f t="shared" si="35"/>
        <v>26.891999999999996</v>
      </c>
      <c r="K50" s="158">
        <f t="shared" si="36"/>
        <v>15</v>
      </c>
      <c r="L50" s="55">
        <f t="shared" si="37"/>
        <v>30</v>
      </c>
      <c r="M50" s="1051">
        <f t="shared" si="38"/>
        <v>29.627184866309744</v>
      </c>
      <c r="N50" s="158">
        <f>LOOKUP(M50,'Circuit Breakers'!$B$5:$B$38,'Circuit Breakers'!$C$5:$C$38)</f>
        <v>30</v>
      </c>
      <c r="O50" s="55">
        <f t="shared" si="39"/>
        <v>30</v>
      </c>
      <c r="P50" s="1051">
        <f t="shared" si="40"/>
        <v>34.959599999999995</v>
      </c>
      <c r="Q50" s="158">
        <f>LOOKUP(P50,'Circuit Breakers'!$B$5:$B$38,'Circuit Breakers'!$C$5:$C$38)</f>
        <v>40</v>
      </c>
      <c r="R50" s="55">
        <f t="shared" si="41"/>
        <v>30</v>
      </c>
      <c r="S50" s="1051">
        <f t="shared" si="42"/>
        <v>35.1</v>
      </c>
      <c r="T50" s="1064">
        <f>LOOKUP(S50,'Circuit Breakers'!$B$5:$B$38,'Circuit Breakers'!$C$5:$C$38)</f>
        <v>40</v>
      </c>
      <c r="U50" s="55">
        <f t="shared" si="43"/>
        <v>15</v>
      </c>
      <c r="V50" s="53">
        <f t="shared" si="44"/>
        <v>26.208663535581692</v>
      </c>
      <c r="W50" s="68" t="str">
        <f>LOOKUP(V50,'Wire-Cables Ampacities'!$B$5:$B$35,'Wire-Cables Ampacities'!$C$5:$C$35)</f>
        <v>#10</v>
      </c>
      <c r="X50" s="55">
        <f t="shared" si="45"/>
        <v>10</v>
      </c>
      <c r="Y50" s="53">
        <f t="shared" si="46"/>
        <v>29.581199999999999</v>
      </c>
      <c r="Z50" s="68" t="str">
        <f>LOOKUP(Y50,'Wire-Cables Ampacities'!$B$5:$B$35,'Wire-Cables Ampacities'!$C$5:$C$35)</f>
        <v>#10</v>
      </c>
      <c r="AA50" s="55">
        <f t="shared" si="55"/>
        <v>10</v>
      </c>
      <c r="AB50" s="53">
        <f t="shared" si="47"/>
        <v>29.700000000000003</v>
      </c>
      <c r="AC50" s="68" t="str">
        <f>LOOKUP(AB50,'Wire-Cables Ampacities'!$B$5:$B$35,'Wire-Cables Ampacities'!$C$5:$C$35)</f>
        <v>#10</v>
      </c>
      <c r="AD50" s="81">
        <f t="shared" si="56"/>
        <v>0.95399999999999985</v>
      </c>
      <c r="AE50" s="56">
        <f t="shared" si="48"/>
        <v>3255.1834679999993</v>
      </c>
      <c r="AF50" s="72">
        <f t="shared" si="57"/>
        <v>40</v>
      </c>
      <c r="AG50" s="61">
        <f t="shared" si="57"/>
        <v>55</v>
      </c>
      <c r="AH50" s="55">
        <f t="shared" si="65"/>
        <v>20</v>
      </c>
      <c r="AI50" s="25">
        <f t="shared" si="49"/>
        <v>134.32319999999996</v>
      </c>
      <c r="AJ50" s="53">
        <f t="shared" si="58"/>
        <v>178.64985599999994</v>
      </c>
      <c r="AK50" s="520" t="str">
        <f t="shared" si="59"/>
        <v>6 inch</v>
      </c>
      <c r="AL50" s="483">
        <f t="shared" si="60"/>
        <v>0</v>
      </c>
      <c r="AM50" s="56">
        <f t="shared" si="61"/>
        <v>1</v>
      </c>
      <c r="AN50" s="483">
        <f t="shared" si="62"/>
        <v>0</v>
      </c>
      <c r="AO50" s="56">
        <f t="shared" si="63"/>
        <v>1</v>
      </c>
      <c r="AP50" s="489">
        <v>600</v>
      </c>
      <c r="AQ50" s="25">
        <v>24</v>
      </c>
      <c r="AR50" s="3">
        <v>48</v>
      </c>
      <c r="AS50" s="3">
        <v>16</v>
      </c>
      <c r="AT50" s="312">
        <f t="shared" si="64"/>
        <v>29.333333333333332</v>
      </c>
      <c r="AU50" s="287">
        <f t="shared" si="50"/>
        <v>2705.1834679999993</v>
      </c>
      <c r="AV50" s="520"/>
      <c r="AW50" s="520"/>
      <c r="AX50" s="531"/>
      <c r="AY50" s="494"/>
      <c r="AZ50" s="58"/>
      <c r="BA50" s="494"/>
    </row>
    <row r="51" spans="1:53">
      <c r="A51" s="393">
        <f t="shared" si="51"/>
        <v>8</v>
      </c>
      <c r="B51" s="388">
        <v>400</v>
      </c>
      <c r="C51" s="389">
        <v>36</v>
      </c>
      <c r="D51" s="390">
        <v>380</v>
      </c>
      <c r="E51" s="391">
        <f t="shared" si="52"/>
        <v>29.627184866309747</v>
      </c>
      <c r="F51" s="392">
        <f t="shared" si="53"/>
        <v>5</v>
      </c>
      <c r="G51" s="393">
        <f t="shared" si="33"/>
        <v>179.76000000000002</v>
      </c>
      <c r="H51" s="394">
        <f t="shared" si="54"/>
        <v>311.35345316858138</v>
      </c>
      <c r="I51" s="397">
        <f t="shared" si="34"/>
        <v>20</v>
      </c>
      <c r="J51" s="396">
        <f t="shared" si="35"/>
        <v>35.855999999999995</v>
      </c>
      <c r="K51" s="394">
        <f t="shared" si="36"/>
        <v>19.5</v>
      </c>
      <c r="L51" s="397">
        <f t="shared" si="37"/>
        <v>30</v>
      </c>
      <c r="M51" s="1053">
        <f t="shared" si="38"/>
        <v>38.515340326202676</v>
      </c>
      <c r="N51" s="394">
        <f>LOOKUP(M51,'Circuit Breakers'!$B$5:$B$38,'Circuit Breakers'!$C$5:$C$38)</f>
        <v>40</v>
      </c>
      <c r="O51" s="397">
        <f t="shared" si="39"/>
        <v>30</v>
      </c>
      <c r="P51" s="1053">
        <f t="shared" si="40"/>
        <v>46.612799999999993</v>
      </c>
      <c r="Q51" s="394">
        <f>LOOKUP(P51,'Circuit Breakers'!$B$5:$B$38,'Circuit Breakers'!$C$5:$C$38)</f>
        <v>50</v>
      </c>
      <c r="R51" s="397">
        <f t="shared" si="41"/>
        <v>30</v>
      </c>
      <c r="S51" s="1053">
        <f t="shared" si="42"/>
        <v>46.800000000000004</v>
      </c>
      <c r="T51" s="1127">
        <f>LOOKUP(S51,'Circuit Breakers'!$B$5:$B$38,'Circuit Breakers'!$C$5:$C$38)</f>
        <v>50</v>
      </c>
      <c r="U51" s="397">
        <f t="shared" si="43"/>
        <v>15</v>
      </c>
      <c r="V51" s="399">
        <f t="shared" si="44"/>
        <v>34.071262596256204</v>
      </c>
      <c r="W51" s="389" t="str">
        <f>LOOKUP(V51,'Wire-Cables Ampacities'!$B$5:$B$35,'Wire-Cables Ampacities'!$C$5:$C$35)</f>
        <v>#10</v>
      </c>
      <c r="X51" s="397">
        <f t="shared" si="45"/>
        <v>10</v>
      </c>
      <c r="Y51" s="399">
        <f t="shared" si="46"/>
        <v>39.441599999999994</v>
      </c>
      <c r="Z51" s="389" t="str">
        <f>LOOKUP(Y51,'Wire-Cables Ampacities'!$B$5:$B$35,'Wire-Cables Ampacities'!$C$5:$C$35)</f>
        <v>#10</v>
      </c>
      <c r="AA51" s="397">
        <f t="shared" si="55"/>
        <v>10</v>
      </c>
      <c r="AB51" s="399">
        <f t="shared" si="47"/>
        <v>39.6</v>
      </c>
      <c r="AC51" s="389" t="str">
        <f>LOOKUP(AB51,'Wire-Cables Ampacities'!$B$5:$B$35,'Wire-Cables Ampacities'!$C$5:$C$35)</f>
        <v>#10</v>
      </c>
      <c r="AD51" s="400">
        <f t="shared" si="56"/>
        <v>1.242</v>
      </c>
      <c r="AE51" s="398">
        <f t="shared" si="48"/>
        <v>4237.8803639999996</v>
      </c>
      <c r="AF51" s="401">
        <f t="shared" si="57"/>
        <v>40</v>
      </c>
      <c r="AG51" s="535">
        <f t="shared" si="57"/>
        <v>55</v>
      </c>
      <c r="AH51" s="397">
        <f t="shared" si="65"/>
        <v>20</v>
      </c>
      <c r="AI51" s="396">
        <f t="shared" si="49"/>
        <v>174.87360000000001</v>
      </c>
      <c r="AJ51" s="399">
        <f t="shared" si="58"/>
        <v>232.58188800000002</v>
      </c>
      <c r="AK51" s="564" t="str">
        <f t="shared" si="59"/>
        <v>6 inch</v>
      </c>
      <c r="AL51" s="485">
        <f t="shared" si="60"/>
        <v>0</v>
      </c>
      <c r="AM51" s="398">
        <f t="shared" si="61"/>
        <v>1</v>
      </c>
      <c r="AN51" s="485">
        <f t="shared" si="62"/>
        <v>0</v>
      </c>
      <c r="AO51" s="398">
        <f t="shared" si="63"/>
        <v>2</v>
      </c>
      <c r="AP51" s="539">
        <v>600</v>
      </c>
      <c r="AQ51" s="396">
        <v>24</v>
      </c>
      <c r="AR51" s="403">
        <v>48</v>
      </c>
      <c r="AS51" s="403">
        <v>16</v>
      </c>
      <c r="AT51" s="404">
        <f t="shared" si="64"/>
        <v>29.333333333333332</v>
      </c>
      <c r="AU51" s="405">
        <f t="shared" si="50"/>
        <v>3687.8803639999996</v>
      </c>
      <c r="AV51" s="520"/>
      <c r="AW51" s="520"/>
      <c r="AX51" s="531"/>
      <c r="AY51" s="494"/>
      <c r="AZ51" s="58"/>
      <c r="BA51" s="494"/>
    </row>
    <row r="52" spans="1:53">
      <c r="A52" s="295">
        <f t="shared" si="51"/>
        <v>9.1111111111111107</v>
      </c>
      <c r="B52" s="66">
        <v>400</v>
      </c>
      <c r="C52" s="68">
        <v>41</v>
      </c>
      <c r="D52" s="186">
        <v>380</v>
      </c>
      <c r="E52" s="45">
        <f t="shared" si="52"/>
        <v>34.94488471410893</v>
      </c>
      <c r="F52" s="15">
        <f t="shared" si="53"/>
        <v>5</v>
      </c>
      <c r="G52" s="295">
        <f t="shared" si="33"/>
        <v>179.76000000000002</v>
      </c>
      <c r="H52" s="158">
        <f t="shared" si="54"/>
        <v>311.35345316858138</v>
      </c>
      <c r="I52" s="55">
        <f t="shared" si="34"/>
        <v>20</v>
      </c>
      <c r="J52" s="25">
        <f t="shared" si="35"/>
        <v>40.835999999999991</v>
      </c>
      <c r="K52" s="158">
        <f t="shared" si="36"/>
        <v>23</v>
      </c>
      <c r="L52" s="55">
        <f t="shared" si="37"/>
        <v>30</v>
      </c>
      <c r="M52" s="1051">
        <f t="shared" si="38"/>
        <v>45.428350128341613</v>
      </c>
      <c r="N52" s="158">
        <f>LOOKUP(M52,'Circuit Breakers'!$B$5:$B$38,'Circuit Breakers'!$C$5:$C$38)</f>
        <v>50</v>
      </c>
      <c r="O52" s="55">
        <f t="shared" si="39"/>
        <v>30</v>
      </c>
      <c r="P52" s="1051">
        <f t="shared" si="40"/>
        <v>53.08679999999999</v>
      </c>
      <c r="Q52" s="158">
        <f>LOOKUP(P52,'Circuit Breakers'!$B$5:$B$38,'Circuit Breakers'!$C$5:$C$38)</f>
        <v>60</v>
      </c>
      <c r="R52" s="55">
        <f t="shared" si="41"/>
        <v>30</v>
      </c>
      <c r="S52" s="1051">
        <f t="shared" si="42"/>
        <v>53.300000000000004</v>
      </c>
      <c r="T52" s="1064">
        <f>LOOKUP(S52,'Circuit Breakers'!$B$5:$B$38,'Circuit Breakers'!$C$5:$C$38)</f>
        <v>60</v>
      </c>
      <c r="U52" s="55">
        <f t="shared" si="43"/>
        <v>15</v>
      </c>
      <c r="V52" s="53">
        <f t="shared" si="44"/>
        <v>40.186617421225264</v>
      </c>
      <c r="W52" s="68" t="str">
        <f>LOOKUP(V52,'Wire-Cables Ampacities'!$B$5:$B$35,'Wire-Cables Ampacities'!$C$5:$C$35)</f>
        <v>#8</v>
      </c>
      <c r="X52" s="55">
        <f t="shared" si="45"/>
        <v>10</v>
      </c>
      <c r="Y52" s="53">
        <f t="shared" si="46"/>
        <v>44.919599999999996</v>
      </c>
      <c r="Z52" s="68" t="str">
        <f>LOOKUP(Y52,'Wire-Cables Ampacities'!$B$5:$B$35,'Wire-Cables Ampacities'!$C$5:$C$35)</f>
        <v>#8</v>
      </c>
      <c r="AA52" s="55">
        <f t="shared" si="55"/>
        <v>10</v>
      </c>
      <c r="AB52" s="53">
        <f t="shared" si="47"/>
        <v>45.1</v>
      </c>
      <c r="AC52" s="68" t="str">
        <f>LOOKUP(AB52,'Wire-Cables Ampacities'!$B$5:$B$35,'Wire-Cables Ampacities'!$C$5:$C$35)</f>
        <v>#8</v>
      </c>
      <c r="AD52" s="81">
        <f t="shared" si="56"/>
        <v>1.462</v>
      </c>
      <c r="AE52" s="56">
        <f t="shared" si="48"/>
        <v>4988.5516039999993</v>
      </c>
      <c r="AF52" s="72">
        <f t="shared" si="57"/>
        <v>40</v>
      </c>
      <c r="AG52" s="61">
        <f t="shared" si="57"/>
        <v>55</v>
      </c>
      <c r="AH52" s="55">
        <f t="shared" si="65"/>
        <v>20</v>
      </c>
      <c r="AI52" s="25">
        <f t="shared" si="49"/>
        <v>205.84959999999998</v>
      </c>
      <c r="AJ52" s="53">
        <f t="shared" si="58"/>
        <v>273.779968</v>
      </c>
      <c r="AK52" s="520" t="str">
        <f t="shared" si="59"/>
        <v>6 inch</v>
      </c>
      <c r="AL52" s="483">
        <f t="shared" si="60"/>
        <v>0</v>
      </c>
      <c r="AM52" s="56">
        <f t="shared" si="61"/>
        <v>2</v>
      </c>
      <c r="AN52" s="483">
        <f t="shared" si="62"/>
        <v>0</v>
      </c>
      <c r="AO52" s="56">
        <f t="shared" si="63"/>
        <v>2</v>
      </c>
      <c r="AP52" s="489">
        <v>600</v>
      </c>
      <c r="AQ52" s="25">
        <v>24</v>
      </c>
      <c r="AR52" s="3">
        <v>48</v>
      </c>
      <c r="AS52" s="3">
        <v>16</v>
      </c>
      <c r="AT52" s="312">
        <f t="shared" si="64"/>
        <v>29.333333333333332</v>
      </c>
      <c r="AU52" s="287">
        <f t="shared" si="50"/>
        <v>4438.5516039999993</v>
      </c>
      <c r="AV52" s="520"/>
      <c r="AW52" s="520"/>
      <c r="AX52" s="531"/>
      <c r="AY52" s="494"/>
      <c r="AZ52" s="58"/>
      <c r="BA52" s="494"/>
    </row>
    <row r="53" spans="1:53">
      <c r="A53" s="355">
        <f t="shared" si="51"/>
        <v>10</v>
      </c>
      <c r="B53" s="350">
        <v>400</v>
      </c>
      <c r="C53" s="351">
        <v>45</v>
      </c>
      <c r="D53" s="352">
        <v>380</v>
      </c>
      <c r="E53" s="353">
        <f t="shared" si="52"/>
        <v>37.983570341422748</v>
      </c>
      <c r="F53" s="354">
        <f t="shared" si="53"/>
        <v>5</v>
      </c>
      <c r="G53" s="355">
        <f t="shared" si="33"/>
        <v>179.76000000000002</v>
      </c>
      <c r="H53" s="356">
        <f t="shared" si="54"/>
        <v>311.35345316858138</v>
      </c>
      <c r="I53" s="358">
        <f t="shared" si="34"/>
        <v>20</v>
      </c>
      <c r="J53" s="28">
        <f t="shared" si="35"/>
        <v>44.82</v>
      </c>
      <c r="K53" s="356">
        <f t="shared" si="36"/>
        <v>25</v>
      </c>
      <c r="L53" s="358">
        <f t="shared" si="37"/>
        <v>30</v>
      </c>
      <c r="M53" s="1050">
        <f t="shared" si="38"/>
        <v>49.378641443849574</v>
      </c>
      <c r="N53" s="356">
        <f>LOOKUP(M53,'Circuit Breakers'!$B$5:$B$38,'Circuit Breakers'!$C$5:$C$38)</f>
        <v>50</v>
      </c>
      <c r="O53" s="358">
        <f t="shared" si="39"/>
        <v>30</v>
      </c>
      <c r="P53" s="1050">
        <f t="shared" si="40"/>
        <v>58.266000000000005</v>
      </c>
      <c r="Q53" s="356">
        <f>LOOKUP(P53,'Circuit Breakers'!$B$5:$B$38,'Circuit Breakers'!$C$5:$C$38)</f>
        <v>60</v>
      </c>
      <c r="R53" s="358">
        <f t="shared" si="41"/>
        <v>30</v>
      </c>
      <c r="S53" s="1050">
        <f t="shared" si="42"/>
        <v>58.5</v>
      </c>
      <c r="T53" s="1125">
        <f>LOOKUP(S53,'Circuit Breakers'!$B$5:$B$38,'Circuit Breakers'!$C$5:$C$38)</f>
        <v>60</v>
      </c>
      <c r="U53" s="358">
        <f t="shared" si="43"/>
        <v>15</v>
      </c>
      <c r="V53" s="360">
        <f t="shared" si="44"/>
        <v>43.681105892636154</v>
      </c>
      <c r="W53" s="351" t="str">
        <f>LOOKUP(V53,'Wire-Cables Ampacities'!$B$5:$B$35,'Wire-Cables Ampacities'!$C$5:$C$35)</f>
        <v>#8</v>
      </c>
      <c r="X53" s="358">
        <f t="shared" si="45"/>
        <v>10</v>
      </c>
      <c r="Y53" s="360">
        <f t="shared" si="46"/>
        <v>49.302000000000007</v>
      </c>
      <c r="Z53" s="351" t="str">
        <f>LOOKUP(Y53,'Wire-Cables Ampacities'!$B$5:$B$35,'Wire-Cables Ampacities'!$C$5:$C$35)</f>
        <v>#8</v>
      </c>
      <c r="AA53" s="358">
        <f t="shared" si="55"/>
        <v>10</v>
      </c>
      <c r="AB53" s="360">
        <f t="shared" si="47"/>
        <v>49.500000000000007</v>
      </c>
      <c r="AC53" s="351" t="str">
        <f>LOOKUP(AB53,'Wire-Cables Ampacities'!$B$5:$B$35,'Wire-Cables Ampacities'!$C$5:$C$35)</f>
        <v>#8</v>
      </c>
      <c r="AD53" s="361">
        <f t="shared" si="56"/>
        <v>1.59</v>
      </c>
      <c r="AE53" s="359">
        <f t="shared" si="48"/>
        <v>5425.3057799999997</v>
      </c>
      <c r="AF53" s="362">
        <f t="shared" si="57"/>
        <v>40</v>
      </c>
      <c r="AG53" s="533">
        <f t="shared" si="57"/>
        <v>55</v>
      </c>
      <c r="AH53" s="358">
        <f t="shared" si="65"/>
        <v>20</v>
      </c>
      <c r="AI53" s="28">
        <f t="shared" si="49"/>
        <v>223.87199999999999</v>
      </c>
      <c r="AJ53" s="360">
        <f t="shared" si="58"/>
        <v>297.74975999999998</v>
      </c>
      <c r="AK53" s="562" t="str">
        <f t="shared" si="59"/>
        <v>6 inch</v>
      </c>
      <c r="AL53" s="482">
        <f t="shared" si="60"/>
        <v>0</v>
      </c>
      <c r="AM53" s="359">
        <f t="shared" si="61"/>
        <v>2</v>
      </c>
      <c r="AN53" s="482">
        <f t="shared" si="62"/>
        <v>0</v>
      </c>
      <c r="AO53" s="359">
        <f t="shared" si="63"/>
        <v>2</v>
      </c>
      <c r="AP53" s="537">
        <v>600</v>
      </c>
      <c r="AQ53" s="28">
        <v>24</v>
      </c>
      <c r="AR53" s="27">
        <v>48</v>
      </c>
      <c r="AS53" s="27">
        <v>16</v>
      </c>
      <c r="AT53" s="364">
        <f t="shared" si="64"/>
        <v>29.333333333333332</v>
      </c>
      <c r="AU53" s="365">
        <f t="shared" si="50"/>
        <v>4875.3057799999997</v>
      </c>
      <c r="AV53" s="520"/>
      <c r="AW53" s="520"/>
      <c r="AX53" s="531"/>
      <c r="AY53" s="494"/>
      <c r="AZ53" s="58"/>
      <c r="BA53" s="494"/>
    </row>
    <row r="54" spans="1:53">
      <c r="A54" s="295">
        <f t="shared" si="51"/>
        <v>12</v>
      </c>
      <c r="B54" s="66">
        <v>400</v>
      </c>
      <c r="C54" s="68">
        <v>54</v>
      </c>
      <c r="D54" s="186">
        <v>380</v>
      </c>
      <c r="E54" s="45">
        <f t="shared" si="52"/>
        <v>45.580284409707296</v>
      </c>
      <c r="F54" s="15">
        <f t="shared" si="53"/>
        <v>5</v>
      </c>
      <c r="G54" s="295">
        <f t="shared" si="33"/>
        <v>179.76000000000002</v>
      </c>
      <c r="H54" s="158">
        <f t="shared" si="54"/>
        <v>311.35345316858138</v>
      </c>
      <c r="I54" s="55">
        <f t="shared" si="34"/>
        <v>20</v>
      </c>
      <c r="J54" s="25">
        <f t="shared" si="35"/>
        <v>53.783999999999992</v>
      </c>
      <c r="K54" s="158">
        <f t="shared" si="36"/>
        <v>30</v>
      </c>
      <c r="L54" s="55">
        <f t="shared" si="37"/>
        <v>30</v>
      </c>
      <c r="M54" s="1051">
        <f t="shared" si="38"/>
        <v>59.254369732619487</v>
      </c>
      <c r="N54" s="158">
        <f>LOOKUP(M54,'Circuit Breakers'!$B$5:$B$38,'Circuit Breakers'!$C$5:$C$38)</f>
        <v>60</v>
      </c>
      <c r="O54" s="55">
        <f t="shared" si="39"/>
        <v>30</v>
      </c>
      <c r="P54" s="1051">
        <f t="shared" si="40"/>
        <v>69.919199999999989</v>
      </c>
      <c r="Q54" s="158">
        <f>LOOKUP(P54,'Circuit Breakers'!$B$5:$B$38,'Circuit Breakers'!$C$5:$C$38)</f>
        <v>70</v>
      </c>
      <c r="R54" s="55">
        <f t="shared" si="41"/>
        <v>30</v>
      </c>
      <c r="S54" s="1051">
        <f t="shared" si="42"/>
        <v>70.2</v>
      </c>
      <c r="T54" s="1064">
        <f>LOOKUP(S54,'Circuit Breakers'!$B$5:$B$38,'Circuit Breakers'!$C$5:$C$38)</f>
        <v>70</v>
      </c>
      <c r="U54" s="55">
        <f t="shared" si="43"/>
        <v>15</v>
      </c>
      <c r="V54" s="53">
        <f t="shared" si="44"/>
        <v>52.417327071163385</v>
      </c>
      <c r="W54" s="68" t="str">
        <f>LOOKUP(V54,'Wire-Cables Ampacities'!$B$5:$B$35,'Wire-Cables Ampacities'!$C$5:$C$35)</f>
        <v>#8</v>
      </c>
      <c r="X54" s="55">
        <f t="shared" si="45"/>
        <v>10</v>
      </c>
      <c r="Y54" s="53">
        <f t="shared" si="46"/>
        <v>59.162399999999998</v>
      </c>
      <c r="Z54" s="68" t="str">
        <f>LOOKUP(Y54,'Wire-Cables Ampacities'!$B$5:$B$35,'Wire-Cables Ampacities'!$C$5:$C$35)</f>
        <v>#8</v>
      </c>
      <c r="AA54" s="55">
        <f t="shared" si="55"/>
        <v>10</v>
      </c>
      <c r="AB54" s="53">
        <f t="shared" si="47"/>
        <v>59.400000000000006</v>
      </c>
      <c r="AC54" s="68" t="str">
        <f>LOOKUP(AB54,'Wire-Cables Ampacities'!$B$5:$B$35,'Wire-Cables Ampacities'!$C$5:$C$35)</f>
        <v>#8</v>
      </c>
      <c r="AD54" s="81">
        <f t="shared" si="56"/>
        <v>1.9079999999999997</v>
      </c>
      <c r="AE54" s="56">
        <f t="shared" si="48"/>
        <v>6510.3669359999985</v>
      </c>
      <c r="AF54" s="72">
        <f t="shared" si="57"/>
        <v>40</v>
      </c>
      <c r="AG54" s="61">
        <f t="shared" si="57"/>
        <v>55</v>
      </c>
      <c r="AH54" s="55">
        <f t="shared" si="65"/>
        <v>20</v>
      </c>
      <c r="AI54" s="25">
        <f t="shared" si="49"/>
        <v>268.64639999999991</v>
      </c>
      <c r="AJ54" s="53">
        <f t="shared" si="58"/>
        <v>357.29971199999989</v>
      </c>
      <c r="AK54" s="520" t="str">
        <f t="shared" si="59"/>
        <v>6 inch</v>
      </c>
      <c r="AL54" s="483">
        <f t="shared" si="60"/>
        <v>0</v>
      </c>
      <c r="AM54" s="56">
        <f t="shared" si="61"/>
        <v>2</v>
      </c>
      <c r="AN54" s="483">
        <f t="shared" si="62"/>
        <v>0</v>
      </c>
      <c r="AO54" s="56">
        <f t="shared" si="63"/>
        <v>2</v>
      </c>
      <c r="AP54" s="489">
        <v>600</v>
      </c>
      <c r="AQ54" s="25">
        <v>24</v>
      </c>
      <c r="AR54" s="3">
        <v>48</v>
      </c>
      <c r="AS54" s="3">
        <v>16</v>
      </c>
      <c r="AT54" s="312">
        <f t="shared" si="64"/>
        <v>29.333333333333332</v>
      </c>
      <c r="AU54" s="287">
        <f t="shared" si="50"/>
        <v>5960.3669359999985</v>
      </c>
      <c r="AV54" s="520"/>
      <c r="AW54" s="520"/>
      <c r="AX54" s="531"/>
      <c r="AY54" s="494"/>
      <c r="AZ54" s="58"/>
      <c r="BA54" s="494"/>
    </row>
    <row r="55" spans="1:53">
      <c r="A55" s="375">
        <f t="shared" si="51"/>
        <v>14</v>
      </c>
      <c r="B55" s="370">
        <v>400</v>
      </c>
      <c r="C55" s="371">
        <v>63</v>
      </c>
      <c r="D55" s="372">
        <v>380</v>
      </c>
      <c r="E55" s="373">
        <f t="shared" si="52"/>
        <v>51.657655664334939</v>
      </c>
      <c r="F55" s="374">
        <f t="shared" si="53"/>
        <v>5</v>
      </c>
      <c r="G55" s="375">
        <f t="shared" si="33"/>
        <v>179.76000000000002</v>
      </c>
      <c r="H55" s="376">
        <f t="shared" si="54"/>
        <v>311.35345316858138</v>
      </c>
      <c r="I55" s="379">
        <f t="shared" si="34"/>
        <v>20</v>
      </c>
      <c r="J55" s="378">
        <f t="shared" si="35"/>
        <v>62.74799999999999</v>
      </c>
      <c r="K55" s="376">
        <f t="shared" si="36"/>
        <v>34</v>
      </c>
      <c r="L55" s="379">
        <f t="shared" si="37"/>
        <v>30</v>
      </c>
      <c r="M55" s="1052">
        <f t="shared" si="38"/>
        <v>67.154952363635417</v>
      </c>
      <c r="N55" s="376">
        <f>LOOKUP(M55,'Circuit Breakers'!$B$5:$B$38,'Circuit Breakers'!$C$5:$C$38)</f>
        <v>70</v>
      </c>
      <c r="O55" s="379">
        <f t="shared" si="39"/>
        <v>30</v>
      </c>
      <c r="P55" s="1052">
        <f t="shared" si="40"/>
        <v>81.572399999999988</v>
      </c>
      <c r="Q55" s="376">
        <f>LOOKUP(P55,'Circuit Breakers'!$B$5:$B$38,'Circuit Breakers'!$C$5:$C$38)</f>
        <v>90</v>
      </c>
      <c r="R55" s="379">
        <f t="shared" si="41"/>
        <v>30</v>
      </c>
      <c r="S55" s="1052">
        <f t="shared" si="42"/>
        <v>81.900000000000006</v>
      </c>
      <c r="T55" s="1126">
        <f>LOOKUP(S55,'Circuit Breakers'!$B$5:$B$38,'Circuit Breakers'!$C$5:$C$38)</f>
        <v>90</v>
      </c>
      <c r="U55" s="379">
        <f t="shared" si="43"/>
        <v>15</v>
      </c>
      <c r="V55" s="381">
        <f t="shared" si="44"/>
        <v>59.406304013985178</v>
      </c>
      <c r="W55" s="371" t="str">
        <f>LOOKUP(V55,'Wire-Cables Ampacities'!$B$5:$B$35,'Wire-Cables Ampacities'!$C$5:$C$35)</f>
        <v>#8</v>
      </c>
      <c r="X55" s="379">
        <f t="shared" si="45"/>
        <v>10</v>
      </c>
      <c r="Y55" s="381">
        <f t="shared" si="46"/>
        <v>69.022799999999989</v>
      </c>
      <c r="Z55" s="371" t="str">
        <f>LOOKUP(Y55,'Wire-Cables Ampacities'!$B$5:$B$35,'Wire-Cables Ampacities'!$C$5:$C$35)</f>
        <v>#6</v>
      </c>
      <c r="AA55" s="379">
        <f t="shared" si="55"/>
        <v>10</v>
      </c>
      <c r="AB55" s="381">
        <f t="shared" si="47"/>
        <v>69.300000000000011</v>
      </c>
      <c r="AC55" s="371" t="str">
        <f>LOOKUP(AB55,'Wire-Cables Ampacities'!$B$5:$B$35,'Wire-Cables Ampacities'!$C$5:$C$35)</f>
        <v>#6</v>
      </c>
      <c r="AD55" s="382">
        <f t="shared" si="56"/>
        <v>2.1659999999999999</v>
      </c>
      <c r="AE55" s="380">
        <f t="shared" si="48"/>
        <v>7390.6995719999986</v>
      </c>
      <c r="AF55" s="383">
        <f t="shared" si="57"/>
        <v>40</v>
      </c>
      <c r="AG55" s="534">
        <f t="shared" si="57"/>
        <v>55</v>
      </c>
      <c r="AH55" s="379">
        <f t="shared" si="65"/>
        <v>20</v>
      </c>
      <c r="AI55" s="378">
        <f t="shared" si="49"/>
        <v>304.97279999999995</v>
      </c>
      <c r="AJ55" s="381">
        <f t="shared" si="58"/>
        <v>405.61382399999997</v>
      </c>
      <c r="AK55" s="563" t="str">
        <f t="shared" si="59"/>
        <v>6 inch</v>
      </c>
      <c r="AL55" s="484">
        <f t="shared" si="60"/>
        <v>0</v>
      </c>
      <c r="AM55" s="380">
        <f t="shared" si="61"/>
        <v>2</v>
      </c>
      <c r="AN55" s="484">
        <f t="shared" si="62"/>
        <v>0</v>
      </c>
      <c r="AO55" s="380">
        <f t="shared" si="63"/>
        <v>4</v>
      </c>
      <c r="AP55" s="538">
        <v>800</v>
      </c>
      <c r="AQ55" s="378">
        <v>34</v>
      </c>
      <c r="AR55" s="385">
        <v>48</v>
      </c>
      <c r="AS55" s="385">
        <v>28</v>
      </c>
      <c r="AT55" s="386">
        <f t="shared" si="64"/>
        <v>47.944444444444443</v>
      </c>
      <c r="AU55" s="387">
        <f t="shared" si="50"/>
        <v>6491.7412386666656</v>
      </c>
      <c r="AV55" s="520"/>
      <c r="AW55" s="520"/>
      <c r="AX55" s="531"/>
      <c r="AY55" s="494"/>
      <c r="AZ55" s="58"/>
      <c r="BA55" s="494"/>
    </row>
    <row r="56" spans="1:53">
      <c r="A56" s="295">
        <f t="shared" si="51"/>
        <v>16</v>
      </c>
      <c r="B56" s="66">
        <v>400</v>
      </c>
      <c r="C56" s="68">
        <v>72</v>
      </c>
      <c r="D56" s="186">
        <v>380</v>
      </c>
      <c r="E56" s="45">
        <f t="shared" si="52"/>
        <v>59.254369732619494</v>
      </c>
      <c r="F56" s="15">
        <f t="shared" si="53"/>
        <v>5</v>
      </c>
      <c r="G56" s="295">
        <f t="shared" si="33"/>
        <v>179.76000000000002</v>
      </c>
      <c r="H56" s="158">
        <f t="shared" si="54"/>
        <v>311.35345316858138</v>
      </c>
      <c r="I56" s="55">
        <f t="shared" si="34"/>
        <v>20</v>
      </c>
      <c r="J56" s="25">
        <f t="shared" si="35"/>
        <v>71.711999999999989</v>
      </c>
      <c r="K56" s="158">
        <f t="shared" si="36"/>
        <v>39</v>
      </c>
      <c r="L56" s="55">
        <f t="shared" si="37"/>
        <v>30</v>
      </c>
      <c r="M56" s="1051">
        <f t="shared" si="38"/>
        <v>77.030680652405351</v>
      </c>
      <c r="N56" s="158">
        <f>LOOKUP(M56,'Circuit Breakers'!$B$5:$B$38,'Circuit Breakers'!$C$5:$C$38)</f>
        <v>80</v>
      </c>
      <c r="O56" s="55">
        <f t="shared" si="39"/>
        <v>30</v>
      </c>
      <c r="P56" s="1051">
        <f t="shared" si="40"/>
        <v>93.225599999999986</v>
      </c>
      <c r="Q56" s="158">
        <f>LOOKUP(P56,'Circuit Breakers'!$B$5:$B$38,'Circuit Breakers'!$C$5:$C$38)</f>
        <v>100</v>
      </c>
      <c r="R56" s="55">
        <f t="shared" si="41"/>
        <v>30</v>
      </c>
      <c r="S56" s="1051">
        <f t="shared" si="42"/>
        <v>93.600000000000009</v>
      </c>
      <c r="T56" s="1064">
        <f>LOOKUP(S56,'Circuit Breakers'!$B$5:$B$38,'Circuit Breakers'!$C$5:$C$38)</f>
        <v>100</v>
      </c>
      <c r="U56" s="55">
        <f t="shared" si="43"/>
        <v>15</v>
      </c>
      <c r="V56" s="53">
        <f t="shared" si="44"/>
        <v>68.142525192512409</v>
      </c>
      <c r="W56" s="68" t="str">
        <f>LOOKUP(V56,'Wire-Cables Ampacities'!$B$5:$B$35,'Wire-Cables Ampacities'!$C$5:$C$35)</f>
        <v>#6</v>
      </c>
      <c r="X56" s="55">
        <f t="shared" si="45"/>
        <v>10</v>
      </c>
      <c r="Y56" s="53">
        <f t="shared" si="46"/>
        <v>78.883199999999988</v>
      </c>
      <c r="Z56" s="68" t="str">
        <f>LOOKUP(Y56,'Wire-Cables Ampacities'!$B$5:$B$35,'Wire-Cables Ampacities'!$C$5:$C$35)</f>
        <v>#6</v>
      </c>
      <c r="AA56" s="55">
        <f t="shared" si="55"/>
        <v>10</v>
      </c>
      <c r="AB56" s="53">
        <f t="shared" si="47"/>
        <v>79.2</v>
      </c>
      <c r="AC56" s="68" t="str">
        <f>LOOKUP(AB56,'Wire-Cables Ampacities'!$B$5:$B$35,'Wire-Cables Ampacities'!$C$5:$C$35)</f>
        <v>#6</v>
      </c>
      <c r="AD56" s="81">
        <f t="shared" si="56"/>
        <v>2.484</v>
      </c>
      <c r="AE56" s="56">
        <f t="shared" si="48"/>
        <v>8475.7607279999993</v>
      </c>
      <c r="AF56" s="72">
        <f t="shared" si="57"/>
        <v>40</v>
      </c>
      <c r="AG56" s="61">
        <f t="shared" si="57"/>
        <v>55</v>
      </c>
      <c r="AH56" s="55">
        <f t="shared" si="65"/>
        <v>20</v>
      </c>
      <c r="AI56" s="25">
        <f t="shared" si="49"/>
        <v>349.74720000000002</v>
      </c>
      <c r="AJ56" s="53">
        <f t="shared" si="58"/>
        <v>465.16377600000004</v>
      </c>
      <c r="AK56" s="520" t="str">
        <f t="shared" si="59"/>
        <v>6 inch</v>
      </c>
      <c r="AL56" s="483">
        <f t="shared" si="60"/>
        <v>0</v>
      </c>
      <c r="AM56" s="56">
        <f t="shared" si="61"/>
        <v>2</v>
      </c>
      <c r="AN56" s="483">
        <f t="shared" si="62"/>
        <v>0</v>
      </c>
      <c r="AO56" s="56">
        <f t="shared" si="63"/>
        <v>4</v>
      </c>
      <c r="AP56" s="489">
        <v>800</v>
      </c>
      <c r="AQ56" s="25">
        <v>34</v>
      </c>
      <c r="AR56" s="3">
        <v>48</v>
      </c>
      <c r="AS56" s="3">
        <v>28</v>
      </c>
      <c r="AT56" s="312">
        <f t="shared" si="64"/>
        <v>47.944444444444443</v>
      </c>
      <c r="AU56" s="287">
        <f t="shared" si="50"/>
        <v>7576.8023946666663</v>
      </c>
      <c r="AV56" s="520"/>
      <c r="AW56" s="520"/>
      <c r="AX56" s="531"/>
      <c r="AY56" s="494"/>
      <c r="AZ56" s="58"/>
      <c r="BA56" s="494"/>
    </row>
    <row r="57" spans="1:53">
      <c r="A57" s="393">
        <f t="shared" si="51"/>
        <v>18</v>
      </c>
      <c r="B57" s="388">
        <v>400</v>
      </c>
      <c r="C57" s="389">
        <v>81</v>
      </c>
      <c r="D57" s="390">
        <v>380</v>
      </c>
      <c r="E57" s="391">
        <f t="shared" si="52"/>
        <v>66.851083800904036</v>
      </c>
      <c r="F57" s="392">
        <f t="shared" si="53"/>
        <v>5</v>
      </c>
      <c r="G57" s="393">
        <f t="shared" si="33"/>
        <v>179.76000000000002</v>
      </c>
      <c r="H57" s="394">
        <f t="shared" si="54"/>
        <v>311.35345316858138</v>
      </c>
      <c r="I57" s="397">
        <f t="shared" si="34"/>
        <v>20</v>
      </c>
      <c r="J57" s="396">
        <f t="shared" si="35"/>
        <v>80.676000000000002</v>
      </c>
      <c r="K57" s="394">
        <f t="shared" si="36"/>
        <v>44</v>
      </c>
      <c r="L57" s="397">
        <f t="shared" si="37"/>
        <v>30</v>
      </c>
      <c r="M57" s="1053">
        <f t="shared" si="38"/>
        <v>86.906408941175243</v>
      </c>
      <c r="N57" s="394">
        <f>LOOKUP(M57,'Circuit Breakers'!$B$5:$B$38,'Circuit Breakers'!$C$5:$C$38)</f>
        <v>90</v>
      </c>
      <c r="O57" s="397">
        <f t="shared" si="39"/>
        <v>30</v>
      </c>
      <c r="P57" s="1053">
        <f t="shared" si="40"/>
        <v>104.87880000000001</v>
      </c>
      <c r="Q57" s="394">
        <f>LOOKUP(P57,'Circuit Breakers'!$B$5:$B$38,'Circuit Breakers'!$C$5:$C$38)</f>
        <v>110</v>
      </c>
      <c r="R57" s="397">
        <f t="shared" si="41"/>
        <v>30</v>
      </c>
      <c r="S57" s="1053">
        <f t="shared" si="42"/>
        <v>105.3</v>
      </c>
      <c r="T57" s="1127">
        <f>LOOKUP(S57,'Circuit Breakers'!$B$5:$B$38,'Circuit Breakers'!$C$5:$C$38)</f>
        <v>110</v>
      </c>
      <c r="U57" s="397">
        <f t="shared" si="43"/>
        <v>15</v>
      </c>
      <c r="V57" s="399">
        <f t="shared" si="44"/>
        <v>76.878746371039639</v>
      </c>
      <c r="W57" s="389" t="str">
        <f>LOOKUP(V57,'Wire-Cables Ampacities'!$B$5:$B$35,'Wire-Cables Ampacities'!$C$5:$C$35)</f>
        <v>#6</v>
      </c>
      <c r="X57" s="397">
        <f t="shared" si="45"/>
        <v>10</v>
      </c>
      <c r="Y57" s="399">
        <f t="shared" si="46"/>
        <v>88.743600000000015</v>
      </c>
      <c r="Z57" s="389" t="str">
        <f>LOOKUP(Y57,'Wire-Cables Ampacities'!$B$5:$B$35,'Wire-Cables Ampacities'!$C$5:$C$35)</f>
        <v>#4</v>
      </c>
      <c r="AA57" s="397">
        <f t="shared" si="55"/>
        <v>10</v>
      </c>
      <c r="AB57" s="399">
        <f t="shared" si="47"/>
        <v>89.100000000000009</v>
      </c>
      <c r="AC57" s="389" t="str">
        <f>LOOKUP(AB57,'Wire-Cables Ampacities'!$B$5:$B$35,'Wire-Cables Ampacities'!$C$5:$C$35)</f>
        <v>#4</v>
      </c>
      <c r="AD57" s="400">
        <f t="shared" si="56"/>
        <v>2.8019999999999996</v>
      </c>
      <c r="AE57" s="398">
        <f t="shared" si="48"/>
        <v>9560.8218839999972</v>
      </c>
      <c r="AF57" s="401">
        <f t="shared" si="57"/>
        <v>40</v>
      </c>
      <c r="AG57" s="535">
        <f t="shared" si="57"/>
        <v>55</v>
      </c>
      <c r="AH57" s="397">
        <f t="shared" si="65"/>
        <v>20</v>
      </c>
      <c r="AI57" s="396">
        <f t="shared" si="49"/>
        <v>394.52159999999998</v>
      </c>
      <c r="AJ57" s="399">
        <f t="shared" si="58"/>
        <v>524.71372799999995</v>
      </c>
      <c r="AK57" s="564" t="str">
        <f t="shared" si="59"/>
        <v>6 inch</v>
      </c>
      <c r="AL57" s="485">
        <f t="shared" si="60"/>
        <v>0</v>
      </c>
      <c r="AM57" s="398">
        <f t="shared" si="61"/>
        <v>2</v>
      </c>
      <c r="AN57" s="485">
        <f t="shared" si="62"/>
        <v>0</v>
      </c>
      <c r="AO57" s="398">
        <f t="shared" si="63"/>
        <v>4</v>
      </c>
      <c r="AP57" s="539">
        <v>800</v>
      </c>
      <c r="AQ57" s="396">
        <v>34</v>
      </c>
      <c r="AR57" s="403">
        <v>48</v>
      </c>
      <c r="AS57" s="403">
        <v>28</v>
      </c>
      <c r="AT57" s="404">
        <f t="shared" si="64"/>
        <v>47.944444444444443</v>
      </c>
      <c r="AU57" s="405">
        <f t="shared" si="50"/>
        <v>8661.8635506666633</v>
      </c>
      <c r="AV57" s="520"/>
      <c r="AW57" s="520"/>
      <c r="AX57" s="531"/>
      <c r="AY57" s="494"/>
      <c r="AZ57" s="58"/>
      <c r="BA57" s="494"/>
    </row>
    <row r="58" spans="1:53">
      <c r="A58" s="295">
        <f t="shared" si="51"/>
        <v>24</v>
      </c>
      <c r="B58" s="66">
        <v>400</v>
      </c>
      <c r="C58" s="68">
        <v>108</v>
      </c>
      <c r="D58" s="186">
        <v>380</v>
      </c>
      <c r="E58" s="45">
        <f t="shared" si="52"/>
        <v>89.641226005757687</v>
      </c>
      <c r="F58" s="15">
        <f t="shared" si="53"/>
        <v>5</v>
      </c>
      <c r="G58" s="295">
        <f t="shared" si="33"/>
        <v>179.76000000000002</v>
      </c>
      <c r="H58" s="158">
        <f t="shared" si="54"/>
        <v>311.35345316858138</v>
      </c>
      <c r="I58" s="55">
        <f t="shared" si="34"/>
        <v>20</v>
      </c>
      <c r="J58" s="25">
        <f t="shared" si="35"/>
        <v>107.56799999999998</v>
      </c>
      <c r="K58" s="158">
        <f t="shared" si="36"/>
        <v>59</v>
      </c>
      <c r="L58" s="55">
        <f t="shared" si="37"/>
        <v>30</v>
      </c>
      <c r="M58" s="1051">
        <f t="shared" si="38"/>
        <v>116.53359380748499</v>
      </c>
      <c r="N58" s="158">
        <f>LOOKUP(M58,'Circuit Breakers'!$B$5:$B$38,'Circuit Breakers'!$C$5:$C$38)</f>
        <v>125</v>
      </c>
      <c r="O58" s="55">
        <f t="shared" si="39"/>
        <v>30</v>
      </c>
      <c r="P58" s="1051">
        <f t="shared" si="40"/>
        <v>139.83839999999998</v>
      </c>
      <c r="Q58" s="158">
        <f>LOOKUP(P58,'Circuit Breakers'!$B$5:$B$38,'Circuit Breakers'!$C$5:$C$38)</f>
        <v>150</v>
      </c>
      <c r="R58" s="55">
        <f t="shared" si="41"/>
        <v>30</v>
      </c>
      <c r="S58" s="1051">
        <f t="shared" si="42"/>
        <v>140.4</v>
      </c>
      <c r="T58" s="1064">
        <f>LOOKUP(S58,'Circuit Breakers'!$B$5:$B$38,'Circuit Breakers'!$C$5:$C$38)</f>
        <v>150</v>
      </c>
      <c r="U58" s="55">
        <f t="shared" si="43"/>
        <v>15</v>
      </c>
      <c r="V58" s="53">
        <f t="shared" si="44"/>
        <v>103.08740990662133</v>
      </c>
      <c r="W58" s="68" t="str">
        <f>LOOKUP(V58,'Wire-Cables Ampacities'!$B$5:$B$35,'Wire-Cables Ampacities'!$C$5:$C$35)</f>
        <v>#4</v>
      </c>
      <c r="X58" s="55">
        <f t="shared" si="45"/>
        <v>10</v>
      </c>
      <c r="Y58" s="53">
        <f t="shared" si="46"/>
        <v>118.3248</v>
      </c>
      <c r="Z58" s="68" t="str">
        <f>LOOKUP(Y58,'Wire-Cables Ampacities'!$B$5:$B$35,'Wire-Cables Ampacities'!$C$5:$C$35)</f>
        <v>#3</v>
      </c>
      <c r="AA58" s="55">
        <f t="shared" si="55"/>
        <v>10</v>
      </c>
      <c r="AB58" s="53">
        <f t="shared" si="47"/>
        <v>118.80000000000001</v>
      </c>
      <c r="AC58" s="68" t="str">
        <f>LOOKUP(AB58,'Wire-Cables Ampacities'!$B$5:$B$35,'Wire-Cables Ampacities'!$C$5:$C$35)</f>
        <v>#3</v>
      </c>
      <c r="AD58" s="81">
        <f t="shared" si="56"/>
        <v>3.7559999999999998</v>
      </c>
      <c r="AE58" s="56">
        <f t="shared" si="48"/>
        <v>12816.005351999998</v>
      </c>
      <c r="AF58" s="72">
        <f t="shared" si="57"/>
        <v>40</v>
      </c>
      <c r="AG58" s="61">
        <f t="shared" si="57"/>
        <v>55</v>
      </c>
      <c r="AH58" s="55">
        <f t="shared" si="65"/>
        <v>20</v>
      </c>
      <c r="AI58" s="25">
        <f t="shared" si="49"/>
        <v>528.84479999999996</v>
      </c>
      <c r="AJ58" s="53">
        <f t="shared" si="58"/>
        <v>703.36358399999995</v>
      </c>
      <c r="AK58" s="520" t="str">
        <f t="shared" si="59"/>
        <v>6 inch</v>
      </c>
      <c r="AL58" s="483">
        <f t="shared" si="60"/>
        <v>0</v>
      </c>
      <c r="AM58" s="56">
        <f t="shared" si="61"/>
        <v>4</v>
      </c>
      <c r="AN58" s="483">
        <f t="shared" si="62"/>
        <v>0</v>
      </c>
      <c r="AO58" s="56">
        <f t="shared" si="63"/>
        <v>4</v>
      </c>
      <c r="AP58" s="489">
        <v>800</v>
      </c>
      <c r="AQ58" s="25">
        <v>34</v>
      </c>
      <c r="AR58" s="3">
        <v>48</v>
      </c>
      <c r="AS58" s="3">
        <v>28</v>
      </c>
      <c r="AT58" s="312">
        <f t="shared" si="64"/>
        <v>47.944444444444443</v>
      </c>
      <c r="AU58" s="287">
        <f t="shared" si="50"/>
        <v>11917.047018666664</v>
      </c>
      <c r="AV58" s="520"/>
      <c r="AW58" s="520"/>
      <c r="AX58" s="531"/>
      <c r="AY58" s="494"/>
      <c r="AZ58" s="58"/>
      <c r="BA58" s="494"/>
    </row>
    <row r="59" spans="1:53">
      <c r="A59" s="355">
        <f t="shared" si="51"/>
        <v>30</v>
      </c>
      <c r="B59" s="350">
        <v>400</v>
      </c>
      <c r="C59" s="351">
        <v>135</v>
      </c>
      <c r="D59" s="352">
        <v>380</v>
      </c>
      <c r="E59" s="353">
        <f t="shared" si="52"/>
        <v>110.91202539695443</v>
      </c>
      <c r="F59" s="354">
        <f t="shared" si="53"/>
        <v>5</v>
      </c>
      <c r="G59" s="355">
        <f t="shared" si="33"/>
        <v>179.76000000000002</v>
      </c>
      <c r="H59" s="356">
        <f t="shared" si="54"/>
        <v>311.35345316858138</v>
      </c>
      <c r="I59" s="358">
        <f t="shared" si="34"/>
        <v>20</v>
      </c>
      <c r="J59" s="28">
        <f t="shared" si="35"/>
        <v>134.45999999999998</v>
      </c>
      <c r="K59" s="356">
        <f t="shared" si="36"/>
        <v>73</v>
      </c>
      <c r="L59" s="358">
        <f t="shared" si="37"/>
        <v>30</v>
      </c>
      <c r="M59" s="1050">
        <f t="shared" si="38"/>
        <v>144.18563301604078</v>
      </c>
      <c r="N59" s="356">
        <f>LOOKUP(M59,'Circuit Breakers'!$B$5:$B$38,'Circuit Breakers'!$C$5:$C$38)</f>
        <v>150</v>
      </c>
      <c r="O59" s="358">
        <f t="shared" si="39"/>
        <v>30</v>
      </c>
      <c r="P59" s="1050">
        <f t="shared" si="40"/>
        <v>174.79799999999997</v>
      </c>
      <c r="Q59" s="356">
        <f>LOOKUP(P59,'Circuit Breakers'!$B$5:$B$38,'Circuit Breakers'!$C$5:$C$38)</f>
        <v>175</v>
      </c>
      <c r="R59" s="358">
        <f t="shared" si="41"/>
        <v>30</v>
      </c>
      <c r="S59" s="1050">
        <f t="shared" si="42"/>
        <v>175.5</v>
      </c>
      <c r="T59" s="1125">
        <f>LOOKUP(S59,'Circuit Breakers'!$B$5:$B$38,'Circuit Breakers'!$C$5:$C$38)</f>
        <v>175</v>
      </c>
      <c r="U59" s="358">
        <f t="shared" si="43"/>
        <v>15</v>
      </c>
      <c r="V59" s="360">
        <f t="shared" si="44"/>
        <v>127.54882920649759</v>
      </c>
      <c r="W59" s="351" t="str">
        <f>LOOKUP(V59,'Wire-Cables Ampacities'!$B$5:$B$35,'Wire-Cables Ampacities'!$C$5:$C$35)</f>
        <v>#2</v>
      </c>
      <c r="X59" s="358">
        <f t="shared" si="45"/>
        <v>10</v>
      </c>
      <c r="Y59" s="360">
        <f t="shared" si="46"/>
        <v>147.90599999999998</v>
      </c>
      <c r="Z59" s="351" t="str">
        <f>LOOKUP(Y59,'Wire-Cables Ampacities'!$B$5:$B$35,'Wire-Cables Ampacities'!$C$5:$C$35)</f>
        <v>#1</v>
      </c>
      <c r="AA59" s="358">
        <f t="shared" si="55"/>
        <v>10</v>
      </c>
      <c r="AB59" s="360">
        <f t="shared" si="47"/>
        <v>148.5</v>
      </c>
      <c r="AC59" s="351" t="str">
        <f>LOOKUP(AB59,'Wire-Cables Ampacities'!$B$5:$B$35,'Wire-Cables Ampacities'!$C$5:$C$35)</f>
        <v>#1</v>
      </c>
      <c r="AD59" s="361">
        <f t="shared" si="56"/>
        <v>4.6500000000000004</v>
      </c>
      <c r="AE59" s="359">
        <f t="shared" si="48"/>
        <v>15866.460300000001</v>
      </c>
      <c r="AF59" s="362">
        <f t="shared" si="57"/>
        <v>40</v>
      </c>
      <c r="AG59" s="533">
        <f t="shared" si="57"/>
        <v>55</v>
      </c>
      <c r="AH59" s="358">
        <f t="shared" si="65"/>
        <v>20</v>
      </c>
      <c r="AI59" s="28">
        <f t="shared" si="49"/>
        <v>654.72</v>
      </c>
      <c r="AJ59" s="360">
        <f t="shared" si="58"/>
        <v>870.77760000000012</v>
      </c>
      <c r="AK59" s="562" t="str">
        <f t="shared" si="59"/>
        <v>6 inch</v>
      </c>
      <c r="AL59" s="482">
        <f t="shared" si="60"/>
        <v>0</v>
      </c>
      <c r="AM59" s="359">
        <f t="shared" si="61"/>
        <v>4</v>
      </c>
      <c r="AN59" s="482">
        <f t="shared" si="62"/>
        <v>0</v>
      </c>
      <c r="AO59" s="359">
        <f t="shared" si="63"/>
        <v>6</v>
      </c>
      <c r="AP59" s="537">
        <v>800</v>
      </c>
      <c r="AQ59" s="28">
        <v>34</v>
      </c>
      <c r="AR59" s="27">
        <v>48</v>
      </c>
      <c r="AS59" s="27">
        <v>28</v>
      </c>
      <c r="AT59" s="364">
        <f t="shared" si="64"/>
        <v>47.944444444444443</v>
      </c>
      <c r="AU59" s="365">
        <f t="shared" si="50"/>
        <v>14967.501966666667</v>
      </c>
      <c r="AV59" s="520"/>
      <c r="AW59" s="520"/>
      <c r="AX59" s="531"/>
      <c r="AY59" s="494"/>
      <c r="AZ59" s="58"/>
      <c r="BA59" s="494"/>
    </row>
    <row r="60" spans="1:53">
      <c r="A60" s="295">
        <f t="shared" si="51"/>
        <v>32</v>
      </c>
      <c r="B60" s="66">
        <v>400</v>
      </c>
      <c r="C60" s="68">
        <v>144</v>
      </c>
      <c r="D60" s="186">
        <v>380</v>
      </c>
      <c r="E60" s="45">
        <f t="shared" si="52"/>
        <v>118.50873946523899</v>
      </c>
      <c r="F60" s="15">
        <f t="shared" si="53"/>
        <v>5</v>
      </c>
      <c r="G60" s="295">
        <f t="shared" si="33"/>
        <v>179.76000000000002</v>
      </c>
      <c r="H60" s="158">
        <f t="shared" si="54"/>
        <v>311.35345316858138</v>
      </c>
      <c r="I60" s="55">
        <f t="shared" si="34"/>
        <v>20</v>
      </c>
      <c r="J60" s="25">
        <f t="shared" si="35"/>
        <v>143.42399999999998</v>
      </c>
      <c r="K60" s="158">
        <f t="shared" si="36"/>
        <v>78</v>
      </c>
      <c r="L60" s="55">
        <f t="shared" si="37"/>
        <v>30</v>
      </c>
      <c r="M60" s="1051">
        <f t="shared" si="38"/>
        <v>154.0613613048107</v>
      </c>
      <c r="N60" s="158">
        <f>LOOKUP(M60,'Circuit Breakers'!$B$5:$B$38,'Circuit Breakers'!$C$5:$C$38)</f>
        <v>175</v>
      </c>
      <c r="O60" s="55">
        <f t="shared" si="39"/>
        <v>30</v>
      </c>
      <c r="P60" s="1051">
        <f t="shared" si="40"/>
        <v>186.45119999999997</v>
      </c>
      <c r="Q60" s="158">
        <f>LOOKUP(P60,'Circuit Breakers'!$B$5:$B$38,'Circuit Breakers'!$C$5:$C$38)</f>
        <v>200</v>
      </c>
      <c r="R60" s="55">
        <f t="shared" si="41"/>
        <v>30</v>
      </c>
      <c r="S60" s="1051">
        <f t="shared" si="42"/>
        <v>187.20000000000002</v>
      </c>
      <c r="T60" s="1064">
        <f>LOOKUP(S60,'Circuit Breakers'!$B$5:$B$38,'Circuit Breakers'!$C$5:$C$38)</f>
        <v>200</v>
      </c>
      <c r="U60" s="55">
        <f t="shared" si="43"/>
        <v>15</v>
      </c>
      <c r="V60" s="53">
        <f t="shared" si="44"/>
        <v>136.28505038502482</v>
      </c>
      <c r="W60" s="68" t="str">
        <f>LOOKUP(V60,'Wire-Cables Ampacities'!$B$5:$B$35,'Wire-Cables Ampacities'!$C$5:$C$35)</f>
        <v>#2</v>
      </c>
      <c r="X60" s="55">
        <f t="shared" si="45"/>
        <v>10</v>
      </c>
      <c r="Y60" s="53">
        <f t="shared" si="46"/>
        <v>157.76639999999998</v>
      </c>
      <c r="Z60" s="68" t="str">
        <f>LOOKUP(Y60,'Wire-Cables Ampacities'!$B$5:$B$35,'Wire-Cables Ampacities'!$C$5:$C$35)</f>
        <v>#1</v>
      </c>
      <c r="AA60" s="55">
        <f t="shared" si="55"/>
        <v>10</v>
      </c>
      <c r="AB60" s="53">
        <f t="shared" si="47"/>
        <v>158.4</v>
      </c>
      <c r="AC60" s="68" t="str">
        <f>LOOKUP(AB60,'Wire-Cables Ampacities'!$B$5:$B$35,'Wire-Cables Ampacities'!$C$5:$C$35)</f>
        <v>#1</v>
      </c>
      <c r="AD60" s="81">
        <f t="shared" si="56"/>
        <v>4.968</v>
      </c>
      <c r="AE60" s="56">
        <f t="shared" si="48"/>
        <v>16951.521455999999</v>
      </c>
      <c r="AF60" s="72">
        <f t="shared" si="57"/>
        <v>40</v>
      </c>
      <c r="AG60" s="61">
        <f t="shared" si="57"/>
        <v>55</v>
      </c>
      <c r="AH60" s="55">
        <f t="shared" si="65"/>
        <v>20</v>
      </c>
      <c r="AI60" s="25">
        <f t="shared" si="49"/>
        <v>699.49440000000004</v>
      </c>
      <c r="AJ60" s="53">
        <f t="shared" si="58"/>
        <v>930.32755200000008</v>
      </c>
      <c r="AK60" s="520" t="str">
        <f t="shared" si="59"/>
        <v>6 inch</v>
      </c>
      <c r="AL60" s="483">
        <f t="shared" si="60"/>
        <v>0</v>
      </c>
      <c r="AM60" s="56">
        <f t="shared" si="61"/>
        <v>4</v>
      </c>
      <c r="AN60" s="483">
        <f t="shared" si="62"/>
        <v>0</v>
      </c>
      <c r="AO60" s="56">
        <f t="shared" si="63"/>
        <v>6</v>
      </c>
      <c r="AP60" s="489">
        <v>800</v>
      </c>
      <c r="AQ60" s="25">
        <v>34</v>
      </c>
      <c r="AR60" s="3">
        <v>48</v>
      </c>
      <c r="AS60" s="3">
        <v>28</v>
      </c>
      <c r="AT60" s="312">
        <f t="shared" si="64"/>
        <v>47.944444444444443</v>
      </c>
      <c r="AU60" s="287">
        <f t="shared" si="50"/>
        <v>16052.563122666665</v>
      </c>
      <c r="AV60" s="520"/>
      <c r="AW60" s="520"/>
      <c r="AX60" s="531"/>
      <c r="AY60" s="494"/>
      <c r="AZ60" s="58"/>
      <c r="BA60" s="494"/>
    </row>
    <row r="61" spans="1:53">
      <c r="A61" s="375">
        <f t="shared" si="51"/>
        <v>40</v>
      </c>
      <c r="B61" s="370">
        <v>400</v>
      </c>
      <c r="C61" s="371">
        <v>180</v>
      </c>
      <c r="D61" s="372">
        <v>380</v>
      </c>
      <c r="E61" s="373">
        <f t="shared" si="52"/>
        <v>147.37625292472026</v>
      </c>
      <c r="F61" s="374">
        <f t="shared" si="53"/>
        <v>5</v>
      </c>
      <c r="G61" s="375">
        <f t="shared" si="33"/>
        <v>179.76000000000002</v>
      </c>
      <c r="H61" s="376">
        <f t="shared" si="54"/>
        <v>311.35345316858138</v>
      </c>
      <c r="I61" s="379">
        <f t="shared" si="34"/>
        <v>20</v>
      </c>
      <c r="J61" s="378">
        <f t="shared" si="35"/>
        <v>179.28</v>
      </c>
      <c r="K61" s="376">
        <f t="shared" si="36"/>
        <v>97</v>
      </c>
      <c r="L61" s="379">
        <f t="shared" si="37"/>
        <v>30</v>
      </c>
      <c r="M61" s="1052">
        <f t="shared" si="38"/>
        <v>191.58912880213634</v>
      </c>
      <c r="N61" s="376">
        <f>LOOKUP(M61,'Circuit Breakers'!$B$5:$B$38,'Circuit Breakers'!$C$5:$C$38)</f>
        <v>200</v>
      </c>
      <c r="O61" s="379">
        <f t="shared" si="39"/>
        <v>30</v>
      </c>
      <c r="P61" s="1052">
        <f t="shared" si="40"/>
        <v>233.06400000000002</v>
      </c>
      <c r="Q61" s="376">
        <f>LOOKUP(P61,'Circuit Breakers'!$B$5:$B$38,'Circuit Breakers'!$C$5:$C$38)</f>
        <v>250</v>
      </c>
      <c r="R61" s="379">
        <f t="shared" si="41"/>
        <v>30</v>
      </c>
      <c r="S61" s="1052">
        <f t="shared" si="42"/>
        <v>234</v>
      </c>
      <c r="T61" s="1126">
        <f>LOOKUP(S61,'Circuit Breakers'!$B$5:$B$38,'Circuit Breakers'!$C$5:$C$38)</f>
        <v>250</v>
      </c>
      <c r="U61" s="379">
        <f t="shared" si="43"/>
        <v>15</v>
      </c>
      <c r="V61" s="381">
        <f t="shared" si="44"/>
        <v>169.48269086342827</v>
      </c>
      <c r="W61" s="371" t="str">
        <f>LOOKUP(V61,'Wire-Cables Ampacities'!$B$5:$B$35,'Wire-Cables Ampacities'!$C$5:$C$35)</f>
        <v>#1/0</v>
      </c>
      <c r="X61" s="379">
        <f t="shared" si="45"/>
        <v>10</v>
      </c>
      <c r="Y61" s="381">
        <f t="shared" si="46"/>
        <v>197.20800000000003</v>
      </c>
      <c r="Z61" s="371" t="str">
        <f>LOOKUP(Y61,'Wire-Cables Ampacities'!$B$5:$B$35,'Wire-Cables Ampacities'!$C$5:$C$35)</f>
        <v>#2/0</v>
      </c>
      <c r="AA61" s="379">
        <f t="shared" si="55"/>
        <v>10</v>
      </c>
      <c r="AB61" s="381">
        <f t="shared" si="47"/>
        <v>198.00000000000003</v>
      </c>
      <c r="AC61" s="371" t="str">
        <f>LOOKUP(AB61,'Wire-Cables Ampacities'!$B$5:$B$35,'Wire-Cables Ampacities'!$C$5:$C$35)</f>
        <v>#2/0</v>
      </c>
      <c r="AD61" s="382">
        <f t="shared" si="56"/>
        <v>6.1799999999999988</v>
      </c>
      <c r="AE61" s="380">
        <f t="shared" si="48"/>
        <v>21087.037559999997</v>
      </c>
      <c r="AF61" s="383">
        <f t="shared" si="57"/>
        <v>40</v>
      </c>
      <c r="AG61" s="534">
        <f t="shared" si="57"/>
        <v>55</v>
      </c>
      <c r="AH61" s="379">
        <f t="shared" si="65"/>
        <v>20</v>
      </c>
      <c r="AI61" s="378">
        <f t="shared" si="49"/>
        <v>870.14399999999966</v>
      </c>
      <c r="AJ61" s="381">
        <f t="shared" si="58"/>
        <v>1157.2915199999995</v>
      </c>
      <c r="AK61" s="563" t="str">
        <f t="shared" si="59"/>
        <v>6 inch</v>
      </c>
      <c r="AL61" s="484">
        <f t="shared" si="60"/>
        <v>0</v>
      </c>
      <c r="AM61" s="380">
        <f t="shared" si="61"/>
        <v>6</v>
      </c>
      <c r="AN61" s="484">
        <f t="shared" si="62"/>
        <v>0</v>
      </c>
      <c r="AO61" s="380">
        <f t="shared" si="63"/>
        <v>6</v>
      </c>
      <c r="AP61" s="538">
        <v>1250</v>
      </c>
      <c r="AQ61" s="378">
        <v>38</v>
      </c>
      <c r="AR61" s="385">
        <v>70</v>
      </c>
      <c r="AS61" s="385">
        <v>28</v>
      </c>
      <c r="AT61" s="386">
        <f t="shared" si="64"/>
        <v>71.555555555555557</v>
      </c>
      <c r="AU61" s="387">
        <f t="shared" si="50"/>
        <v>19745.370893333329</v>
      </c>
      <c r="AV61" s="520"/>
      <c r="AW61" s="520"/>
      <c r="AX61" s="531"/>
      <c r="AY61" s="494"/>
      <c r="AZ61" s="58"/>
      <c r="BA61" s="494"/>
    </row>
    <row r="62" spans="1:53">
      <c r="A62" s="295">
        <f t="shared" si="51"/>
        <v>222.22222222222223</v>
      </c>
      <c r="B62" s="66">
        <v>100</v>
      </c>
      <c r="C62" s="68">
        <v>1000</v>
      </c>
      <c r="D62" s="186">
        <v>380</v>
      </c>
      <c r="E62" s="45">
        <f t="shared" si="52"/>
        <v>205.11127984368284</v>
      </c>
      <c r="F62" s="15">
        <f t="shared" si="53"/>
        <v>5</v>
      </c>
      <c r="G62" s="295">
        <f t="shared" si="33"/>
        <v>44.940000000000005</v>
      </c>
      <c r="H62" s="158">
        <f t="shared" si="54"/>
        <v>77.838363292145345</v>
      </c>
      <c r="I62" s="55">
        <f t="shared" si="34"/>
        <v>20</v>
      </c>
      <c r="J62" s="25">
        <f t="shared" si="35"/>
        <v>996</v>
      </c>
      <c r="K62" s="158">
        <f t="shared" si="36"/>
        <v>135</v>
      </c>
      <c r="L62" s="55">
        <f t="shared" si="37"/>
        <v>30</v>
      </c>
      <c r="M62" s="1051">
        <f t="shared" si="38"/>
        <v>266.64466379678771</v>
      </c>
      <c r="N62" s="158">
        <f>LOOKUP(M62,'Circuit Breakers'!$B$5:$B$38,'Circuit Breakers'!$C$5:$C$38)</f>
        <v>300</v>
      </c>
      <c r="O62" s="55">
        <f t="shared" si="39"/>
        <v>30</v>
      </c>
      <c r="P62" s="1051">
        <f t="shared" si="40"/>
        <v>1294.8</v>
      </c>
      <c r="Q62" s="158" t="str">
        <f>LOOKUP(P62,'Circuit Breakers'!$B$5:$B$38,'Circuit Breakers'!$C$5:$C$38)</f>
        <v>Check</v>
      </c>
      <c r="R62" s="55">
        <f t="shared" si="41"/>
        <v>30</v>
      </c>
      <c r="S62" s="1051">
        <f t="shared" si="42"/>
        <v>1300</v>
      </c>
      <c r="T62" s="1064" t="str">
        <f>LOOKUP(S62,'Circuit Breakers'!$B$5:$B$38,'Circuit Breakers'!$C$5:$C$38)</f>
        <v>Check</v>
      </c>
      <c r="U62" s="55">
        <f t="shared" si="43"/>
        <v>15</v>
      </c>
      <c r="V62" s="53">
        <f t="shared" si="44"/>
        <v>235.87797182023525</v>
      </c>
      <c r="W62" s="68" t="str">
        <f>LOOKUP(V62,'Wire-Cables Ampacities'!$B$5:$B$35,'Wire-Cables Ampacities'!$C$5:$C$35)</f>
        <v>#3/0</v>
      </c>
      <c r="X62" s="55">
        <f t="shared" si="45"/>
        <v>10</v>
      </c>
      <c r="Y62" s="53">
        <f t="shared" si="46"/>
        <v>1095.6000000000001</v>
      </c>
      <c r="Z62" s="68" t="str">
        <f>LOOKUP(Y62,'Wire-Cables Ampacities'!$B$5:$B$35,'Wire-Cables Ampacities'!$C$5:$C$35)</f>
        <v>Buss</v>
      </c>
      <c r="AA62" s="55">
        <f t="shared" si="55"/>
        <v>10</v>
      </c>
      <c r="AB62" s="53">
        <f t="shared" si="47"/>
        <v>1100</v>
      </c>
      <c r="AC62" s="68" t="str">
        <f>LOOKUP(AB62,'Wire-Cables Ampacities'!$B$5:$B$35,'Wire-Cables Ampacities'!$C$5:$C$35)</f>
        <v>Buss</v>
      </c>
      <c r="AD62" s="81">
        <f t="shared" si="56"/>
        <v>10.1</v>
      </c>
      <c r="AE62" s="56">
        <f t="shared" si="48"/>
        <v>34462.634199999993</v>
      </c>
      <c r="AF62" s="72">
        <f t="shared" si="57"/>
        <v>40</v>
      </c>
      <c r="AG62" s="61">
        <f t="shared" si="57"/>
        <v>55</v>
      </c>
      <c r="AH62" s="55">
        <f t="shared" si="65"/>
        <v>20</v>
      </c>
      <c r="AI62" s="25">
        <f t="shared" si="49"/>
        <v>1422.08</v>
      </c>
      <c r="AJ62" s="53">
        <f t="shared" si="58"/>
        <v>1891.3664000000001</v>
      </c>
      <c r="AK62" s="520" t="str">
        <f t="shared" si="59"/>
        <v>6 inch</v>
      </c>
      <c r="AL62" s="483">
        <f t="shared" si="60"/>
        <v>0</v>
      </c>
      <c r="AM62" s="56">
        <f t="shared" si="61"/>
        <v>8</v>
      </c>
      <c r="AN62" s="483">
        <f t="shared" si="62"/>
        <v>0</v>
      </c>
      <c r="AO62" s="56">
        <f t="shared" si="63"/>
        <v>10</v>
      </c>
      <c r="AP62" s="489">
        <v>1250</v>
      </c>
      <c r="AQ62" s="25">
        <v>38</v>
      </c>
      <c r="AR62" s="3">
        <v>70</v>
      </c>
      <c r="AS62" s="3">
        <v>28</v>
      </c>
      <c r="AT62" s="312">
        <f t="shared" si="64"/>
        <v>71.555555555555557</v>
      </c>
      <c r="AU62" s="287">
        <f t="shared" si="50"/>
        <v>33120.967533333329</v>
      </c>
      <c r="AV62" s="520"/>
      <c r="AW62" s="520"/>
      <c r="AX62" s="531"/>
      <c r="AY62" s="494"/>
      <c r="AZ62" s="58"/>
      <c r="BA62" s="494"/>
    </row>
    <row r="63" spans="1:53" s="84" customFormat="1" ht="13.5" thickBot="1">
      <c r="A63" s="410"/>
      <c r="B63" s="406"/>
      <c r="C63" s="69"/>
      <c r="D63" s="407"/>
      <c r="E63" s="408"/>
      <c r="F63" s="409"/>
      <c r="G63" s="410"/>
      <c r="H63" s="411"/>
      <c r="I63" s="412"/>
      <c r="J63" s="413"/>
      <c r="K63" s="431"/>
      <c r="L63" s="414"/>
      <c r="M63" s="1054"/>
      <c r="N63" s="415"/>
      <c r="O63" s="414"/>
      <c r="P63" s="1054"/>
      <c r="Q63" s="415"/>
      <c r="R63" s="414"/>
      <c r="S63" s="1054"/>
      <c r="T63" s="416"/>
      <c r="U63" s="414"/>
      <c r="V63" s="416"/>
      <c r="W63" s="409"/>
      <c r="X63" s="414"/>
      <c r="Y63" s="416"/>
      <c r="Z63" s="409"/>
      <c r="AA63" s="414"/>
      <c r="AB63" s="416"/>
      <c r="AC63" s="409"/>
      <c r="AD63" s="417"/>
      <c r="AE63" s="415"/>
      <c r="AF63" s="418"/>
      <c r="AG63" s="536"/>
      <c r="AH63" s="414"/>
      <c r="AI63" s="413"/>
      <c r="AJ63" s="416"/>
      <c r="AK63" s="565"/>
      <c r="AL63" s="419"/>
      <c r="AM63" s="420"/>
      <c r="AN63" s="419"/>
      <c r="AO63" s="420"/>
      <c r="AP63" s="540"/>
      <c r="AQ63" s="413"/>
      <c r="AR63" s="422"/>
      <c r="AS63" s="422"/>
      <c r="AT63" s="423"/>
      <c r="AU63" s="424"/>
      <c r="AV63" s="515"/>
      <c r="AW63" s="515"/>
      <c r="AX63" s="495"/>
      <c r="AY63" s="497"/>
      <c r="AZ63" s="495"/>
      <c r="BA63" s="497"/>
    </row>
    <row r="64" spans="1:53" ht="13.5" thickBot="1">
      <c r="E64"/>
      <c r="H64" s="4"/>
      <c r="I64" s="50"/>
      <c r="M64" s="4"/>
      <c r="AB64"/>
      <c r="AC64"/>
      <c r="AD64"/>
      <c r="AH64" s="4"/>
      <c r="AJ64" s="4"/>
      <c r="AK64"/>
      <c r="AM64"/>
      <c r="AO64" s="4"/>
      <c r="AP64" s="4"/>
      <c r="AQ64" s="4"/>
    </row>
    <row r="65" spans="1:53" s="472" customFormat="1" ht="13.5" thickBot="1">
      <c r="B65" s="471"/>
      <c r="F65" s="473"/>
      <c r="G65" s="473"/>
      <c r="H65" s="473"/>
      <c r="I65" s="474"/>
      <c r="J65" s="473"/>
      <c r="K65" s="473"/>
      <c r="L65" s="473"/>
      <c r="M65" s="473"/>
      <c r="AE65" s="473"/>
      <c r="AF65" s="473"/>
      <c r="AG65" s="473"/>
      <c r="AH65" s="473"/>
      <c r="AI65" s="473"/>
      <c r="AJ65" s="473"/>
      <c r="AL65" s="473"/>
      <c r="AN65" s="473"/>
      <c r="AO65" s="473"/>
      <c r="AP65" s="473"/>
      <c r="AQ65" s="473"/>
    </row>
    <row r="66" spans="1:53" ht="13.5" thickBot="1">
      <c r="AB66"/>
      <c r="AC66"/>
      <c r="AH66" s="4"/>
      <c r="AL66"/>
      <c r="AO66" s="4"/>
      <c r="AP66" s="4"/>
    </row>
    <row r="67" spans="1:53" ht="13.5" thickBot="1">
      <c r="V67" s="826" t="s">
        <v>327</v>
      </c>
      <c r="W67" s="44"/>
      <c r="X67" s="44"/>
      <c r="Y67" s="44"/>
      <c r="Z67" s="44"/>
      <c r="AA67" s="44"/>
      <c r="AB67" s="44"/>
      <c r="AC67" s="44"/>
      <c r="AD67" s="6"/>
      <c r="AF67"/>
      <c r="AH67" s="4"/>
      <c r="AJ67" s="4"/>
      <c r="AM67"/>
      <c r="AP67" s="4"/>
      <c r="AQ67" s="4"/>
      <c r="AR67" s="4"/>
      <c r="AS67" s="4"/>
    </row>
    <row r="68" spans="1:53" s="330" customFormat="1" ht="16.5" thickBot="1">
      <c r="B68" s="85" t="s">
        <v>77</v>
      </c>
      <c r="C68" s="322"/>
      <c r="D68" s="322"/>
      <c r="E68" s="322"/>
      <c r="F68" s="323"/>
      <c r="G68" s="290" t="s">
        <v>101</v>
      </c>
      <c r="H68" s="324"/>
      <c r="I68" s="325"/>
      <c r="J68" s="324"/>
      <c r="K68" s="326"/>
      <c r="L68" s="292" t="s">
        <v>83</v>
      </c>
      <c r="M68" s="329"/>
      <c r="N68" s="329"/>
      <c r="O68" s="191"/>
      <c r="P68" s="191"/>
      <c r="Q68" s="191"/>
      <c r="R68" s="191"/>
      <c r="S68" s="191"/>
      <c r="T68" s="190"/>
      <c r="U68" s="184" t="s">
        <v>84</v>
      </c>
      <c r="V68" s="327"/>
      <c r="W68" s="327"/>
      <c r="X68" s="327"/>
      <c r="Y68" s="327"/>
      <c r="Z68" s="327"/>
      <c r="AA68" s="327"/>
      <c r="AB68" s="327"/>
      <c r="AC68" s="185"/>
      <c r="AD68" s="291" t="s">
        <v>62</v>
      </c>
      <c r="AE68" s="328"/>
      <c r="AF68" s="290" t="s">
        <v>90</v>
      </c>
      <c r="AG68" s="326"/>
      <c r="AH68" s="290" t="s">
        <v>87</v>
      </c>
      <c r="AI68" s="324"/>
      <c r="AJ68" s="324"/>
      <c r="AK68" s="324"/>
      <c r="AL68" s="324"/>
      <c r="AM68" s="324"/>
      <c r="AN68" s="324"/>
      <c r="AO68" s="326"/>
      <c r="AP68" s="191" t="s">
        <v>88</v>
      </c>
      <c r="AQ68" s="329"/>
      <c r="AR68" s="329"/>
      <c r="AS68" s="329"/>
      <c r="AT68" s="329"/>
      <c r="AU68" s="185"/>
      <c r="AV68" s="184" t="s">
        <v>125</v>
      </c>
      <c r="AW68" s="44"/>
      <c r="AX68" s="44"/>
      <c r="AY68" s="44"/>
      <c r="AZ68" s="44"/>
      <c r="BA68" s="6"/>
    </row>
    <row r="69" spans="1:53" ht="13.5" thickBot="1">
      <c r="A69" s="579" t="s">
        <v>328</v>
      </c>
      <c r="B69" s="184" t="s">
        <v>76</v>
      </c>
      <c r="C69" s="6"/>
      <c r="D69" s="327" t="s">
        <v>57</v>
      </c>
      <c r="E69" s="44"/>
      <c r="F69" s="40"/>
      <c r="G69" s="111" t="s">
        <v>106</v>
      </c>
      <c r="H69" s="42"/>
      <c r="I69" s="51"/>
      <c r="J69" s="42"/>
      <c r="K69" s="42"/>
      <c r="L69" s="39" t="s">
        <v>81</v>
      </c>
      <c r="M69" s="42"/>
      <c r="N69" s="40"/>
      <c r="O69" s="39" t="s">
        <v>82</v>
      </c>
      <c r="P69" s="44"/>
      <c r="Q69" s="40"/>
      <c r="R69" s="39" t="s">
        <v>80</v>
      </c>
      <c r="S69" s="44"/>
      <c r="T69" s="40"/>
      <c r="U69" s="60" t="s">
        <v>78</v>
      </c>
      <c r="V69" s="44"/>
      <c r="W69" s="6"/>
      <c r="X69" s="41" t="s">
        <v>79</v>
      </c>
      <c r="Y69" s="44"/>
      <c r="Z69" s="6"/>
      <c r="AA69" s="39" t="s">
        <v>80</v>
      </c>
      <c r="AB69" s="44"/>
      <c r="AC69" s="44"/>
      <c r="AD69" s="88"/>
      <c r="AE69" s="89"/>
      <c r="AF69" s="60" t="s">
        <v>94</v>
      </c>
      <c r="AG69" s="42" t="s">
        <v>95</v>
      </c>
      <c r="AH69" s="547"/>
      <c r="AI69" s="545" t="s">
        <v>126</v>
      </c>
      <c r="AJ69" s="556" t="s">
        <v>127</v>
      </c>
      <c r="AK69" s="560" t="s">
        <v>149</v>
      </c>
      <c r="AL69" s="558" t="s">
        <v>66</v>
      </c>
      <c r="AM69" s="314" t="s">
        <v>66</v>
      </c>
      <c r="AN69" s="558" t="s">
        <v>66</v>
      </c>
      <c r="AO69" s="314" t="s">
        <v>66</v>
      </c>
      <c r="AP69" s="44" t="s">
        <v>68</v>
      </c>
      <c r="AQ69" s="42"/>
      <c r="AR69" s="1022" t="s">
        <v>332</v>
      </c>
      <c r="AS69" s="42"/>
      <c r="AT69" s="40"/>
      <c r="AU69" s="6"/>
      <c r="AV69" s="502" t="s">
        <v>126</v>
      </c>
      <c r="AW69" s="502" t="s">
        <v>127</v>
      </c>
      <c r="AX69" s="88" t="s">
        <v>128</v>
      </c>
      <c r="AY69" s="916"/>
      <c r="AZ69" s="88" t="s">
        <v>129</v>
      </c>
      <c r="BA69" s="89"/>
    </row>
    <row r="70" spans="1:53">
      <c r="A70" s="836" t="s">
        <v>330</v>
      </c>
      <c r="B70" s="65" t="s">
        <v>52</v>
      </c>
      <c r="C70" s="67" t="s">
        <v>16</v>
      </c>
      <c r="D70" s="65" t="s">
        <v>99</v>
      </c>
      <c r="E70" s="18" t="s">
        <v>100</v>
      </c>
      <c r="F70" s="486">
        <v>5</v>
      </c>
      <c r="G70" s="65" t="s">
        <v>50</v>
      </c>
      <c r="H70" s="67" t="s">
        <v>51</v>
      </c>
      <c r="I70" s="171">
        <v>20</v>
      </c>
      <c r="J70" s="18" t="s">
        <v>28</v>
      </c>
      <c r="K70" s="672" t="s">
        <v>29</v>
      </c>
      <c r="L70" s="1121">
        <v>30</v>
      </c>
      <c r="M70" s="1122" t="s">
        <v>60</v>
      </c>
      <c r="N70" s="1079" t="s">
        <v>329</v>
      </c>
      <c r="O70" s="1121">
        <v>30</v>
      </c>
      <c r="P70" s="1122" t="s">
        <v>60</v>
      </c>
      <c r="Q70" s="1079" t="s">
        <v>329</v>
      </c>
      <c r="R70" s="1121">
        <v>30</v>
      </c>
      <c r="S70" s="1122" t="s">
        <v>60</v>
      </c>
      <c r="T70" s="1079" t="s">
        <v>329</v>
      </c>
      <c r="U70" s="337">
        <v>15</v>
      </c>
      <c r="V70" s="62" t="s">
        <v>60</v>
      </c>
      <c r="W70" s="63" t="s">
        <v>85</v>
      </c>
      <c r="X70" s="337">
        <v>10</v>
      </c>
      <c r="Y70" s="62" t="s">
        <v>60</v>
      </c>
      <c r="Z70" s="63" t="s">
        <v>85</v>
      </c>
      <c r="AA70" s="337">
        <v>10</v>
      </c>
      <c r="AB70" s="62" t="s">
        <v>60</v>
      </c>
      <c r="AC70" s="63" t="s">
        <v>85</v>
      </c>
      <c r="AD70" s="77"/>
      <c r="AE70" s="82"/>
      <c r="AF70" s="70">
        <v>40</v>
      </c>
      <c r="AG70" s="19">
        <v>60</v>
      </c>
      <c r="AH70" s="337">
        <v>10</v>
      </c>
      <c r="AI70" s="73" t="s">
        <v>64</v>
      </c>
      <c r="AJ70" s="544" t="s">
        <v>64</v>
      </c>
      <c r="AK70" s="285"/>
      <c r="AL70" s="70">
        <v>100</v>
      </c>
      <c r="AM70" s="19">
        <v>200</v>
      </c>
      <c r="AN70" s="70">
        <v>100</v>
      </c>
      <c r="AO70" s="19">
        <v>200</v>
      </c>
      <c r="AP70" s="541" t="s">
        <v>91</v>
      </c>
      <c r="AQ70" s="18" t="s">
        <v>69</v>
      </c>
      <c r="AR70" s="18" t="s">
        <v>70</v>
      </c>
      <c r="AS70" s="18" t="s">
        <v>71</v>
      </c>
      <c r="AT70" s="197" t="s">
        <v>73</v>
      </c>
      <c r="AU70" s="285" t="s">
        <v>64</v>
      </c>
      <c r="AV70" s="286" t="s">
        <v>140</v>
      </c>
      <c r="AW70" s="286" t="s">
        <v>141</v>
      </c>
      <c r="AX70" s="77" t="s">
        <v>142</v>
      </c>
      <c r="AY70" s="204"/>
      <c r="AZ70" s="77" t="s">
        <v>142</v>
      </c>
      <c r="BA70" s="82"/>
    </row>
    <row r="71" spans="1:53" ht="13.5" thickBot="1">
      <c r="A71" s="760"/>
      <c r="B71" s="187" t="s">
        <v>53</v>
      </c>
      <c r="C71" s="188" t="s">
        <v>22</v>
      </c>
      <c r="D71" s="187" t="s">
        <v>53</v>
      </c>
      <c r="E71" s="16" t="s">
        <v>22</v>
      </c>
      <c r="F71" s="311" t="s">
        <v>55</v>
      </c>
      <c r="G71" s="187" t="s">
        <v>42</v>
      </c>
      <c r="H71" s="188" t="s">
        <v>42</v>
      </c>
      <c r="I71" s="338" t="s">
        <v>59</v>
      </c>
      <c r="J71" s="16" t="s">
        <v>43</v>
      </c>
      <c r="K71" s="673" t="s">
        <v>44</v>
      </c>
      <c r="L71" s="1182" t="s">
        <v>59</v>
      </c>
      <c r="M71" s="26" t="s">
        <v>22</v>
      </c>
      <c r="N71" s="255" t="s">
        <v>22</v>
      </c>
      <c r="O71" s="1182" t="s">
        <v>59</v>
      </c>
      <c r="P71" s="26" t="s">
        <v>22</v>
      </c>
      <c r="Q71" s="255" t="s">
        <v>22</v>
      </c>
      <c r="R71" s="1182" t="s">
        <v>59</v>
      </c>
      <c r="S71" s="26" t="s">
        <v>22</v>
      </c>
      <c r="T71" s="255" t="s">
        <v>22</v>
      </c>
      <c r="U71" s="336" t="s">
        <v>59</v>
      </c>
      <c r="V71" s="16" t="s">
        <v>22</v>
      </c>
      <c r="W71" s="17" t="s">
        <v>86</v>
      </c>
      <c r="X71" s="338" t="s">
        <v>59</v>
      </c>
      <c r="Y71" s="16" t="s">
        <v>22</v>
      </c>
      <c r="Z71" s="17" t="s">
        <v>86</v>
      </c>
      <c r="AA71" s="338" t="s">
        <v>59</v>
      </c>
      <c r="AB71" s="16" t="s">
        <v>22</v>
      </c>
      <c r="AC71" s="17" t="s">
        <v>86</v>
      </c>
      <c r="AD71" s="75" t="s">
        <v>63</v>
      </c>
      <c r="AE71" s="17" t="s">
        <v>67</v>
      </c>
      <c r="AF71" s="75" t="s">
        <v>61</v>
      </c>
      <c r="AG71" s="17" t="s">
        <v>61</v>
      </c>
      <c r="AH71" s="338" t="s">
        <v>59</v>
      </c>
      <c r="AI71" s="202" t="s">
        <v>65</v>
      </c>
      <c r="AJ71" s="202" t="s">
        <v>65</v>
      </c>
      <c r="AK71" s="200"/>
      <c r="AL71" s="75" t="s">
        <v>89</v>
      </c>
      <c r="AM71" s="17" t="s">
        <v>89</v>
      </c>
      <c r="AN71" s="75" t="s">
        <v>89</v>
      </c>
      <c r="AO71" s="17" t="s">
        <v>89</v>
      </c>
      <c r="AP71" s="207" t="s">
        <v>72</v>
      </c>
      <c r="AQ71" s="16" t="s">
        <v>74</v>
      </c>
      <c r="AR71" s="16" t="s">
        <v>74</v>
      </c>
      <c r="AS71" s="16" t="s">
        <v>74</v>
      </c>
      <c r="AT71" s="202" t="s">
        <v>75</v>
      </c>
      <c r="AU71" s="200" t="s">
        <v>67</v>
      </c>
      <c r="AV71" s="515" t="s">
        <v>143</v>
      </c>
      <c r="AW71" s="519" t="s">
        <v>145</v>
      </c>
      <c r="AX71" s="495" t="s">
        <v>96</v>
      </c>
      <c r="AY71" s="917" t="s">
        <v>144</v>
      </c>
      <c r="AZ71" s="495" t="s">
        <v>96</v>
      </c>
      <c r="BA71" s="497" t="s">
        <v>144</v>
      </c>
    </row>
    <row r="72" spans="1:53" ht="13.5" thickBot="1">
      <c r="A72" s="65"/>
      <c r="B72" s="65"/>
      <c r="C72" s="67"/>
      <c r="D72" s="302"/>
      <c r="E72" s="18"/>
      <c r="F72" s="19"/>
      <c r="G72" s="65"/>
      <c r="H72" s="67"/>
      <c r="I72" s="54"/>
      <c r="J72" s="18"/>
      <c r="K72" s="672"/>
      <c r="L72" s="54"/>
      <c r="M72" s="18"/>
      <c r="N72" s="67"/>
      <c r="O72" s="54"/>
      <c r="P72" s="1059"/>
      <c r="Q72" s="19"/>
      <c r="R72" s="203"/>
      <c r="S72" s="493"/>
      <c r="T72" s="19"/>
      <c r="U72" s="203"/>
      <c r="V72" s="269"/>
      <c r="W72" s="59"/>
      <c r="X72" s="54"/>
      <c r="Y72" s="269"/>
      <c r="Z72" s="59"/>
      <c r="AA72" s="54"/>
      <c r="AB72" s="269"/>
      <c r="AC72" s="59"/>
      <c r="AD72" s="70"/>
      <c r="AE72" s="19"/>
      <c r="AF72" s="70"/>
      <c r="AG72" s="197"/>
      <c r="AH72" s="54"/>
      <c r="AI72" s="18"/>
      <c r="AJ72" s="197"/>
      <c r="AK72" s="435"/>
      <c r="AL72" s="558" t="s">
        <v>126</v>
      </c>
      <c r="AM72" s="923" t="s">
        <v>126</v>
      </c>
      <c r="AN72" s="560" t="s">
        <v>127</v>
      </c>
      <c r="AO72" s="175" t="s">
        <v>127</v>
      </c>
      <c r="AP72" s="70"/>
      <c r="AQ72" s="18"/>
      <c r="AR72" s="18"/>
      <c r="AS72" s="18"/>
      <c r="AT72" s="19"/>
      <c r="AU72" s="286"/>
      <c r="AV72" s="286"/>
      <c r="AW72" s="286"/>
      <c r="AX72" s="528"/>
      <c r="AY72" s="204"/>
      <c r="AZ72" s="77"/>
      <c r="BA72" s="82"/>
    </row>
    <row r="73" spans="1:53" ht="16.5" thickBot="1">
      <c r="A73" s="937">
        <v>1</v>
      </c>
      <c r="B73" s="938">
        <v>300</v>
      </c>
      <c r="C73" s="939">
        <f>5.2*A73</f>
        <v>5.2</v>
      </c>
      <c r="D73" s="940">
        <v>380</v>
      </c>
      <c r="E73" s="941">
        <f>K73*1000/D73/SQRT(3)</f>
        <v>3.4185213307280478</v>
      </c>
      <c r="F73" s="942">
        <f>F$70</f>
        <v>5</v>
      </c>
      <c r="G73" s="943">
        <f t="shared" ref="G73:G84" si="66">IF(B73&lt;85,0.428*(1+F73/100)*B73+2,0.428*(1+F73/100)*B73)</f>
        <v>134.82</v>
      </c>
      <c r="H73" s="944">
        <f>SQRT(3)*G73</f>
        <v>233.51508987643601</v>
      </c>
      <c r="I73" s="945">
        <f>I$70</f>
        <v>20</v>
      </c>
      <c r="J73" s="946">
        <f t="shared" ref="J73:J84" si="67">(1+I73/100)*C73*0.83</f>
        <v>5.1791999999999998</v>
      </c>
      <c r="K73" s="1083">
        <f t="shared" ref="K73:K84" si="68">IF(CEILING(H73*J73*SQRT(3)/1000,0.25)&lt;10,CEILING(H73*J73*SQRT(3)/1000,0.25),IF(CEILING(H73*J73*SQRT(3)/1000,0.25)&lt;20,CEILING(H73*J73*SQRT(3)/1000,0.5),CEILING(H73*J73*SQRT(3)/1000,1)))</f>
        <v>2.25</v>
      </c>
      <c r="L73" s="358">
        <f>L$70</f>
        <v>30</v>
      </c>
      <c r="M73" s="28">
        <f>(1+L73/100)*E73</f>
        <v>4.4440777299464624</v>
      </c>
      <c r="N73" s="444">
        <v>15</v>
      </c>
      <c r="O73" s="358">
        <f>O$70</f>
        <v>30</v>
      </c>
      <c r="P73" s="1096">
        <f>(1+O73/100)*J73</f>
        <v>6.7329600000000003</v>
      </c>
      <c r="Q73" s="1123">
        <f>LOOKUP(P73,'Circuit Breakers'!$B$5:$B$38,'Circuit Breakers'!$C$5:$C$38)</f>
        <v>10</v>
      </c>
      <c r="R73" s="1115">
        <f>R$70</f>
        <v>30</v>
      </c>
      <c r="S73" s="1096">
        <f t="shared" ref="S73:S84" si="69">(1+R73/100)*C73</f>
        <v>6.7600000000000007</v>
      </c>
      <c r="T73" s="356">
        <f>LOOKUP(S73,'Circuit Breakers'!$B$5:$B$38,'Circuit Breakers'!$C$5:$C$38)</f>
        <v>10</v>
      </c>
      <c r="U73" s="1089">
        <f>U$70</f>
        <v>15</v>
      </c>
      <c r="V73" s="949">
        <f>(1+U73/100)*E73</f>
        <v>3.9312995303372547</v>
      </c>
      <c r="W73" s="950" t="str">
        <f>LOOKUP(V73,'Wire-Cables Ampacities'!$B$5:$B$35,'Wire-Cables Ampacities'!$C$5:$C$35)</f>
        <v>#10</v>
      </c>
      <c r="X73" s="947">
        <f>X$70</f>
        <v>10</v>
      </c>
      <c r="Y73" s="949">
        <f>(1+X73/100)*J73</f>
        <v>5.69712</v>
      </c>
      <c r="Z73" s="950" t="str">
        <f>LOOKUP(Y73,'Wire-Cables Ampacities'!$B$5:$B$35,'Wire-Cables Ampacities'!$C$5:$C$35)</f>
        <v>#10</v>
      </c>
      <c r="AA73" s="947">
        <f>AA$70</f>
        <v>10</v>
      </c>
      <c r="AB73" s="949">
        <f>(1+AA73/100)*C73</f>
        <v>5.7200000000000006</v>
      </c>
      <c r="AC73" s="950" t="str">
        <f>LOOKUP(AB73,'Wire-Cables Ampacities'!$B$5:$B$35,'Wire-Cables Ampacities'!$C$5:$C$35)</f>
        <v>#10</v>
      </c>
      <c r="AD73" s="951">
        <f>(2*C73+0.06*K73*1000)/1000</f>
        <v>0.1454</v>
      </c>
      <c r="AE73" s="948">
        <f t="shared" ref="AE73:AE84" si="70">AD73*3.412142*1000</f>
        <v>496.12544679999996</v>
      </c>
      <c r="AF73" s="952">
        <f>AF$70</f>
        <v>40</v>
      </c>
      <c r="AG73" s="952">
        <f>AG$70</f>
        <v>60</v>
      </c>
      <c r="AH73" s="947">
        <f>AH$70</f>
        <v>10</v>
      </c>
      <c r="AI73" s="946">
        <f>1760*AD73/(AG73-AF73)*(1+AH73/100)</f>
        <v>14.074720000000001</v>
      </c>
      <c r="AJ73" s="953">
        <f>AI73*1.33</f>
        <v>18.719377600000001</v>
      </c>
      <c r="AK73" s="954" t="str">
        <f>IF(AP73=450,"4.7x4.7","6 inch")</f>
        <v>4.7x4.7</v>
      </c>
      <c r="AL73" s="955">
        <f>IF(AK73="4.7x4.7",IF(CEILING(AI73/AL$70,1)&lt;2,CEILING(AI73/AL$70,1),CEILING(AI73/AL$70,2)),0)</f>
        <v>1</v>
      </c>
      <c r="AM73" s="949">
        <f>IF(AK73="6 inch",IF(CEILING(AI73/AM$70,1)&lt;2,CEILING(AI73/AM$70,1),CEILING(AI73/AM$70,2)),0)</f>
        <v>0</v>
      </c>
      <c r="AN73" s="954">
        <f>IF(AK73="4.7x4.7",IF(CEILING(AJ73/AN$70,1)&lt;2,CEILING(AJ73/AN$70,1),CEILING(AJ73/AN$70,2)),0)</f>
        <v>1</v>
      </c>
      <c r="AO73" s="956">
        <f>IF(AK73="6 inch",IF(CEILING(AJ73/AO$70,1)&lt;2,CEILING(AJ73/AO$70,1),CEILING(AJ73/AO$70,2)),0)</f>
        <v>0</v>
      </c>
      <c r="AP73" s="957">
        <v>450</v>
      </c>
      <c r="AQ73" s="946">
        <v>24</v>
      </c>
      <c r="AR73" s="958">
        <v>30</v>
      </c>
      <c r="AS73" s="958">
        <v>16</v>
      </c>
      <c r="AT73" s="959">
        <f>((2*AR73*AQ73)+2*(AR73*AS73)+(AQ73*AS73))/144</f>
        <v>19.333333333333332</v>
      </c>
      <c r="AU73" s="960">
        <f t="shared" ref="AU73:AU84" si="71">AE73+(1.25*AT73*(AF73-AG73))</f>
        <v>12.792113466666706</v>
      </c>
      <c r="AV73" s="961"/>
      <c r="AW73" s="961"/>
      <c r="AX73" s="962"/>
      <c r="AY73" s="524"/>
      <c r="AZ73" s="525"/>
      <c r="BA73" s="825"/>
    </row>
    <row r="74" spans="1:53" s="84" customFormat="1" ht="16.5" thickBot="1">
      <c r="A74" s="994"/>
      <c r="B74" s="994"/>
      <c r="C74" s="995"/>
      <c r="D74" s="996"/>
      <c r="E74" s="997"/>
      <c r="F74" s="998"/>
      <c r="G74" s="999"/>
      <c r="H74" s="1000"/>
      <c r="I74" s="1001"/>
      <c r="J74" s="1002"/>
      <c r="K74" s="1084"/>
      <c r="L74" s="414"/>
      <c r="M74" s="413"/>
      <c r="N74" s="1109"/>
      <c r="O74" s="414"/>
      <c r="P74" s="1117"/>
      <c r="Q74" s="431"/>
      <c r="R74" s="1116"/>
      <c r="S74" s="1117"/>
      <c r="T74" s="411"/>
      <c r="U74" s="1090"/>
      <c r="V74" s="1005"/>
      <c r="W74" s="1006"/>
      <c r="X74" s="1003"/>
      <c r="Y74" s="1005"/>
      <c r="Z74" s="1006"/>
      <c r="AA74" s="1003"/>
      <c r="AB74" s="1005"/>
      <c r="AC74" s="1006"/>
      <c r="AD74" s="1007"/>
      <c r="AE74" s="1004"/>
      <c r="AF74" s="1008"/>
      <c r="AG74" s="1009"/>
      <c r="AH74" s="1003"/>
      <c r="AI74" s="1002"/>
      <c r="AJ74" s="1010"/>
      <c r="AK74" s="1011"/>
      <c r="AL74" s="1012"/>
      <c r="AM74" s="1005"/>
      <c r="AN74" s="1011"/>
      <c r="AO74" s="1013"/>
      <c r="AP74" s="1014"/>
      <c r="AQ74" s="1002"/>
      <c r="AR74" s="1015"/>
      <c r="AS74" s="1015"/>
      <c r="AT74" s="1016"/>
      <c r="AU74" s="1017"/>
      <c r="AV74" s="1011"/>
      <c r="AW74" s="1011"/>
      <c r="AX74" s="1018"/>
      <c r="AY74" s="1019"/>
      <c r="AZ74" s="1020"/>
      <c r="BA74" s="1021"/>
    </row>
    <row r="75" spans="1:53" ht="15.75">
      <c r="A75" s="65">
        <v>3</v>
      </c>
      <c r="B75" s="65">
        <v>300</v>
      </c>
      <c r="C75" s="156">
        <f t="shared" ref="C75:C84" si="72">5.2*A75</f>
        <v>15.600000000000001</v>
      </c>
      <c r="D75" s="302">
        <v>380</v>
      </c>
      <c r="E75" s="843">
        <f t="shared" ref="E75:E84" si="73">K75*1000/D75/SQRT(3)</f>
        <v>9.8757282887699152</v>
      </c>
      <c r="F75" s="197">
        <f t="shared" ref="F75:F84" si="74">F$70</f>
        <v>5</v>
      </c>
      <c r="G75" s="844">
        <f t="shared" si="66"/>
        <v>134.82</v>
      </c>
      <c r="H75" s="845">
        <f t="shared" ref="H75:H84" si="75">SQRT(3)*G75</f>
        <v>233.51508987643601</v>
      </c>
      <c r="I75" s="1102">
        <f t="shared" ref="I75:I84" si="76">I$70</f>
        <v>20</v>
      </c>
      <c r="J75" s="846">
        <f t="shared" si="67"/>
        <v>15.537600000000001</v>
      </c>
      <c r="K75" s="672">
        <f t="shared" si="68"/>
        <v>6.5</v>
      </c>
      <c r="L75" s="54">
        <f t="shared" ref="L75:L84" si="77">L$70</f>
        <v>30</v>
      </c>
      <c r="M75" s="846">
        <f>(1+L75/100)*E75</f>
        <v>12.83844677540089</v>
      </c>
      <c r="N75" s="1107">
        <v>15</v>
      </c>
      <c r="O75" s="54">
        <f t="shared" ref="O75:O84" si="78">O$70</f>
        <v>30</v>
      </c>
      <c r="P75" s="1059">
        <f>(1+O75/100)*J75</f>
        <v>20.198880000000003</v>
      </c>
      <c r="Q75" s="845">
        <f>LOOKUP(P75,'Circuit Breakers'!$B$5:$B$38,'Circuit Breakers'!$C$5:$C$38)</f>
        <v>25</v>
      </c>
      <c r="R75" s="203">
        <f>R$70</f>
        <v>30</v>
      </c>
      <c r="S75" s="1059">
        <f t="shared" si="69"/>
        <v>20.28</v>
      </c>
      <c r="T75" s="845">
        <f>LOOKUP(S75,'Circuit Breakers'!$B$5:$B$38,'Circuit Breakers'!$C$5:$C$38)</f>
        <v>25</v>
      </c>
      <c r="U75" s="203">
        <f t="shared" ref="U75:U84" si="79">U$70</f>
        <v>15</v>
      </c>
      <c r="V75" s="848">
        <f>(1+U75/100)*E75</f>
        <v>11.357087532085401</v>
      </c>
      <c r="W75" s="19" t="str">
        <f>LOOKUP(V75,'Wire-Cables Ampacities'!$B$5:$B$35,'Wire-Cables Ampacities'!$C$5:$C$35)</f>
        <v>#10</v>
      </c>
      <c r="X75" s="54">
        <f t="shared" ref="X75:X84" si="80">X$70</f>
        <v>10</v>
      </c>
      <c r="Y75" s="848">
        <f>(1+X75/100)*J75</f>
        <v>17.091360000000002</v>
      </c>
      <c r="Z75" s="19" t="str">
        <f>LOOKUP(Y75,'Wire-Cables Ampacities'!$B$5:$B$35,'Wire-Cables Ampacities'!$C$5:$C$35)</f>
        <v>#10</v>
      </c>
      <c r="AA75" s="54">
        <f t="shared" ref="AA75:AA84" si="81">AA$70</f>
        <v>10</v>
      </c>
      <c r="AB75" s="848">
        <f>(1+AA75/100)*C75</f>
        <v>17.160000000000004</v>
      </c>
      <c r="AC75" s="19" t="str">
        <f>LOOKUP(AB75,'Wire-Cables Ampacities'!$B$5:$B$35,'Wire-Cables Ampacities'!$C$5:$C$35)</f>
        <v>#10</v>
      </c>
      <c r="AD75" s="849">
        <f t="shared" ref="AD75:AD84" si="82">(2*C75+0.06*K75*1000)/1000</f>
        <v>0.42119999999999996</v>
      </c>
      <c r="AE75" s="847">
        <f t="shared" si="70"/>
        <v>1437.1942103999997</v>
      </c>
      <c r="AF75" s="70">
        <f t="shared" ref="AF75:AG84" si="83">AF$70</f>
        <v>40</v>
      </c>
      <c r="AG75" s="197">
        <f t="shared" si="83"/>
        <v>60</v>
      </c>
      <c r="AH75" s="54">
        <f t="shared" ref="AH75:AH84" si="84">AH$70</f>
        <v>10</v>
      </c>
      <c r="AI75" s="850">
        <f t="shared" ref="AI75:AI84" si="85">1760*AD75/(AG75-AF75)*(1+AH75/100)</f>
        <v>40.77216</v>
      </c>
      <c r="AJ75" s="851">
        <f t="shared" ref="AJ75:AJ84" si="86">AI75*1.33</f>
        <v>54.226972800000006</v>
      </c>
      <c r="AK75" s="852" t="str">
        <f t="shared" ref="AK75:AK84" si="87">IF(AP75=450,"4.7x4.7","6 inch")</f>
        <v>6 inch</v>
      </c>
      <c r="AL75" s="853">
        <f t="shared" ref="AL75:AL84" si="88">IF(AK75="4.7x4.7",IF(CEILING(AI75/AL$70,1)&lt;2,CEILING(AI75/AL$70,1),CEILING(AI75/AL$70,2)),0)</f>
        <v>0</v>
      </c>
      <c r="AM75" s="848">
        <f t="shared" ref="AM75:AM84" si="89">IF(AK75="6 inch",IF(CEILING(AI75/AM$70,1)&lt;2,CEILING(AI75/AM$70,1),CEILING(AI75/AM$70,2)),0)</f>
        <v>1</v>
      </c>
      <c r="AN75" s="852">
        <f t="shared" ref="AN75:AN84" si="90">IF(AK75="4.7x4.7",IF(CEILING(AJ75/AN$70,1)&lt;2,CEILING(AJ75/AN$70,1),CEILING(AJ75/AN$70,2)),0)</f>
        <v>0</v>
      </c>
      <c r="AO75" s="963">
        <f>IF(AK75="6 inch",IF(CEILING(AJ75/AO$70,1)&lt;2,CEILING(AJ75/AO$70,1),CEILING(AJ75/AO$70,2)),0)</f>
        <v>1</v>
      </c>
      <c r="AP75" s="965">
        <v>600</v>
      </c>
      <c r="AQ75" s="846">
        <v>24</v>
      </c>
      <c r="AR75" s="18">
        <v>48</v>
      </c>
      <c r="AS75" s="18">
        <v>16</v>
      </c>
      <c r="AT75" s="964">
        <f t="shared" ref="AT75:AT84" si="91">((2*AR75*AQ75)+2*(AR75*AS75)+(AQ75*AS75))/144</f>
        <v>29.333333333333332</v>
      </c>
      <c r="AU75" s="854">
        <f t="shared" si="71"/>
        <v>703.86087706666649</v>
      </c>
      <c r="AV75" s="852"/>
      <c r="AW75" s="852"/>
      <c r="AX75" s="921"/>
      <c r="AY75" s="204"/>
      <c r="AZ75" s="77"/>
      <c r="BA75" s="82"/>
    </row>
    <row r="76" spans="1:53" ht="15.75">
      <c r="A76" s="370">
        <v>6</v>
      </c>
      <c r="B76" s="906">
        <v>300</v>
      </c>
      <c r="C76" s="907">
        <f t="shared" si="72"/>
        <v>31.200000000000003</v>
      </c>
      <c r="D76" s="906">
        <v>380</v>
      </c>
      <c r="E76" s="373">
        <f t="shared" si="73"/>
        <v>19.75145657753983</v>
      </c>
      <c r="F76" s="534">
        <f t="shared" si="74"/>
        <v>5</v>
      </c>
      <c r="G76" s="375">
        <f t="shared" si="66"/>
        <v>134.82</v>
      </c>
      <c r="H76" s="376">
        <f t="shared" si="75"/>
        <v>233.51508987643601</v>
      </c>
      <c r="I76" s="1103">
        <f t="shared" si="76"/>
        <v>20</v>
      </c>
      <c r="J76" s="378">
        <f t="shared" si="67"/>
        <v>31.075200000000002</v>
      </c>
      <c r="K76" s="1085">
        <f t="shared" si="68"/>
        <v>13</v>
      </c>
      <c r="L76" s="379">
        <f t="shared" si="77"/>
        <v>30</v>
      </c>
      <c r="M76" s="378">
        <f>(1+L76/100)*E76</f>
        <v>25.676893550801779</v>
      </c>
      <c r="N76" s="1099">
        <v>30</v>
      </c>
      <c r="O76" s="379">
        <f t="shared" si="78"/>
        <v>30</v>
      </c>
      <c r="P76" s="908">
        <f>(1+O76/100)*J76</f>
        <v>40.397760000000005</v>
      </c>
      <c r="Q76" s="376">
        <f>LOOKUP(P76,'Circuit Breakers'!$B$5:$B$38,'Circuit Breakers'!$C$5:$C$38)</f>
        <v>50</v>
      </c>
      <c r="R76" s="1091">
        <f>R$70</f>
        <v>30</v>
      </c>
      <c r="S76" s="908">
        <f t="shared" si="69"/>
        <v>40.56</v>
      </c>
      <c r="T76" s="376">
        <f>LOOKUP(S76,'Circuit Breakers'!$B$5:$B$38,'Circuit Breakers'!$C$5:$C$38)</f>
        <v>50</v>
      </c>
      <c r="U76" s="1091">
        <f t="shared" si="79"/>
        <v>15</v>
      </c>
      <c r="V76" s="378">
        <f>(1+U76/100)*E76</f>
        <v>22.714175064170803</v>
      </c>
      <c r="W76" s="385" t="str">
        <f>LOOKUP(V76,'Wire-Cables Ampacities'!$B$5:$B$35,'Wire-Cables Ampacities'!$C$5:$C$35)</f>
        <v>#10</v>
      </c>
      <c r="X76" s="908">
        <f t="shared" si="80"/>
        <v>10</v>
      </c>
      <c r="Y76" s="378">
        <f>(1+X76/100)*J76</f>
        <v>34.182720000000003</v>
      </c>
      <c r="Z76" s="385" t="str">
        <f>LOOKUP(Y76,'Wire-Cables Ampacities'!$B$5:$B$35,'Wire-Cables Ampacities'!$C$5:$C$35)</f>
        <v>#10</v>
      </c>
      <c r="AA76" s="908">
        <f t="shared" si="81"/>
        <v>10</v>
      </c>
      <c r="AB76" s="378">
        <f>(1+AA76/100)*C76</f>
        <v>34.320000000000007</v>
      </c>
      <c r="AC76" s="385" t="str">
        <f>LOOKUP(AB76,'Wire-Cables Ampacities'!$B$5:$B$35,'Wire-Cables Ampacities'!$C$5:$C$35)</f>
        <v>#10</v>
      </c>
      <c r="AD76" s="909">
        <f t="shared" si="82"/>
        <v>0.84239999999999993</v>
      </c>
      <c r="AE76" s="378">
        <f t="shared" si="70"/>
        <v>2874.3884207999995</v>
      </c>
      <c r="AF76" s="385">
        <f t="shared" si="83"/>
        <v>40</v>
      </c>
      <c r="AG76" s="385">
        <f t="shared" si="83"/>
        <v>60</v>
      </c>
      <c r="AH76" s="908">
        <f t="shared" si="84"/>
        <v>10</v>
      </c>
      <c r="AI76" s="839">
        <f t="shared" si="85"/>
        <v>81.544319999999999</v>
      </c>
      <c r="AJ76" s="839">
        <f t="shared" si="86"/>
        <v>108.45394560000001</v>
      </c>
      <c r="AK76" s="378" t="str">
        <f t="shared" si="87"/>
        <v>6 inch</v>
      </c>
      <c r="AL76" s="378">
        <f t="shared" si="88"/>
        <v>0</v>
      </c>
      <c r="AM76" s="381">
        <f t="shared" si="89"/>
        <v>1</v>
      </c>
      <c r="AN76" s="563">
        <f t="shared" si="90"/>
        <v>0</v>
      </c>
      <c r="AO76" s="933">
        <f>IF(AK76="6 inch",IF(CEILING(AJ76/AO$70,1)&lt;2,CEILING(AJ76/AO$70,1),CEILING(AJ76/AO$70,2)),0)</f>
        <v>1</v>
      </c>
      <c r="AP76" s="966">
        <v>600</v>
      </c>
      <c r="AQ76" s="378">
        <v>24</v>
      </c>
      <c r="AR76" s="385">
        <v>48</v>
      </c>
      <c r="AS76" s="385">
        <v>16</v>
      </c>
      <c r="AT76" s="925">
        <f t="shared" si="91"/>
        <v>29.333333333333332</v>
      </c>
      <c r="AU76" s="387">
        <f t="shared" si="71"/>
        <v>2141.055087466666</v>
      </c>
      <c r="AV76" s="520"/>
      <c r="AW76" s="520"/>
      <c r="AX76" s="919"/>
      <c r="AY76" s="511"/>
      <c r="AZ76" s="58"/>
      <c r="BA76" s="494"/>
    </row>
    <row r="77" spans="1:53" ht="15.75">
      <c r="A77" s="66">
        <v>9</v>
      </c>
      <c r="B77" s="480">
        <v>300</v>
      </c>
      <c r="C77" s="910">
        <f t="shared" si="72"/>
        <v>46.800000000000004</v>
      </c>
      <c r="D77" s="480">
        <v>380</v>
      </c>
      <c r="E77" s="45">
        <f t="shared" si="73"/>
        <v>28.867513459481291</v>
      </c>
      <c r="F77" s="61">
        <f t="shared" si="74"/>
        <v>5</v>
      </c>
      <c r="G77" s="295">
        <f t="shared" si="66"/>
        <v>134.82</v>
      </c>
      <c r="H77" s="158">
        <f t="shared" si="75"/>
        <v>233.51508987643601</v>
      </c>
      <c r="I77" s="1104">
        <f t="shared" si="76"/>
        <v>20</v>
      </c>
      <c r="J77" s="25">
        <f t="shared" si="67"/>
        <v>46.6128</v>
      </c>
      <c r="K77" s="677">
        <f t="shared" si="68"/>
        <v>19</v>
      </c>
      <c r="L77" s="55">
        <f t="shared" si="77"/>
        <v>30</v>
      </c>
      <c r="M77" s="25">
        <f>(1+L77/100)*E77</f>
        <v>37.527767497325677</v>
      </c>
      <c r="N77" s="1098">
        <v>40</v>
      </c>
      <c r="O77" s="55">
        <f t="shared" si="78"/>
        <v>30</v>
      </c>
      <c r="P77" s="911">
        <f>(1+O77/100)*J77</f>
        <v>60.596640000000001</v>
      </c>
      <c r="Q77" s="158">
        <f>LOOKUP(P77,'Circuit Breakers'!$B$5:$B$38,'Circuit Breakers'!$C$5:$C$38)</f>
        <v>60</v>
      </c>
      <c r="R77" s="1080">
        <f>R$70</f>
        <v>30</v>
      </c>
      <c r="S77" s="911">
        <f t="shared" si="69"/>
        <v>60.840000000000011</v>
      </c>
      <c r="T77" s="158">
        <f>LOOKUP(S77,'Circuit Breakers'!$B$5:$B$38,'Circuit Breakers'!$C$5:$C$38)</f>
        <v>60</v>
      </c>
      <c r="U77" s="1080">
        <f t="shared" si="79"/>
        <v>15</v>
      </c>
      <c r="V77" s="25">
        <f>(1+U77/100)*E77</f>
        <v>33.197640478403486</v>
      </c>
      <c r="W77" s="3" t="str">
        <f>LOOKUP(V77,'Wire-Cables Ampacities'!$B$5:$B$35,'Wire-Cables Ampacities'!$C$5:$C$35)</f>
        <v>#10</v>
      </c>
      <c r="X77" s="911">
        <f t="shared" si="80"/>
        <v>10</v>
      </c>
      <c r="Y77" s="25">
        <f>(1+X77/100)*J77</f>
        <v>51.274080000000005</v>
      </c>
      <c r="Z77" s="3" t="str">
        <f>LOOKUP(Y77,'Wire-Cables Ampacities'!$B$5:$B$35,'Wire-Cables Ampacities'!$C$5:$C$35)</f>
        <v>#8</v>
      </c>
      <c r="AA77" s="911">
        <f t="shared" si="81"/>
        <v>10</v>
      </c>
      <c r="AB77" s="25">
        <f>(1+AA77/100)*C77</f>
        <v>51.480000000000011</v>
      </c>
      <c r="AC77" s="3" t="str">
        <f>LOOKUP(AB77,'Wire-Cables Ampacities'!$B$5:$B$35,'Wire-Cables Ampacities'!$C$5:$C$35)</f>
        <v>#8</v>
      </c>
      <c r="AD77" s="481">
        <f t="shared" si="82"/>
        <v>1.2335999999999998</v>
      </c>
      <c r="AE77" s="25">
        <f t="shared" si="70"/>
        <v>4209.2183711999987</v>
      </c>
      <c r="AF77" s="3">
        <f t="shared" si="83"/>
        <v>40</v>
      </c>
      <c r="AG77" s="3">
        <f t="shared" si="83"/>
        <v>60</v>
      </c>
      <c r="AH77" s="911">
        <f t="shared" si="84"/>
        <v>10</v>
      </c>
      <c r="AI77" s="837">
        <f t="shared" si="85"/>
        <v>119.41247999999999</v>
      </c>
      <c r="AJ77" s="837">
        <f t="shared" si="86"/>
        <v>158.81859839999998</v>
      </c>
      <c r="AK77" s="25" t="str">
        <f t="shared" si="87"/>
        <v>6 inch</v>
      </c>
      <c r="AL77" s="25">
        <f t="shared" si="88"/>
        <v>0</v>
      </c>
      <c r="AM77" s="53">
        <f t="shared" si="89"/>
        <v>1</v>
      </c>
      <c r="AN77" s="520">
        <f t="shared" si="90"/>
        <v>0</v>
      </c>
      <c r="AO77" s="932">
        <f>IF(AK77="6 inch",IF(CEILING(AJ77/AO$70,1)&lt;2,CEILING(AJ77/AO$70,1),CEILING(AJ77/AO$70,2)),0)</f>
        <v>1</v>
      </c>
      <c r="AP77" s="967">
        <v>600</v>
      </c>
      <c r="AQ77" s="25">
        <v>24</v>
      </c>
      <c r="AR77" s="3">
        <v>48</v>
      </c>
      <c r="AS77" s="3">
        <v>16</v>
      </c>
      <c r="AT77" s="281">
        <f t="shared" si="91"/>
        <v>29.333333333333332</v>
      </c>
      <c r="AU77" s="287">
        <f t="shared" si="71"/>
        <v>3475.8850378666657</v>
      </c>
      <c r="AV77" s="520"/>
      <c r="AW77" s="520"/>
      <c r="AX77" s="919"/>
      <c r="AY77" s="511"/>
      <c r="AZ77" s="58"/>
      <c r="BA77" s="494"/>
    </row>
    <row r="78" spans="1:53" ht="15.75">
      <c r="A78" s="388">
        <v>12</v>
      </c>
      <c r="B78" s="912">
        <v>300</v>
      </c>
      <c r="C78" s="913">
        <f t="shared" si="72"/>
        <v>62.400000000000006</v>
      </c>
      <c r="D78" s="912">
        <v>380</v>
      </c>
      <c r="E78" s="391">
        <f t="shared" si="73"/>
        <v>39.502913155079661</v>
      </c>
      <c r="F78" s="535">
        <f t="shared" si="74"/>
        <v>5</v>
      </c>
      <c r="G78" s="393">
        <f t="shared" si="66"/>
        <v>134.82</v>
      </c>
      <c r="H78" s="394">
        <f t="shared" si="75"/>
        <v>233.51508987643601</v>
      </c>
      <c r="I78" s="1105">
        <f t="shared" si="76"/>
        <v>20</v>
      </c>
      <c r="J78" s="396">
        <f t="shared" si="67"/>
        <v>62.150400000000005</v>
      </c>
      <c r="K78" s="1086">
        <f t="shared" si="68"/>
        <v>26</v>
      </c>
      <c r="L78" s="397">
        <f t="shared" si="77"/>
        <v>30</v>
      </c>
      <c r="M78" s="396">
        <f>(1+L78/100)*E78</f>
        <v>51.353787101603558</v>
      </c>
      <c r="N78" s="1100">
        <v>60</v>
      </c>
      <c r="O78" s="397">
        <f t="shared" si="78"/>
        <v>30</v>
      </c>
      <c r="P78" s="914">
        <f>(1+O78/100)*J78</f>
        <v>80.79552000000001</v>
      </c>
      <c r="Q78" s="394">
        <f>LOOKUP(P78,'Circuit Breakers'!$B$5:$B$38,'Circuit Breakers'!$C$5:$C$38)</f>
        <v>90</v>
      </c>
      <c r="R78" s="1092">
        <f>R$70</f>
        <v>30</v>
      </c>
      <c r="S78" s="914">
        <f t="shared" si="69"/>
        <v>81.12</v>
      </c>
      <c r="T78" s="394">
        <f>LOOKUP(S78,'Circuit Breakers'!$B$5:$B$38,'Circuit Breakers'!$C$5:$C$38)</f>
        <v>90</v>
      </c>
      <c r="U78" s="1092">
        <f t="shared" si="79"/>
        <v>15</v>
      </c>
      <c r="V78" s="396">
        <f>(1+U78/100)*E78</f>
        <v>45.428350128341606</v>
      </c>
      <c r="W78" s="403" t="str">
        <f>LOOKUP(V78,'Wire-Cables Ampacities'!$B$5:$B$35,'Wire-Cables Ampacities'!$C$5:$C$35)</f>
        <v>#8</v>
      </c>
      <c r="X78" s="914">
        <f t="shared" si="80"/>
        <v>10</v>
      </c>
      <c r="Y78" s="396">
        <f>(1+X78/100)*J78</f>
        <v>68.365440000000007</v>
      </c>
      <c r="Z78" s="403" t="str">
        <f>LOOKUP(Y78,'Wire-Cables Ampacities'!$B$5:$B$35,'Wire-Cables Ampacities'!$C$5:$C$35)</f>
        <v>#6</v>
      </c>
      <c r="AA78" s="914">
        <f t="shared" si="81"/>
        <v>10</v>
      </c>
      <c r="AB78" s="396">
        <f>(1+AA78/100)*C78</f>
        <v>68.640000000000015</v>
      </c>
      <c r="AC78" s="403" t="str">
        <f>LOOKUP(AB78,'Wire-Cables Ampacities'!$B$5:$B$35,'Wire-Cables Ampacities'!$C$5:$C$35)</f>
        <v>#6</v>
      </c>
      <c r="AD78" s="915">
        <f t="shared" si="82"/>
        <v>1.6847999999999999</v>
      </c>
      <c r="AE78" s="396">
        <f t="shared" si="70"/>
        <v>5748.776841599999</v>
      </c>
      <c r="AF78" s="403">
        <f t="shared" si="83"/>
        <v>40</v>
      </c>
      <c r="AG78" s="403">
        <f t="shared" si="83"/>
        <v>60</v>
      </c>
      <c r="AH78" s="914">
        <f t="shared" si="84"/>
        <v>10</v>
      </c>
      <c r="AI78" s="841">
        <f t="shared" si="85"/>
        <v>163.08864</v>
      </c>
      <c r="AJ78" s="841">
        <f t="shared" si="86"/>
        <v>216.90789120000002</v>
      </c>
      <c r="AK78" s="396" t="str">
        <f t="shared" si="87"/>
        <v>6 inch</v>
      </c>
      <c r="AL78" s="396">
        <f t="shared" si="88"/>
        <v>0</v>
      </c>
      <c r="AM78" s="399">
        <f t="shared" si="89"/>
        <v>1</v>
      </c>
      <c r="AN78" s="564">
        <f t="shared" si="90"/>
        <v>0</v>
      </c>
      <c r="AO78" s="934">
        <f t="shared" ref="AO78:AO84" si="92">IF(AK78="6 inch",IF(CEILING(AJ78/AO$70,1)&lt;2,CEILING(AJ78/AO$70,1),CEILING(AJ78/AO$70,2)),0)</f>
        <v>2</v>
      </c>
      <c r="AP78" s="968">
        <v>600</v>
      </c>
      <c r="AQ78" s="396">
        <v>24</v>
      </c>
      <c r="AR78" s="403">
        <v>48</v>
      </c>
      <c r="AS78" s="403">
        <v>16</v>
      </c>
      <c r="AT78" s="926">
        <f t="shared" si="91"/>
        <v>29.333333333333332</v>
      </c>
      <c r="AU78" s="405">
        <f t="shared" si="71"/>
        <v>5015.443508266666</v>
      </c>
      <c r="AV78" s="520"/>
      <c r="AW78" s="520"/>
      <c r="AX78" s="919"/>
      <c r="AY78" s="511"/>
      <c r="AZ78" s="58"/>
      <c r="BA78" s="494"/>
    </row>
    <row r="79" spans="1:53" s="582" customFormat="1" ht="16.5" thickBot="1">
      <c r="A79" s="855">
        <v>15</v>
      </c>
      <c r="B79" s="187">
        <v>300</v>
      </c>
      <c r="C79" s="195">
        <f t="shared" si="72"/>
        <v>78</v>
      </c>
      <c r="D79" s="856">
        <v>380</v>
      </c>
      <c r="E79" s="857">
        <f t="shared" si="73"/>
        <v>48.618970037021121</v>
      </c>
      <c r="F79" s="865">
        <f t="shared" si="74"/>
        <v>5</v>
      </c>
      <c r="G79" s="858">
        <f t="shared" si="66"/>
        <v>134.82</v>
      </c>
      <c r="H79" s="859">
        <f t="shared" si="75"/>
        <v>233.51508987643601</v>
      </c>
      <c r="I79" s="1106">
        <f t="shared" si="76"/>
        <v>20</v>
      </c>
      <c r="J79" s="857">
        <f t="shared" si="67"/>
        <v>77.687999999999988</v>
      </c>
      <c r="K79" s="673">
        <f t="shared" si="68"/>
        <v>32</v>
      </c>
      <c r="L79" s="860">
        <f t="shared" si="77"/>
        <v>30</v>
      </c>
      <c r="M79" s="857">
        <f>(1+L79/100)*E79</f>
        <v>63.204661048127463</v>
      </c>
      <c r="N79" s="1101">
        <v>70</v>
      </c>
      <c r="O79" s="860">
        <f t="shared" si="78"/>
        <v>30</v>
      </c>
      <c r="P79" s="1118">
        <f>(1+O79/100)*J79</f>
        <v>100.99439999999998</v>
      </c>
      <c r="Q79" s="859">
        <f>LOOKUP(P79,'Circuit Breakers'!$B$5:$B$38,'Circuit Breakers'!$C$5:$C$38)</f>
        <v>110</v>
      </c>
      <c r="R79" s="1093">
        <f>R$70</f>
        <v>30</v>
      </c>
      <c r="S79" s="1118">
        <f t="shared" si="69"/>
        <v>101.4</v>
      </c>
      <c r="T79" s="859">
        <f>LOOKUP(S79,'Circuit Breakers'!$B$5:$B$38,'Circuit Breakers'!$C$5:$C$38)</f>
        <v>110</v>
      </c>
      <c r="U79" s="1093">
        <f t="shared" si="79"/>
        <v>15</v>
      </c>
      <c r="V79" s="862">
        <f>(1+U79/100)*E79</f>
        <v>55.911815542574288</v>
      </c>
      <c r="W79" s="637" t="str">
        <f>LOOKUP(V79,'Wire-Cables Ampacities'!$B$5:$B$35,'Wire-Cables Ampacities'!$C$5:$C$35)</f>
        <v>#8</v>
      </c>
      <c r="X79" s="860">
        <f t="shared" si="80"/>
        <v>10</v>
      </c>
      <c r="Y79" s="862">
        <f>(1+X79/100)*J79</f>
        <v>85.456799999999987</v>
      </c>
      <c r="Z79" s="637" t="str">
        <f>LOOKUP(Y79,'Wire-Cables Ampacities'!$B$5:$B$35,'Wire-Cables Ampacities'!$C$5:$C$35)</f>
        <v>#4</v>
      </c>
      <c r="AA79" s="860">
        <f t="shared" si="81"/>
        <v>10</v>
      </c>
      <c r="AB79" s="862">
        <f>(1+AA79/100)*C79</f>
        <v>85.800000000000011</v>
      </c>
      <c r="AC79" s="637" t="str">
        <f>LOOKUP(AB79,'Wire-Cables Ampacities'!$B$5:$B$35,'Wire-Cables Ampacities'!$C$5:$C$35)</f>
        <v>#4</v>
      </c>
      <c r="AD79" s="863">
        <f t="shared" si="82"/>
        <v>2.0760000000000001</v>
      </c>
      <c r="AE79" s="861">
        <f t="shared" si="70"/>
        <v>7083.6067919999996</v>
      </c>
      <c r="AF79" s="864">
        <f t="shared" si="83"/>
        <v>40</v>
      </c>
      <c r="AG79" s="865">
        <f t="shared" si="83"/>
        <v>60</v>
      </c>
      <c r="AH79" s="860">
        <f t="shared" si="84"/>
        <v>10</v>
      </c>
      <c r="AI79" s="866">
        <f t="shared" si="85"/>
        <v>200.95680000000004</v>
      </c>
      <c r="AJ79" s="867">
        <f t="shared" si="86"/>
        <v>267.2725440000001</v>
      </c>
      <c r="AK79" s="868" t="str">
        <f t="shared" si="87"/>
        <v>6 inch</v>
      </c>
      <c r="AL79" s="869">
        <f t="shared" si="88"/>
        <v>0</v>
      </c>
      <c r="AM79" s="862">
        <f t="shared" si="89"/>
        <v>2</v>
      </c>
      <c r="AN79" s="868">
        <f t="shared" si="90"/>
        <v>0</v>
      </c>
      <c r="AO79" s="935">
        <f t="shared" si="92"/>
        <v>2</v>
      </c>
      <c r="AP79" s="873">
        <v>600</v>
      </c>
      <c r="AQ79" s="857">
        <v>24</v>
      </c>
      <c r="AR79" s="870">
        <v>48</v>
      </c>
      <c r="AS79" s="870">
        <v>16</v>
      </c>
      <c r="AT79" s="927">
        <f t="shared" si="91"/>
        <v>29.333333333333332</v>
      </c>
      <c r="AU79" s="871">
        <f t="shared" si="71"/>
        <v>6350.2734586666666</v>
      </c>
      <c r="AV79" s="868"/>
      <c r="AW79" s="868"/>
      <c r="AX79" s="920"/>
      <c r="AY79" s="918"/>
      <c r="AZ79" s="873"/>
      <c r="BA79" s="872"/>
    </row>
    <row r="80" spans="1:53" s="582" customFormat="1" ht="16.5" thickBot="1">
      <c r="A80" s="969"/>
      <c r="B80" s="969"/>
      <c r="C80" s="970"/>
      <c r="D80" s="971"/>
      <c r="E80" s="972"/>
      <c r="F80" s="973"/>
      <c r="G80" s="974"/>
      <c r="H80" s="975"/>
      <c r="I80" s="976"/>
      <c r="J80" s="972"/>
      <c r="K80" s="1087"/>
      <c r="L80" s="977"/>
      <c r="M80" s="972"/>
      <c r="N80" s="1108"/>
      <c r="O80" s="977"/>
      <c r="P80" s="1119"/>
      <c r="Q80" s="975"/>
      <c r="R80" s="1094"/>
      <c r="S80" s="1119"/>
      <c r="T80" s="975"/>
      <c r="U80" s="1094"/>
      <c r="V80" s="979"/>
      <c r="W80" s="973"/>
      <c r="X80" s="977"/>
      <c r="Y80" s="979"/>
      <c r="Z80" s="973"/>
      <c r="AA80" s="977"/>
      <c r="AB80" s="979"/>
      <c r="AC80" s="973"/>
      <c r="AD80" s="980"/>
      <c r="AE80" s="978"/>
      <c r="AF80" s="981"/>
      <c r="AG80" s="982"/>
      <c r="AH80" s="977"/>
      <c r="AI80" s="983"/>
      <c r="AJ80" s="984"/>
      <c r="AK80" s="985"/>
      <c r="AL80" s="986"/>
      <c r="AM80" s="979"/>
      <c r="AN80" s="985"/>
      <c r="AO80" s="987"/>
      <c r="AP80" s="988"/>
      <c r="AQ80" s="972"/>
      <c r="AR80" s="34"/>
      <c r="AS80" s="34"/>
      <c r="AT80" s="989"/>
      <c r="AU80" s="990"/>
      <c r="AV80" s="985"/>
      <c r="AW80" s="985"/>
      <c r="AX80" s="991"/>
      <c r="AY80" s="992"/>
      <c r="AZ80" s="988"/>
      <c r="BA80" s="993"/>
    </row>
    <row r="81" spans="1:53" ht="15.75">
      <c r="A81" s="874">
        <v>18</v>
      </c>
      <c r="B81" s="874">
        <v>300</v>
      </c>
      <c r="C81" s="875">
        <f t="shared" si="72"/>
        <v>93.600000000000009</v>
      </c>
      <c r="D81" s="876">
        <v>380</v>
      </c>
      <c r="E81" s="877">
        <f t="shared" si="73"/>
        <v>57.735026918962582</v>
      </c>
      <c r="F81" s="878">
        <f t="shared" si="74"/>
        <v>5</v>
      </c>
      <c r="G81" s="879">
        <f t="shared" si="66"/>
        <v>134.82</v>
      </c>
      <c r="H81" s="880">
        <f t="shared" si="75"/>
        <v>233.51508987643601</v>
      </c>
      <c r="I81" s="881">
        <f t="shared" si="76"/>
        <v>20</v>
      </c>
      <c r="J81" s="882">
        <f t="shared" si="67"/>
        <v>93.2256</v>
      </c>
      <c r="K81" s="1088">
        <f t="shared" si="68"/>
        <v>38</v>
      </c>
      <c r="L81" s="883">
        <f t="shared" si="77"/>
        <v>30</v>
      </c>
      <c r="M81" s="882">
        <f>(1+L81/100)*E81</f>
        <v>75.055534994651353</v>
      </c>
      <c r="N81" s="1114">
        <v>80</v>
      </c>
      <c r="O81" s="883">
        <f t="shared" si="78"/>
        <v>30</v>
      </c>
      <c r="P81" s="1120">
        <f>(1+O81/100)*J81</f>
        <v>121.19328</v>
      </c>
      <c r="Q81" s="880">
        <f>LOOKUP(P81,'Circuit Breakers'!$B$5:$B$38,'Circuit Breakers'!$C$5:$C$38)</f>
        <v>125</v>
      </c>
      <c r="R81" s="1095">
        <f>R$70</f>
        <v>30</v>
      </c>
      <c r="S81" s="1120">
        <f t="shared" si="69"/>
        <v>121.68000000000002</v>
      </c>
      <c r="T81" s="880">
        <f>LOOKUP(S81,'Circuit Breakers'!$B$5:$B$38,'Circuit Breakers'!$C$5:$C$38)</f>
        <v>125</v>
      </c>
      <c r="U81" s="1095">
        <f t="shared" si="79"/>
        <v>15</v>
      </c>
      <c r="V81" s="885">
        <f>(1+U81/100)*E81</f>
        <v>66.395280956806971</v>
      </c>
      <c r="W81" s="878" t="str">
        <f>LOOKUP(V81,'Wire-Cables Ampacities'!$B$5:$B$35,'Wire-Cables Ampacities'!$C$5:$C$35)</f>
        <v>#6</v>
      </c>
      <c r="X81" s="883">
        <f t="shared" si="80"/>
        <v>10</v>
      </c>
      <c r="Y81" s="885">
        <f>(1+X81/100)*J81</f>
        <v>102.54816000000001</v>
      </c>
      <c r="Z81" s="878" t="str">
        <f>LOOKUP(Y81,'Wire-Cables Ampacities'!$B$5:$B$35,'Wire-Cables Ampacities'!$C$5:$C$35)</f>
        <v>#4</v>
      </c>
      <c r="AA81" s="883">
        <f t="shared" si="81"/>
        <v>10</v>
      </c>
      <c r="AB81" s="885">
        <f>(1+AA81/100)*C81</f>
        <v>102.96000000000002</v>
      </c>
      <c r="AC81" s="878" t="str">
        <f>LOOKUP(AB81,'Wire-Cables Ampacities'!$B$5:$B$35,'Wire-Cables Ampacities'!$C$5:$C$35)</f>
        <v>#4</v>
      </c>
      <c r="AD81" s="886">
        <f t="shared" si="82"/>
        <v>2.4671999999999996</v>
      </c>
      <c r="AE81" s="884">
        <f t="shared" si="70"/>
        <v>8418.4367423999975</v>
      </c>
      <c r="AF81" s="887">
        <f t="shared" si="83"/>
        <v>40</v>
      </c>
      <c r="AG81" s="888">
        <f t="shared" si="83"/>
        <v>60</v>
      </c>
      <c r="AH81" s="883">
        <f t="shared" si="84"/>
        <v>10</v>
      </c>
      <c r="AI81" s="889">
        <f t="shared" si="85"/>
        <v>238.82495999999998</v>
      </c>
      <c r="AJ81" s="890">
        <f t="shared" si="86"/>
        <v>317.63719679999997</v>
      </c>
      <c r="AK81" s="891" t="str">
        <f t="shared" si="87"/>
        <v>6 inch</v>
      </c>
      <c r="AL81" s="892">
        <f t="shared" si="88"/>
        <v>0</v>
      </c>
      <c r="AM81" s="885">
        <f t="shared" si="89"/>
        <v>2</v>
      </c>
      <c r="AN81" s="891">
        <f t="shared" si="90"/>
        <v>0</v>
      </c>
      <c r="AO81" s="931">
        <f t="shared" si="92"/>
        <v>2</v>
      </c>
      <c r="AP81" s="928">
        <v>800</v>
      </c>
      <c r="AQ81" s="882">
        <v>24</v>
      </c>
      <c r="AR81" s="893">
        <v>48</v>
      </c>
      <c r="AS81" s="893">
        <v>28</v>
      </c>
      <c r="AT81" s="929">
        <f t="shared" si="91"/>
        <v>39.333333333333336</v>
      </c>
      <c r="AU81" s="894">
        <f t="shared" si="71"/>
        <v>7435.1034090666635</v>
      </c>
      <c r="AV81" s="852"/>
      <c r="AW81" s="852"/>
      <c r="AX81" s="921"/>
      <c r="AY81" s="204"/>
      <c r="AZ81" s="77"/>
      <c r="BA81" s="82"/>
    </row>
    <row r="82" spans="1:53" ht="15.75">
      <c r="A82" s="842">
        <v>24</v>
      </c>
      <c r="B82" s="66">
        <v>300</v>
      </c>
      <c r="C82" s="157">
        <f t="shared" si="72"/>
        <v>124.80000000000001</v>
      </c>
      <c r="D82" s="186">
        <v>380</v>
      </c>
      <c r="E82" s="45">
        <f t="shared" si="73"/>
        <v>77.486483496502416</v>
      </c>
      <c r="F82" s="15">
        <f t="shared" si="74"/>
        <v>5</v>
      </c>
      <c r="G82" s="295">
        <f t="shared" si="66"/>
        <v>134.82</v>
      </c>
      <c r="H82" s="158">
        <f t="shared" si="75"/>
        <v>233.51508987643601</v>
      </c>
      <c r="I82" s="830">
        <f t="shared" si="76"/>
        <v>20</v>
      </c>
      <c r="J82" s="25">
        <f t="shared" si="67"/>
        <v>124.30080000000001</v>
      </c>
      <c r="K82" s="677">
        <f t="shared" si="68"/>
        <v>51</v>
      </c>
      <c r="L82" s="55">
        <f t="shared" si="77"/>
        <v>30</v>
      </c>
      <c r="M82" s="25">
        <f>(1+L82/100)*E82</f>
        <v>100.73242854545315</v>
      </c>
      <c r="N82" s="1112">
        <v>125</v>
      </c>
      <c r="O82" s="55">
        <f t="shared" si="78"/>
        <v>30</v>
      </c>
      <c r="P82" s="911">
        <f>(1+O82/100)*J82</f>
        <v>161.59104000000002</v>
      </c>
      <c r="Q82" s="158">
        <f>LOOKUP(P82,'Circuit Breakers'!$B$5:$B$38,'Circuit Breakers'!$C$5:$C$38)</f>
        <v>175</v>
      </c>
      <c r="R82" s="1080">
        <f>R$70</f>
        <v>30</v>
      </c>
      <c r="S82" s="911">
        <f t="shared" si="69"/>
        <v>162.24</v>
      </c>
      <c r="T82" s="158">
        <f>LOOKUP(S82,'Circuit Breakers'!$B$5:$B$38,'Circuit Breakers'!$C$5:$C$38)</f>
        <v>175</v>
      </c>
      <c r="U82" s="1080">
        <f t="shared" si="79"/>
        <v>15</v>
      </c>
      <c r="V82" s="53">
        <f>(1+U82/100)*E82</f>
        <v>89.109456020977774</v>
      </c>
      <c r="W82" s="15" t="str">
        <f>LOOKUP(V82,'Wire-Cables Ampacities'!$B$5:$B$35,'Wire-Cables Ampacities'!$C$5:$C$35)</f>
        <v>#4</v>
      </c>
      <c r="X82" s="55">
        <f t="shared" si="80"/>
        <v>10</v>
      </c>
      <c r="Y82" s="53">
        <f>(1+X82/100)*J82</f>
        <v>136.73088000000001</v>
      </c>
      <c r="Z82" s="15" t="str">
        <f>LOOKUP(Y82,'Wire-Cables Ampacities'!$B$5:$B$35,'Wire-Cables Ampacities'!$C$5:$C$35)</f>
        <v>#2</v>
      </c>
      <c r="AA82" s="55">
        <f t="shared" si="81"/>
        <v>10</v>
      </c>
      <c r="AB82" s="53">
        <f>(1+AA82/100)*C82</f>
        <v>137.28000000000003</v>
      </c>
      <c r="AC82" s="15" t="str">
        <f>LOOKUP(AB82,'Wire-Cables Ampacities'!$B$5:$B$35,'Wire-Cables Ampacities'!$C$5:$C$35)</f>
        <v>#2</v>
      </c>
      <c r="AD82" s="81">
        <f t="shared" si="82"/>
        <v>3.3096000000000001</v>
      </c>
      <c r="AE82" s="56">
        <f t="shared" si="70"/>
        <v>11292.825163199999</v>
      </c>
      <c r="AF82" s="72">
        <f t="shared" si="83"/>
        <v>40</v>
      </c>
      <c r="AG82" s="61">
        <f t="shared" si="83"/>
        <v>60</v>
      </c>
      <c r="AH82" s="55">
        <f t="shared" si="84"/>
        <v>10</v>
      </c>
      <c r="AI82" s="837">
        <f t="shared" si="85"/>
        <v>320.36928</v>
      </c>
      <c r="AJ82" s="838">
        <f t="shared" si="86"/>
        <v>426.09114240000002</v>
      </c>
      <c r="AK82" s="520" t="str">
        <f t="shared" si="87"/>
        <v>6 inch</v>
      </c>
      <c r="AL82" s="483">
        <f t="shared" si="88"/>
        <v>0</v>
      </c>
      <c r="AM82" s="53">
        <f t="shared" si="89"/>
        <v>2</v>
      </c>
      <c r="AN82" s="520">
        <f t="shared" si="90"/>
        <v>0</v>
      </c>
      <c r="AO82" s="932">
        <f t="shared" si="92"/>
        <v>4</v>
      </c>
      <c r="AP82" s="5">
        <v>800</v>
      </c>
      <c r="AQ82" s="25">
        <v>24</v>
      </c>
      <c r="AR82" s="3">
        <v>48</v>
      </c>
      <c r="AS82" s="3">
        <v>28</v>
      </c>
      <c r="AT82" s="281">
        <f t="shared" si="91"/>
        <v>39.333333333333336</v>
      </c>
      <c r="AU82" s="287">
        <f t="shared" si="71"/>
        <v>10309.491829866665</v>
      </c>
      <c r="AV82" s="520"/>
      <c r="AW82" s="520"/>
      <c r="AX82" s="919"/>
      <c r="AY82" s="511"/>
      <c r="AZ82" s="58"/>
      <c r="BA82" s="494"/>
    </row>
    <row r="83" spans="1:53" ht="15.75">
      <c r="A83" s="895">
        <v>27</v>
      </c>
      <c r="B83" s="370">
        <v>300</v>
      </c>
      <c r="C83" s="831">
        <f t="shared" si="72"/>
        <v>140.4</v>
      </c>
      <c r="D83" s="372">
        <v>380</v>
      </c>
      <c r="E83" s="373">
        <f t="shared" si="73"/>
        <v>86.602540378443877</v>
      </c>
      <c r="F83" s="374">
        <f t="shared" si="74"/>
        <v>5</v>
      </c>
      <c r="G83" s="375">
        <f t="shared" si="66"/>
        <v>134.82</v>
      </c>
      <c r="H83" s="376">
        <f t="shared" si="75"/>
        <v>233.51508987643601</v>
      </c>
      <c r="I83" s="832">
        <f t="shared" si="76"/>
        <v>20</v>
      </c>
      <c r="J83" s="378">
        <f t="shared" si="67"/>
        <v>139.83839999999998</v>
      </c>
      <c r="K83" s="1085">
        <f t="shared" si="68"/>
        <v>57</v>
      </c>
      <c r="L83" s="379">
        <f t="shared" si="77"/>
        <v>30</v>
      </c>
      <c r="M83" s="378">
        <f>(1+L83/100)*E83</f>
        <v>112.58330249197704</v>
      </c>
      <c r="N83" s="1111">
        <v>125</v>
      </c>
      <c r="O83" s="379">
        <f t="shared" si="78"/>
        <v>30</v>
      </c>
      <c r="P83" s="908">
        <f>(1+O83/100)*J83</f>
        <v>181.78991999999997</v>
      </c>
      <c r="Q83" s="376">
        <f>LOOKUP(P83,'Circuit Breakers'!$B$5:$B$38,'Circuit Breakers'!$C$5:$C$38)</f>
        <v>200</v>
      </c>
      <c r="R83" s="1091">
        <f>R$70</f>
        <v>30</v>
      </c>
      <c r="S83" s="908">
        <f t="shared" si="69"/>
        <v>182.52</v>
      </c>
      <c r="T83" s="376">
        <f>LOOKUP(S83,'Circuit Breakers'!$B$5:$B$38,'Circuit Breakers'!$C$5:$C$38)</f>
        <v>200</v>
      </c>
      <c r="U83" s="1091">
        <f t="shared" si="79"/>
        <v>15</v>
      </c>
      <c r="V83" s="381">
        <f>(1+U83/100)*E83</f>
        <v>99.592921435210457</v>
      </c>
      <c r="W83" s="374" t="str">
        <f>LOOKUP(V83,'Wire-Cables Ampacities'!$B$5:$B$35,'Wire-Cables Ampacities'!$C$5:$C$35)</f>
        <v>#4</v>
      </c>
      <c r="X83" s="379">
        <f t="shared" si="80"/>
        <v>10</v>
      </c>
      <c r="Y83" s="381">
        <f>(1+X83/100)*J83</f>
        <v>153.82223999999999</v>
      </c>
      <c r="Z83" s="374" t="str">
        <f>LOOKUP(Y83,'Wire-Cables Ampacities'!$B$5:$B$35,'Wire-Cables Ampacities'!$C$5:$C$35)</f>
        <v>#1</v>
      </c>
      <c r="AA83" s="379">
        <f t="shared" si="81"/>
        <v>10</v>
      </c>
      <c r="AB83" s="381">
        <f>(1+AA83/100)*C83</f>
        <v>154.44000000000003</v>
      </c>
      <c r="AC83" s="374" t="str">
        <f>LOOKUP(AB83,'Wire-Cables Ampacities'!$B$5:$B$35,'Wire-Cables Ampacities'!$C$5:$C$35)</f>
        <v>#1</v>
      </c>
      <c r="AD83" s="382">
        <f t="shared" si="82"/>
        <v>3.7008000000000001</v>
      </c>
      <c r="AE83" s="380">
        <f t="shared" si="70"/>
        <v>12627.6551136</v>
      </c>
      <c r="AF83" s="383">
        <f t="shared" si="83"/>
        <v>40</v>
      </c>
      <c r="AG83" s="534">
        <f t="shared" si="83"/>
        <v>60</v>
      </c>
      <c r="AH83" s="379">
        <f t="shared" si="84"/>
        <v>10</v>
      </c>
      <c r="AI83" s="839">
        <f t="shared" si="85"/>
        <v>358.23744000000005</v>
      </c>
      <c r="AJ83" s="840">
        <f t="shared" si="86"/>
        <v>476.45579520000007</v>
      </c>
      <c r="AK83" s="563" t="str">
        <f t="shared" si="87"/>
        <v>6 inch</v>
      </c>
      <c r="AL83" s="484">
        <f t="shared" si="88"/>
        <v>0</v>
      </c>
      <c r="AM83" s="381">
        <f t="shared" si="89"/>
        <v>2</v>
      </c>
      <c r="AN83" s="563">
        <f t="shared" si="90"/>
        <v>0</v>
      </c>
      <c r="AO83" s="933">
        <f t="shared" si="92"/>
        <v>4</v>
      </c>
      <c r="AP83" s="924">
        <v>800</v>
      </c>
      <c r="AQ83" s="378">
        <v>34</v>
      </c>
      <c r="AR83" s="385">
        <v>48</v>
      </c>
      <c r="AS83" s="385">
        <v>28</v>
      </c>
      <c r="AT83" s="925">
        <f t="shared" si="91"/>
        <v>47.944444444444443</v>
      </c>
      <c r="AU83" s="387">
        <f t="shared" si="71"/>
        <v>11429.044002488889</v>
      </c>
      <c r="AV83" s="520"/>
      <c r="AW83" s="520"/>
      <c r="AX83" s="919"/>
      <c r="AY83" s="511"/>
      <c r="AZ83" s="58"/>
      <c r="BA83" s="494"/>
    </row>
    <row r="84" spans="1:53" ht="16.5" thickBot="1">
      <c r="A84" s="855">
        <v>30</v>
      </c>
      <c r="B84" s="187">
        <v>300</v>
      </c>
      <c r="C84" s="195">
        <f t="shared" si="72"/>
        <v>156</v>
      </c>
      <c r="D84" s="856">
        <v>380</v>
      </c>
      <c r="E84" s="857">
        <f t="shared" si="73"/>
        <v>95.718597260385323</v>
      </c>
      <c r="F84" s="17">
        <f t="shared" si="74"/>
        <v>5</v>
      </c>
      <c r="G84" s="858">
        <f t="shared" si="66"/>
        <v>134.82</v>
      </c>
      <c r="H84" s="859">
        <f t="shared" si="75"/>
        <v>233.51508987643601</v>
      </c>
      <c r="I84" s="896">
        <f t="shared" si="76"/>
        <v>20</v>
      </c>
      <c r="J84" s="897">
        <f t="shared" si="67"/>
        <v>155.37599999999998</v>
      </c>
      <c r="K84" s="673">
        <f t="shared" si="68"/>
        <v>63</v>
      </c>
      <c r="L84" s="57">
        <f t="shared" si="77"/>
        <v>30</v>
      </c>
      <c r="M84" s="897">
        <f>(1+L84/100)*E84</f>
        <v>124.43417643850093</v>
      </c>
      <c r="N84" s="1113">
        <v>125</v>
      </c>
      <c r="O84" s="57">
        <f t="shared" si="78"/>
        <v>30</v>
      </c>
      <c r="P84" s="196">
        <f>(1+O84/100)*J84</f>
        <v>201.98879999999997</v>
      </c>
      <c r="Q84" s="859">
        <f>LOOKUP(P84,'Circuit Breakers'!$B$5:$B$38,'Circuit Breakers'!$C$5:$C$38)</f>
        <v>225</v>
      </c>
      <c r="R84" s="201">
        <f>R$70</f>
        <v>30</v>
      </c>
      <c r="S84" s="196">
        <f t="shared" si="69"/>
        <v>202.8</v>
      </c>
      <c r="T84" s="859">
        <f>LOOKUP(S84,'Circuit Breakers'!$B$5:$B$38,'Circuit Breakers'!$C$5:$C$38)</f>
        <v>225</v>
      </c>
      <c r="U84" s="201">
        <f t="shared" si="79"/>
        <v>15</v>
      </c>
      <c r="V84" s="899">
        <f>(1+U84/100)*E84</f>
        <v>110.07638684944311</v>
      </c>
      <c r="W84" s="17" t="str">
        <f>LOOKUP(V84,'Wire-Cables Ampacities'!$B$5:$B$35,'Wire-Cables Ampacities'!$C$5:$C$35)</f>
        <v>#3</v>
      </c>
      <c r="X84" s="57">
        <f t="shared" si="80"/>
        <v>10</v>
      </c>
      <c r="Y84" s="899">
        <f>(1+X84/100)*J84</f>
        <v>170.91359999999997</v>
      </c>
      <c r="Z84" s="17" t="str">
        <f>LOOKUP(Y84,'Wire-Cables Ampacities'!$B$5:$B$35,'Wire-Cables Ampacities'!$C$5:$C$35)</f>
        <v>#1/0</v>
      </c>
      <c r="AA84" s="57">
        <f t="shared" si="81"/>
        <v>10</v>
      </c>
      <c r="AB84" s="899">
        <f>(1+AA84/100)*C84</f>
        <v>171.60000000000002</v>
      </c>
      <c r="AC84" s="17" t="str">
        <f>LOOKUP(AB84,'Wire-Cables Ampacities'!$B$5:$B$35,'Wire-Cables Ampacities'!$C$5:$C$35)</f>
        <v>#1/0</v>
      </c>
      <c r="AD84" s="900">
        <f t="shared" si="82"/>
        <v>4.0919999999999996</v>
      </c>
      <c r="AE84" s="898">
        <f t="shared" si="70"/>
        <v>13962.485063999997</v>
      </c>
      <c r="AF84" s="75">
        <f t="shared" si="83"/>
        <v>40</v>
      </c>
      <c r="AG84" s="202">
        <f t="shared" si="83"/>
        <v>60</v>
      </c>
      <c r="AH84" s="57">
        <f t="shared" si="84"/>
        <v>10</v>
      </c>
      <c r="AI84" s="901">
        <f t="shared" si="85"/>
        <v>396.10559999999998</v>
      </c>
      <c r="AJ84" s="902">
        <f t="shared" si="86"/>
        <v>526.82044800000006</v>
      </c>
      <c r="AK84" s="578" t="str">
        <f t="shared" si="87"/>
        <v>6 inch</v>
      </c>
      <c r="AL84" s="903">
        <f t="shared" si="88"/>
        <v>0</v>
      </c>
      <c r="AM84" s="899">
        <f t="shared" si="89"/>
        <v>2</v>
      </c>
      <c r="AN84" s="578">
        <f t="shared" si="90"/>
        <v>0</v>
      </c>
      <c r="AO84" s="936">
        <f t="shared" si="92"/>
        <v>4</v>
      </c>
      <c r="AP84" s="10">
        <v>800</v>
      </c>
      <c r="AQ84" s="897">
        <v>34</v>
      </c>
      <c r="AR84" s="16">
        <v>48</v>
      </c>
      <c r="AS84" s="16">
        <v>28</v>
      </c>
      <c r="AT84" s="930">
        <f t="shared" si="91"/>
        <v>47.944444444444443</v>
      </c>
      <c r="AU84" s="904">
        <f t="shared" si="71"/>
        <v>12763.873952888885</v>
      </c>
      <c r="AV84" s="578"/>
      <c r="AW84" s="578"/>
      <c r="AX84" s="922"/>
      <c r="AY84" s="917"/>
      <c r="AZ84" s="495"/>
      <c r="BA84" s="497"/>
    </row>
    <row r="85" spans="1:53" ht="15.75">
      <c r="A85" s="315"/>
      <c r="B85" s="315"/>
      <c r="C85" s="833"/>
      <c r="D85" s="315"/>
      <c r="E85" s="316"/>
      <c r="F85" s="46"/>
      <c r="G85" s="317"/>
      <c r="H85" s="317"/>
      <c r="I85" s="834"/>
      <c r="J85" s="318"/>
      <c r="K85" s="833"/>
      <c r="L85" s="240"/>
      <c r="M85" s="318"/>
      <c r="N85" s="835"/>
      <c r="O85" s="240"/>
      <c r="P85" s="318"/>
      <c r="Q85" s="318"/>
      <c r="R85" s="318"/>
      <c r="S85" s="318"/>
      <c r="T85" s="240"/>
      <c r="U85" s="318"/>
      <c r="V85" s="46"/>
      <c r="W85" s="240"/>
      <c r="X85" s="318"/>
      <c r="Y85" s="46"/>
      <c r="Z85" s="240"/>
      <c r="AA85" s="318"/>
      <c r="AB85" s="46"/>
      <c r="AC85" s="319"/>
      <c r="AD85" s="318"/>
      <c r="AE85" s="46"/>
      <c r="AF85" s="46"/>
      <c r="AG85" s="240"/>
      <c r="AH85" s="318"/>
      <c r="AI85" s="318"/>
      <c r="AJ85" s="318"/>
      <c r="AK85" s="318"/>
      <c r="AL85" s="318"/>
      <c r="AM85" s="318"/>
      <c r="AN85" s="318"/>
      <c r="AO85" s="7"/>
      <c r="AP85" s="318"/>
      <c r="AQ85" s="46"/>
      <c r="AR85" s="46"/>
      <c r="AS85" s="321"/>
      <c r="AT85" s="93"/>
      <c r="AU85" s="318"/>
      <c r="AV85" s="318"/>
      <c r="AW85" s="93"/>
      <c r="AX85" s="7"/>
      <c r="AY85" s="7"/>
      <c r="AZ85" s="7"/>
    </row>
    <row r="86" spans="1:53">
      <c r="A86" s="4"/>
      <c r="B86" s="4"/>
      <c r="C86" s="4"/>
      <c r="D86" s="4"/>
      <c r="E86"/>
      <c r="F86"/>
      <c r="G86"/>
      <c r="H86"/>
      <c r="AA86" s="4" t="s">
        <v>64</v>
      </c>
      <c r="AB86" s="4" t="s">
        <v>150</v>
      </c>
      <c r="AG86"/>
      <c r="AH86" s="4"/>
      <c r="AI86"/>
      <c r="AJ86" s="4"/>
      <c r="AN86"/>
    </row>
    <row r="87" spans="1:53">
      <c r="A87" s="330" t="s">
        <v>154</v>
      </c>
      <c r="B87" s="330" t="s">
        <v>15</v>
      </c>
      <c r="C87" s="330" t="s">
        <v>155</v>
      </c>
      <c r="D87" s="330" t="s">
        <v>156</v>
      </c>
      <c r="E87" s="581" t="s">
        <v>157</v>
      </c>
      <c r="F87" s="581" t="s">
        <v>17</v>
      </c>
      <c r="G87" s="581" t="s">
        <v>158</v>
      </c>
      <c r="H87"/>
      <c r="Z87" t="s">
        <v>63</v>
      </c>
      <c r="AA87" t="s">
        <v>67</v>
      </c>
      <c r="AB87" s="4" t="s">
        <v>67</v>
      </c>
      <c r="AC87" s="4" t="s">
        <v>151</v>
      </c>
    </row>
    <row r="88" spans="1:53">
      <c r="A88" s="582" t="s">
        <v>173</v>
      </c>
      <c r="B88" s="582" t="s">
        <v>174</v>
      </c>
      <c r="C88" s="582">
        <v>1000</v>
      </c>
      <c r="D88" s="576">
        <f t="shared" ref="D88:D108" si="93">0.0002930711*C88</f>
        <v>0.29307109999999997</v>
      </c>
      <c r="E88" s="583">
        <v>12</v>
      </c>
      <c r="F88" s="584" t="s">
        <v>175</v>
      </c>
      <c r="G88" s="583" t="s">
        <v>161</v>
      </c>
      <c r="H88" s="582"/>
      <c r="AC88" t="s">
        <v>63</v>
      </c>
    </row>
    <row r="89" spans="1:53" s="582" customFormat="1">
      <c r="A89" t="s">
        <v>159</v>
      </c>
      <c r="B89" t="s">
        <v>160</v>
      </c>
      <c r="C89">
        <v>1200</v>
      </c>
      <c r="D89" s="576">
        <f t="shared" si="93"/>
        <v>0.35168531999999997</v>
      </c>
      <c r="E89" s="4">
        <v>12</v>
      </c>
      <c r="F89" s="584"/>
      <c r="G89" s="4" t="s">
        <v>161</v>
      </c>
      <c r="H89"/>
      <c r="AB89" s="583"/>
      <c r="AD89" s="583"/>
      <c r="AE89" s="583"/>
      <c r="AF89" s="583"/>
      <c r="AG89" s="583"/>
      <c r="AI89" s="583"/>
      <c r="AK89" s="583"/>
      <c r="AL89" s="583"/>
      <c r="AM89" s="583"/>
      <c r="AN89" s="583"/>
    </row>
    <row r="90" spans="1:53">
      <c r="A90" t="s">
        <v>162</v>
      </c>
      <c r="C90">
        <v>1600</v>
      </c>
      <c r="D90" s="576">
        <f t="shared" si="93"/>
        <v>0.46891375999999996</v>
      </c>
      <c r="E90" s="4" t="s">
        <v>163</v>
      </c>
      <c r="F90" s="584"/>
      <c r="G90" s="4" t="s">
        <v>161</v>
      </c>
      <c r="H90"/>
      <c r="Z90" s="576">
        <v>0.20499999999999999</v>
      </c>
      <c r="AA90" s="22">
        <v>699.48910999999987</v>
      </c>
      <c r="AB90" s="24">
        <v>336.98910999999993</v>
      </c>
      <c r="AC90" s="4">
        <f>AB90*0.0002930711</f>
        <v>9.8761769155720977E-2</v>
      </c>
      <c r="AD90" s="490">
        <f>Z90-AC90</f>
        <v>0.10623823084427901</v>
      </c>
      <c r="AE90" s="24"/>
      <c r="AF90" s="24"/>
      <c r="AG90" s="490"/>
    </row>
    <row r="91" spans="1:53">
      <c r="A91" t="s">
        <v>162</v>
      </c>
      <c r="C91">
        <v>1800</v>
      </c>
      <c r="D91" s="576">
        <f t="shared" si="93"/>
        <v>0.52752798000000001</v>
      </c>
      <c r="E91" s="4">
        <v>12</v>
      </c>
      <c r="F91" s="584"/>
      <c r="G91" s="4" t="s">
        <v>161</v>
      </c>
      <c r="H91"/>
      <c r="Z91" s="576">
        <v>0.34799999999999992</v>
      </c>
      <c r="AA91" s="22">
        <v>1187.4254159999998</v>
      </c>
      <c r="AB91" s="24">
        <v>824.92541599999981</v>
      </c>
      <c r="AC91" s="4">
        <f t="shared" ref="AC91:AC107" si="94">AB91*0.0002930711</f>
        <v>0.24176179908507753</v>
      </c>
      <c r="AD91" s="490">
        <f>Z91-AC91</f>
        <v>0.10623820091492239</v>
      </c>
      <c r="AE91" s="24"/>
      <c r="AF91" s="24"/>
      <c r="AG91" s="490"/>
    </row>
    <row r="92" spans="1:53">
      <c r="A92" s="582" t="s">
        <v>173</v>
      </c>
      <c r="C92">
        <v>2000</v>
      </c>
      <c r="D92" s="576">
        <f t="shared" si="93"/>
        <v>0.58614219999999995</v>
      </c>
      <c r="E92" s="4">
        <v>12</v>
      </c>
      <c r="F92" s="584" t="s">
        <v>175</v>
      </c>
      <c r="G92" s="4" t="s">
        <v>161</v>
      </c>
      <c r="H92"/>
      <c r="Z92" s="576">
        <v>0.69599999999999984</v>
      </c>
      <c r="AA92" s="22">
        <v>2374.8508319999996</v>
      </c>
      <c r="AB92" s="24">
        <v>1824.8508319999996</v>
      </c>
      <c r="AC92" s="4">
        <f t="shared" si="94"/>
        <v>0.53481104067015506</v>
      </c>
      <c r="AD92" s="490">
        <f>Z92-AC92</f>
        <v>0.16118895932984478</v>
      </c>
      <c r="AE92" s="24"/>
      <c r="AF92" s="24"/>
      <c r="AG92" s="490"/>
    </row>
    <row r="93" spans="1:53">
      <c r="A93" s="582" t="s">
        <v>173</v>
      </c>
      <c r="C93">
        <v>2000</v>
      </c>
      <c r="D93" s="576">
        <f t="shared" si="93"/>
        <v>0.58614219999999995</v>
      </c>
      <c r="E93" s="4">
        <v>12</v>
      </c>
      <c r="F93" s="584" t="s">
        <v>176</v>
      </c>
      <c r="G93" s="4" t="s">
        <v>161</v>
      </c>
      <c r="H93"/>
      <c r="Z93" s="576"/>
      <c r="AA93" s="22"/>
      <c r="AB93" s="24"/>
      <c r="AD93" s="490"/>
      <c r="AE93" s="24"/>
      <c r="AF93" s="24"/>
      <c r="AG93" s="490"/>
    </row>
    <row r="94" spans="1:53">
      <c r="A94" s="582" t="s">
        <v>173</v>
      </c>
      <c r="B94" s="4"/>
      <c r="C94">
        <v>2000</v>
      </c>
      <c r="D94" s="576">
        <f t="shared" si="93"/>
        <v>0.58614219999999995</v>
      </c>
      <c r="E94" s="4">
        <v>12</v>
      </c>
      <c r="F94" s="584"/>
      <c r="G94" s="4" t="s">
        <v>161</v>
      </c>
      <c r="H94"/>
      <c r="Z94" s="576"/>
      <c r="AA94" s="22"/>
      <c r="AB94" s="24"/>
      <c r="AD94" s="490"/>
      <c r="AE94" s="24"/>
      <c r="AF94" s="24"/>
      <c r="AG94" s="490"/>
    </row>
    <row r="95" spans="1:53">
      <c r="A95" s="582" t="s">
        <v>173</v>
      </c>
      <c r="B95" s="4"/>
      <c r="C95" s="4"/>
      <c r="D95" s="576">
        <f t="shared" si="93"/>
        <v>0</v>
      </c>
      <c r="E95"/>
      <c r="F95" s="584"/>
      <c r="G95"/>
      <c r="H95"/>
      <c r="Z95" s="576">
        <v>1.044</v>
      </c>
      <c r="AA95" s="22">
        <v>3562.2762479999997</v>
      </c>
      <c r="AB95" s="24">
        <v>3012.2762479999997</v>
      </c>
      <c r="AC95" s="4">
        <f t="shared" si="94"/>
        <v>0.88281111350523267</v>
      </c>
      <c r="AD95" s="490">
        <f t="shared" ref="AD95:AD107" si="95">Z95-AC95</f>
        <v>0.16118888649476737</v>
      </c>
      <c r="AE95" s="24"/>
      <c r="AF95" s="24"/>
      <c r="AG95" s="490"/>
    </row>
    <row r="96" spans="1:53">
      <c r="A96" t="s">
        <v>159</v>
      </c>
      <c r="B96" t="s">
        <v>164</v>
      </c>
      <c r="C96">
        <v>2000</v>
      </c>
      <c r="D96" s="576">
        <f t="shared" si="93"/>
        <v>0.58614219999999995</v>
      </c>
      <c r="E96" s="4">
        <v>12</v>
      </c>
      <c r="F96" s="584"/>
      <c r="G96" s="4" t="s">
        <v>161</v>
      </c>
      <c r="H96"/>
      <c r="Z96" s="576">
        <v>1.3919999999999997</v>
      </c>
      <c r="AA96" s="22">
        <v>4749.7016639999993</v>
      </c>
      <c r="AB96" s="24">
        <v>4199.7016639999993</v>
      </c>
      <c r="AC96" s="4">
        <f t="shared" si="94"/>
        <v>1.2308111863403102</v>
      </c>
      <c r="AD96" s="490">
        <f t="shared" si="95"/>
        <v>0.16118881365968951</v>
      </c>
      <c r="AE96" s="24"/>
      <c r="AF96" s="24"/>
      <c r="AG96" s="490"/>
    </row>
    <row r="97" spans="1:33">
      <c r="A97" t="s">
        <v>159</v>
      </c>
      <c r="B97" t="s">
        <v>165</v>
      </c>
      <c r="C97">
        <v>2000</v>
      </c>
      <c r="D97" s="576">
        <f t="shared" si="93"/>
        <v>0.58614219999999995</v>
      </c>
      <c r="E97" s="4" t="s">
        <v>163</v>
      </c>
      <c r="F97" s="584"/>
      <c r="G97" s="4" t="s">
        <v>161</v>
      </c>
      <c r="H97"/>
      <c r="Z97" s="576">
        <v>1.5820000000000001</v>
      </c>
      <c r="AA97" s="22">
        <v>5398.0086439999995</v>
      </c>
      <c r="AB97" s="24">
        <v>4848.0086439999995</v>
      </c>
      <c r="AC97" s="4">
        <f t="shared" si="94"/>
        <v>1.4208112261065882</v>
      </c>
      <c r="AD97" s="490">
        <f t="shared" si="95"/>
        <v>0.16118877389341191</v>
      </c>
      <c r="AE97" s="24"/>
      <c r="AF97" s="24"/>
      <c r="AG97" s="490"/>
    </row>
    <row r="98" spans="1:33">
      <c r="A98" t="s">
        <v>162</v>
      </c>
      <c r="C98">
        <v>2200</v>
      </c>
      <c r="D98" s="576">
        <f t="shared" si="93"/>
        <v>0.64475642</v>
      </c>
      <c r="E98" s="4">
        <v>12</v>
      </c>
      <c r="F98" s="584"/>
      <c r="G98" s="4" t="s">
        <v>166</v>
      </c>
      <c r="H98"/>
      <c r="Z98" s="576">
        <v>1.77</v>
      </c>
      <c r="AA98" s="22">
        <v>6039.4913399999996</v>
      </c>
      <c r="AB98" s="24">
        <v>5489.4913399999996</v>
      </c>
      <c r="AC98" s="4">
        <f t="shared" si="94"/>
        <v>1.6088112654542737</v>
      </c>
      <c r="AD98" s="490">
        <f t="shared" si="95"/>
        <v>0.16118873454572635</v>
      </c>
      <c r="AE98" s="24"/>
      <c r="AF98" s="24"/>
      <c r="AG98" s="490"/>
    </row>
    <row r="99" spans="1:33">
      <c r="A99" t="s">
        <v>162</v>
      </c>
      <c r="C99">
        <v>2200</v>
      </c>
      <c r="D99" s="576">
        <f t="shared" si="93"/>
        <v>0.64475642</v>
      </c>
      <c r="E99" s="4" t="s">
        <v>163</v>
      </c>
      <c r="F99" s="584"/>
      <c r="G99" s="4" t="s">
        <v>161</v>
      </c>
      <c r="H99"/>
      <c r="Z99" s="576">
        <v>2.0880000000000001</v>
      </c>
      <c r="AA99" s="22">
        <v>7124.5524959999993</v>
      </c>
      <c r="AB99" s="24">
        <v>6574.5524959999993</v>
      </c>
      <c r="AC99" s="4">
        <f t="shared" si="94"/>
        <v>1.9268113320104652</v>
      </c>
      <c r="AD99" s="490">
        <f t="shared" si="95"/>
        <v>0.16118866798953491</v>
      </c>
      <c r="AE99" s="24"/>
      <c r="AF99" s="24"/>
      <c r="AG99" s="490"/>
    </row>
    <row r="100" spans="1:33">
      <c r="A100" t="s">
        <v>159</v>
      </c>
      <c r="B100" t="s">
        <v>167</v>
      </c>
      <c r="C100">
        <v>3500</v>
      </c>
      <c r="D100" s="576">
        <f t="shared" si="93"/>
        <v>1.0257488499999998</v>
      </c>
      <c r="E100" s="4">
        <v>12</v>
      </c>
      <c r="F100" s="584"/>
      <c r="G100" s="4" t="s">
        <v>168</v>
      </c>
      <c r="H100"/>
      <c r="Z100" s="576">
        <v>2.4660000000000002</v>
      </c>
      <c r="AA100" s="22">
        <v>8414.3421719999988</v>
      </c>
      <c r="AB100" s="24">
        <v>7515.3838386666657</v>
      </c>
      <c r="AC100" s="4">
        <f t="shared" si="94"/>
        <v>2.2025418085202619</v>
      </c>
      <c r="AD100" s="490">
        <f t="shared" si="95"/>
        <v>0.26345819147973826</v>
      </c>
      <c r="AE100" s="24"/>
      <c r="AF100" s="24"/>
      <c r="AG100" s="490"/>
    </row>
    <row r="101" spans="1:33">
      <c r="A101" t="s">
        <v>162</v>
      </c>
      <c r="C101">
        <v>4000</v>
      </c>
      <c r="D101" s="576">
        <f t="shared" si="93"/>
        <v>1.1722843999999999</v>
      </c>
      <c r="E101" s="4">
        <v>12</v>
      </c>
      <c r="F101" s="584"/>
      <c r="G101" s="4" t="s">
        <v>161</v>
      </c>
      <c r="H101"/>
      <c r="Z101" s="576">
        <v>2.7839999999999994</v>
      </c>
      <c r="AA101" s="22">
        <v>9499.4033279999985</v>
      </c>
      <c r="AB101" s="24">
        <v>8600.4449946666646</v>
      </c>
      <c r="AC101" s="4">
        <f t="shared" si="94"/>
        <v>2.5205418750764532</v>
      </c>
      <c r="AD101" s="490">
        <f t="shared" si="95"/>
        <v>0.26345812492354614</v>
      </c>
      <c r="AE101" s="24"/>
      <c r="AF101" s="24"/>
      <c r="AG101" s="490"/>
    </row>
    <row r="102" spans="1:33">
      <c r="A102" t="s">
        <v>162</v>
      </c>
      <c r="C102">
        <v>4000</v>
      </c>
      <c r="D102" s="576">
        <f t="shared" si="93"/>
        <v>1.1722843999999999</v>
      </c>
      <c r="E102" s="4" t="s">
        <v>163</v>
      </c>
      <c r="F102" s="584"/>
      <c r="G102" s="4" t="s">
        <v>161</v>
      </c>
      <c r="H102"/>
      <c r="Z102" s="576">
        <v>3.1019999999999999</v>
      </c>
      <c r="AA102" s="22">
        <v>10584.464484</v>
      </c>
      <c r="AB102" s="24">
        <v>9685.5061506666661</v>
      </c>
      <c r="AC102" s="4">
        <f t="shared" si="94"/>
        <v>2.8385419416326454</v>
      </c>
      <c r="AD102" s="490">
        <f t="shared" si="95"/>
        <v>0.26345805836735448</v>
      </c>
      <c r="AE102" s="24"/>
      <c r="AF102" s="24"/>
      <c r="AG102" s="490"/>
    </row>
    <row r="103" spans="1:33">
      <c r="A103" t="s">
        <v>159</v>
      </c>
      <c r="B103" t="s">
        <v>169</v>
      </c>
      <c r="C103">
        <v>4500</v>
      </c>
      <c r="D103" s="576">
        <f t="shared" si="93"/>
        <v>1.31881995</v>
      </c>
      <c r="E103" s="4">
        <v>12</v>
      </c>
      <c r="F103" s="584"/>
      <c r="G103" s="4" t="s">
        <v>166</v>
      </c>
      <c r="H103"/>
      <c r="Z103" s="576">
        <v>4.1760000000000002</v>
      </c>
      <c r="AA103" s="22">
        <v>14249.104991999999</v>
      </c>
      <c r="AB103" s="24">
        <v>13350.146658666665</v>
      </c>
      <c r="AC103" s="4">
        <f t="shared" si="94"/>
        <v>3.9125421664167637</v>
      </c>
      <c r="AD103" s="490">
        <f t="shared" si="95"/>
        <v>0.26345783358323649</v>
      </c>
      <c r="AE103" s="24"/>
      <c r="AF103" s="24"/>
      <c r="AG103" s="490"/>
    </row>
    <row r="104" spans="1:33">
      <c r="A104" t="s">
        <v>162</v>
      </c>
      <c r="C104">
        <v>6000</v>
      </c>
      <c r="D104" s="576">
        <f t="shared" si="93"/>
        <v>1.7584266</v>
      </c>
      <c r="E104" s="4">
        <v>12</v>
      </c>
      <c r="F104" s="584"/>
      <c r="G104" s="4" t="s">
        <v>161</v>
      </c>
      <c r="H104"/>
      <c r="Z104" s="576">
        <v>5.19</v>
      </c>
      <c r="AA104" s="22">
        <v>17709.01698</v>
      </c>
      <c r="AB104" s="24">
        <v>16810.058646666668</v>
      </c>
      <c r="AC104" s="4">
        <f t="shared" si="94"/>
        <v>4.9265423786431111</v>
      </c>
      <c r="AD104" s="490">
        <f t="shared" si="95"/>
        <v>0.26345762135688933</v>
      </c>
      <c r="AE104" s="24"/>
      <c r="AF104" s="24"/>
      <c r="AG104" s="490"/>
    </row>
    <row r="105" spans="1:33">
      <c r="A105" t="s">
        <v>159</v>
      </c>
      <c r="B105" t="s">
        <v>170</v>
      </c>
      <c r="C105">
        <v>6000</v>
      </c>
      <c r="D105" s="576">
        <f t="shared" si="93"/>
        <v>1.7584266</v>
      </c>
      <c r="E105" s="4">
        <v>12</v>
      </c>
      <c r="F105" s="584"/>
      <c r="G105" s="4" t="s">
        <v>161</v>
      </c>
      <c r="H105"/>
      <c r="Z105" s="576">
        <v>5.5679999999999987</v>
      </c>
      <c r="AA105" s="22">
        <v>18998.806655999997</v>
      </c>
      <c r="AB105" s="24">
        <v>18099.848322666665</v>
      </c>
      <c r="AC105" s="4">
        <f t="shared" si="94"/>
        <v>5.3045424577570737</v>
      </c>
      <c r="AD105" s="490">
        <f t="shared" si="95"/>
        <v>0.26345754224292506</v>
      </c>
      <c r="AE105" s="24"/>
      <c r="AF105" s="24"/>
      <c r="AG105" s="490"/>
    </row>
    <row r="106" spans="1:33">
      <c r="A106" t="s">
        <v>159</v>
      </c>
      <c r="B106" t="s">
        <v>171</v>
      </c>
      <c r="C106">
        <v>8000</v>
      </c>
      <c r="D106" s="576">
        <f t="shared" si="93"/>
        <v>2.3445687999999998</v>
      </c>
      <c r="E106" s="4">
        <v>12</v>
      </c>
      <c r="F106" s="584"/>
      <c r="G106" s="4" t="s">
        <v>161</v>
      </c>
      <c r="H106"/>
      <c r="Z106" s="576">
        <v>6.9</v>
      </c>
      <c r="AA106" s="22">
        <v>23543.7798</v>
      </c>
      <c r="AB106" s="24">
        <v>22202.113133333332</v>
      </c>
      <c r="AC106" s="4">
        <f t="shared" si="94"/>
        <v>6.5067977183104455</v>
      </c>
      <c r="AD106" s="490">
        <f t="shared" si="95"/>
        <v>0.39320228168955484</v>
      </c>
      <c r="AE106" s="24"/>
      <c r="AF106" s="24"/>
      <c r="AG106" s="490"/>
    </row>
    <row r="107" spans="1:33">
      <c r="A107" t="s">
        <v>162</v>
      </c>
      <c r="C107">
        <v>8500</v>
      </c>
      <c r="D107" s="576">
        <f t="shared" si="93"/>
        <v>2.4911043499999996</v>
      </c>
      <c r="E107" s="4" t="s">
        <v>163</v>
      </c>
      <c r="F107" s="584"/>
      <c r="G107" s="4" t="s">
        <v>161</v>
      </c>
      <c r="H107"/>
      <c r="Z107" s="576">
        <v>8.2919999999999998</v>
      </c>
      <c r="AA107" s="22">
        <v>28293.481464</v>
      </c>
      <c r="AB107" s="24">
        <v>26951.814797333333</v>
      </c>
      <c r="AC107" s="4">
        <f t="shared" si="94"/>
        <v>7.898798009650756</v>
      </c>
      <c r="AD107" s="490">
        <f t="shared" si="95"/>
        <v>0.39320199034924386</v>
      </c>
      <c r="AE107" s="24"/>
      <c r="AF107" s="24"/>
      <c r="AG107" s="490"/>
    </row>
    <row r="108" spans="1:33">
      <c r="A108" t="s">
        <v>159</v>
      </c>
      <c r="B108" t="s">
        <v>172</v>
      </c>
      <c r="C108">
        <v>12000</v>
      </c>
      <c r="D108" s="576">
        <f t="shared" si="93"/>
        <v>3.5168531999999999</v>
      </c>
      <c r="E108" s="4">
        <v>12</v>
      </c>
      <c r="F108" s="584"/>
      <c r="G108" s="4" t="s">
        <v>161</v>
      </c>
      <c r="H108"/>
    </row>
    <row r="109" spans="1:33">
      <c r="A109" s="4"/>
      <c r="B109" s="4"/>
      <c r="C109" s="4"/>
      <c r="D109" s="4"/>
      <c r="E109"/>
      <c r="F109"/>
      <c r="G109"/>
      <c r="H109"/>
    </row>
    <row r="110" spans="1:33">
      <c r="B110" s="4"/>
      <c r="C110" s="4"/>
      <c r="D110" s="4"/>
      <c r="E110" s="50"/>
      <c r="H110" s="4"/>
    </row>
  </sheetData>
  <phoneticPr fontId="2" type="noConversion"/>
  <hyperlinks>
    <hyperlink ref="G70" r:id="rId1" display="http://www.semikron.com/databook/11semipo/skdt230.pdf" xr:uid="{00000000-0004-0000-0000-000000000000}"/>
    <hyperlink ref="G69" r:id="rId2" display="http://www.semikron.com/databook/11semipo/skdt145.pdf" xr:uid="{00000000-0004-0000-0000-000001000000}"/>
    <hyperlink ref="G68" r:id="rId3" display="http://www.semikron.com/databook/11semipo/skdt115.pdf" xr:uid="{00000000-0004-0000-0000-000002000000}"/>
    <hyperlink ref="G67" r:id="rId4" display="http://www.semikron.com/databook/17semito/sk70dt.pdf" xr:uid="{00000000-0004-0000-0000-000003000000}"/>
  </hyperlinks>
  <pageMargins left="0.2" right="0.2" top="0.16" bottom="0.18" header="0.14000000000000001" footer="0.17"/>
  <pageSetup paperSize="3" scale="31" orientation="portrait" horizontalDpi="4294967293" r:id="rId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6"/>
  </sheetPr>
  <dimension ref="A1:Y266"/>
  <sheetViews>
    <sheetView topLeftCell="A250" workbookViewId="0">
      <selection activeCell="U138" sqref="U138"/>
    </sheetView>
  </sheetViews>
  <sheetFormatPr baseColWidth="10" defaultColWidth="9.140625" defaultRowHeight="12.75"/>
  <cols>
    <col min="1" max="2" width="7.28515625" customWidth="1"/>
    <col min="4" max="6" width="7.28515625" customWidth="1"/>
    <col min="7" max="8" width="9" customWidth="1"/>
    <col min="9" max="9" width="7.28515625" customWidth="1"/>
    <col min="10" max="10" width="9.85546875" customWidth="1"/>
    <col min="11" max="12" width="7.28515625" customWidth="1"/>
    <col min="13" max="13" width="12.28515625" style="4" customWidth="1"/>
    <col min="14" max="15" width="9.140625" style="4" customWidth="1"/>
    <col min="19" max="19" width="10.85546875" style="4" customWidth="1"/>
    <col min="20" max="20" width="14.140625" style="4" customWidth="1"/>
    <col min="21" max="21" width="15.140625" style="4" customWidth="1"/>
    <col min="24" max="24" width="14.42578125" customWidth="1"/>
    <col min="25" max="25" width="11.85546875" customWidth="1"/>
  </cols>
  <sheetData>
    <row r="1" spans="1:23" ht="18.75" thickBot="1">
      <c r="A1" s="30" t="s">
        <v>103</v>
      </c>
      <c r="B1" s="31"/>
      <c r="C1" s="161"/>
      <c r="D1" s="6"/>
      <c r="G1" s="432" t="s">
        <v>107</v>
      </c>
    </row>
    <row r="2" spans="1:23">
      <c r="V2" s="635" t="s">
        <v>257</v>
      </c>
      <c r="W2" s="636"/>
    </row>
    <row r="3" spans="1:23" ht="13.5" customHeight="1" thickBot="1">
      <c r="V3" s="75"/>
      <c r="W3" s="637" t="s">
        <v>258</v>
      </c>
    </row>
    <row r="4" spans="1:23">
      <c r="A4" s="2" t="s">
        <v>23</v>
      </c>
      <c r="B4" s="1" t="s">
        <v>16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21" t="s">
        <v>29</v>
      </c>
      <c r="I4" s="21"/>
      <c r="J4" s="21" t="s">
        <v>18</v>
      </c>
      <c r="K4" s="1" t="s">
        <v>30</v>
      </c>
      <c r="L4" s="1" t="s">
        <v>31</v>
      </c>
      <c r="V4" s="638">
        <v>1</v>
      </c>
      <c r="W4" s="639">
        <v>100</v>
      </c>
    </row>
    <row r="5" spans="1:23">
      <c r="A5" s="2" t="s">
        <v>40</v>
      </c>
      <c r="B5" s="1" t="s">
        <v>41</v>
      </c>
      <c r="C5" s="1"/>
      <c r="D5" s="1" t="s">
        <v>40</v>
      </c>
      <c r="E5" s="1" t="s">
        <v>40</v>
      </c>
      <c r="F5" s="1" t="s">
        <v>42</v>
      </c>
      <c r="G5" s="1" t="s">
        <v>43</v>
      </c>
      <c r="H5" s="21" t="s">
        <v>44</v>
      </c>
      <c r="I5" s="21"/>
      <c r="J5" s="21" t="s">
        <v>44</v>
      </c>
      <c r="K5" s="1" t="s">
        <v>43</v>
      </c>
      <c r="L5" s="1" t="s">
        <v>42</v>
      </c>
      <c r="V5" s="72">
        <v>2</v>
      </c>
      <c r="W5" s="640">
        <v>0</v>
      </c>
    </row>
    <row r="6" spans="1:23" ht="13.5" thickBot="1">
      <c r="A6" s="111"/>
      <c r="B6" s="7"/>
      <c r="C6" s="7"/>
      <c r="D6" s="7"/>
      <c r="E6" s="7"/>
      <c r="F6" s="7"/>
      <c r="G6" s="7"/>
      <c r="H6" s="43"/>
      <c r="I6" s="43"/>
      <c r="J6" s="43"/>
      <c r="K6" s="7"/>
      <c r="L6" s="7"/>
      <c r="V6" s="72">
        <v>3</v>
      </c>
      <c r="W6" s="640">
        <v>0</v>
      </c>
    </row>
    <row r="7" spans="1:23" s="155" customFormat="1" ht="20.100000000000001" customHeight="1" thickBot="1">
      <c r="A7" s="85" t="s">
        <v>77</v>
      </c>
      <c r="B7" s="144"/>
      <c r="C7" s="144"/>
      <c r="D7" s="145"/>
      <c r="E7" s="145"/>
      <c r="F7" s="145"/>
      <c r="G7" s="150"/>
      <c r="H7" s="168" t="s">
        <v>101</v>
      </c>
      <c r="I7" s="148"/>
      <c r="J7" s="148"/>
      <c r="K7" s="148"/>
      <c r="L7" s="149"/>
      <c r="M7" s="581" t="s">
        <v>252</v>
      </c>
      <c r="N7" s="4"/>
      <c r="O7" s="4"/>
      <c r="P7" s="330" t="s">
        <v>259</v>
      </c>
      <c r="Q7"/>
      <c r="R7" s="155" t="s">
        <v>260</v>
      </c>
      <c r="S7" s="625"/>
      <c r="T7" s="625"/>
      <c r="U7" s="625"/>
      <c r="V7" s="72">
        <v>4</v>
      </c>
      <c r="W7" s="640">
        <v>0</v>
      </c>
    </row>
    <row r="8" spans="1:23" s="120" customFormat="1" ht="20.100000000000001" customHeight="1" thickBot="1">
      <c r="A8" s="121" t="s">
        <v>23</v>
      </c>
      <c r="B8" s="122"/>
      <c r="C8" s="214" t="s">
        <v>76</v>
      </c>
      <c r="D8" s="123"/>
      <c r="E8" s="217" t="s">
        <v>57</v>
      </c>
      <c r="F8" s="218"/>
      <c r="G8" s="219"/>
      <c r="H8" s="126"/>
      <c r="I8" s="116"/>
      <c r="J8" s="116"/>
      <c r="K8" s="116"/>
      <c r="L8" s="117"/>
      <c r="M8" s="4"/>
      <c r="N8" s="4"/>
      <c r="O8" s="4"/>
      <c r="P8"/>
      <c r="Q8"/>
      <c r="S8" s="626"/>
      <c r="T8" s="626"/>
      <c r="U8" s="626"/>
      <c r="V8" s="66">
        <v>5</v>
      </c>
      <c r="W8" s="68">
        <v>30</v>
      </c>
    </row>
    <row r="9" spans="1:23" s="143" customFormat="1" ht="20.100000000000001" customHeight="1">
      <c r="A9" s="115">
        <v>380</v>
      </c>
      <c r="B9" s="67" t="s">
        <v>92</v>
      </c>
      <c r="C9" s="65" t="s">
        <v>93</v>
      </c>
      <c r="D9" s="215" t="s">
        <v>16</v>
      </c>
      <c r="E9" s="115" t="s">
        <v>54</v>
      </c>
      <c r="F9" s="221" t="s">
        <v>58</v>
      </c>
      <c r="G9" s="300" t="s">
        <v>55</v>
      </c>
      <c r="H9" s="115" t="s">
        <v>50</v>
      </c>
      <c r="I9" s="134" t="s">
        <v>51</v>
      </c>
      <c r="J9" s="310" t="s">
        <v>56</v>
      </c>
      <c r="K9" s="138" t="s">
        <v>28</v>
      </c>
      <c r="L9" s="160" t="s">
        <v>29</v>
      </c>
      <c r="M9" s="4"/>
      <c r="N9" s="629">
        <v>0.05</v>
      </c>
      <c r="O9" s="629">
        <v>0.04</v>
      </c>
      <c r="P9" s="4" t="s">
        <v>254</v>
      </c>
      <c r="Q9" s="4" t="s">
        <v>255</v>
      </c>
      <c r="R9" s="455" t="s">
        <v>263</v>
      </c>
      <c r="S9" s="583" t="s">
        <v>261</v>
      </c>
      <c r="T9" s="627"/>
      <c r="U9" s="627"/>
      <c r="V9" s="72">
        <v>6</v>
      </c>
      <c r="W9" s="640">
        <v>0</v>
      </c>
    </row>
    <row r="10" spans="1:23" s="120" customFormat="1" ht="20.100000000000001" customHeight="1" thickBot="1">
      <c r="A10" s="210" t="s">
        <v>24</v>
      </c>
      <c r="B10" s="211" t="s">
        <v>53</v>
      </c>
      <c r="C10" s="210" t="s">
        <v>53</v>
      </c>
      <c r="D10" s="216" t="s">
        <v>22</v>
      </c>
      <c r="E10" s="225" t="s">
        <v>53</v>
      </c>
      <c r="F10" s="226" t="s">
        <v>22</v>
      </c>
      <c r="G10" s="309">
        <v>10</v>
      </c>
      <c r="H10" s="210" t="s">
        <v>42</v>
      </c>
      <c r="I10" s="231" t="s">
        <v>42</v>
      </c>
      <c r="J10" s="298">
        <v>25</v>
      </c>
      <c r="K10" s="220" t="s">
        <v>43</v>
      </c>
      <c r="L10" s="236" t="s">
        <v>44</v>
      </c>
      <c r="M10" s="625" t="s">
        <v>253</v>
      </c>
      <c r="N10" s="625" t="s">
        <v>253</v>
      </c>
      <c r="O10" s="625" t="s">
        <v>253</v>
      </c>
      <c r="P10" s="630" t="s">
        <v>256</v>
      </c>
      <c r="Q10" s="630" t="s">
        <v>256</v>
      </c>
      <c r="R10" s="641" t="s">
        <v>22</v>
      </c>
      <c r="S10" s="641" t="s">
        <v>262</v>
      </c>
      <c r="T10" s="626"/>
      <c r="U10" s="626"/>
      <c r="V10" s="72">
        <v>7</v>
      </c>
      <c r="W10" s="640">
        <v>12</v>
      </c>
    </row>
    <row r="11" spans="1:23" s="120" customFormat="1" ht="20.100000000000001" customHeight="1">
      <c r="A11" s="208"/>
      <c r="B11" s="209"/>
      <c r="C11" s="212"/>
      <c r="D11" s="222"/>
      <c r="E11" s="227"/>
      <c r="F11" s="228"/>
      <c r="G11" s="229"/>
      <c r="H11" s="227"/>
      <c r="I11" s="229"/>
      <c r="J11" s="234"/>
      <c r="K11" s="230"/>
      <c r="L11" s="235"/>
      <c r="M11" s="4"/>
      <c r="N11" s="4"/>
      <c r="O11" s="4"/>
      <c r="P11"/>
      <c r="Q11"/>
      <c r="R11" s="642"/>
      <c r="S11" s="641"/>
      <c r="T11" s="626"/>
      <c r="U11" s="626"/>
      <c r="V11" s="72">
        <v>8</v>
      </c>
      <c r="W11" s="640">
        <v>0</v>
      </c>
    </row>
    <row r="12" spans="1:23" s="174" customFormat="1" ht="20.100000000000001" customHeight="1">
      <c r="A12" s="129">
        <f>A$9/2</f>
        <v>190</v>
      </c>
      <c r="B12" s="130">
        <v>1.65</v>
      </c>
      <c r="C12" s="131">
        <f>A12*B12</f>
        <v>313.5</v>
      </c>
      <c r="D12" s="223">
        <v>5</v>
      </c>
      <c r="E12" s="131">
        <f>IF(L12/120/SQRT(3)*1.5&lt;65,120,IF(L12/208/SQRT(3)*1.5&lt;65,208,IF(L12/240/SQRT(3)*1.5&lt;65,240,480)))</f>
        <v>120</v>
      </c>
      <c r="F12" s="132">
        <f>L12*1000/E12/SQRT(3)</f>
        <v>12.028130608117204</v>
      </c>
      <c r="G12" s="130">
        <f>G$10</f>
        <v>10</v>
      </c>
      <c r="H12" s="232">
        <f>IF(C12&lt;87,0.428*(1+G12/100)*C12+2,0.428*(1+G12/100)*C12)</f>
        <v>147.59580000000003</v>
      </c>
      <c r="I12" s="133">
        <f>SQRT(3)*H12</f>
        <v>255.64342458377453</v>
      </c>
      <c r="J12" s="163">
        <f>J$10</f>
        <v>25</v>
      </c>
      <c r="K12" s="132">
        <f>(1+J12/100)*D12*0.83</f>
        <v>5.1875</v>
      </c>
      <c r="L12" s="159">
        <f>IF(CEILING(I12*K12*SQRT(3)/1000,0.25)&lt;10,CEILING(I12*K12*SQRT(3)/1000,0.25),IF(CEILING(I12*K12*SQRT(3)/1000,0.25)&lt;20,CEILING(I12*K12*SQRT(3)/1000,0.5),CEILING(I12*K12*SQRT(3)/1000,1)))</f>
        <v>2.5</v>
      </c>
      <c r="M12" s="631"/>
      <c r="N12" s="631"/>
      <c r="O12" s="631"/>
      <c r="P12" s="632"/>
      <c r="Q12" s="632"/>
      <c r="R12" s="643"/>
      <c r="S12" s="644"/>
      <c r="T12" s="24"/>
      <c r="U12" s="24"/>
      <c r="V12" s="72">
        <v>9</v>
      </c>
      <c r="W12" s="640">
        <v>0</v>
      </c>
    </row>
    <row r="13" spans="1:23" s="112" customFormat="1" ht="20.100000000000001" customHeight="1" thickBot="1">
      <c r="A13" s="165">
        <v>120</v>
      </c>
      <c r="B13" s="170">
        <v>6</v>
      </c>
      <c r="C13" s="169">
        <f>A13*B13</f>
        <v>720</v>
      </c>
      <c r="D13" s="224">
        <v>40</v>
      </c>
      <c r="E13" s="169">
        <v>480</v>
      </c>
      <c r="F13" s="166">
        <f>L13*1000/E13/SQRT(3)</f>
        <v>51.720961614903977</v>
      </c>
      <c r="G13" s="170">
        <f>G$10</f>
        <v>10</v>
      </c>
      <c r="H13" s="233">
        <f>IF(C13&lt;87,0.428*(1+G13/100)*C13+2,0.428*(1+G13/100)*C13)</f>
        <v>338.97600000000006</v>
      </c>
      <c r="I13" s="164">
        <f>SQRT(3)*H13</f>
        <v>587.12365454646783</v>
      </c>
      <c r="J13" s="167">
        <f>J$10</f>
        <v>25</v>
      </c>
      <c r="K13" s="166">
        <f>(1+J13/100)*D13*0.83</f>
        <v>41.5</v>
      </c>
      <c r="L13" s="429">
        <f>IF(CEILING(I13*K13*SQRT(3)/1000,0.25)&lt;10,CEILING(I13*K13*SQRT(3)/1000,0.25),IF(CEILING(I13*K13*SQRT(3)/1000,0.25)&lt;20,CEILING(I13*K13*SQRT(3)/1000,0.5),CEILING(I13*K13*SQRT(3)/1000,1)))</f>
        <v>43</v>
      </c>
      <c r="M13" s="631"/>
      <c r="N13" s="633"/>
      <c r="O13" s="633"/>
      <c r="P13" s="634"/>
      <c r="Q13" s="634"/>
      <c r="R13" s="643"/>
      <c r="S13" s="644"/>
      <c r="T13" s="24"/>
      <c r="U13" s="24"/>
      <c r="V13" s="72">
        <v>10</v>
      </c>
      <c r="W13" s="640">
        <v>0</v>
      </c>
    </row>
    <row r="14" spans="1:23" ht="13.5" thickBot="1">
      <c r="A14" s="111"/>
      <c r="B14" s="7"/>
      <c r="C14" s="7"/>
      <c r="D14" s="7"/>
      <c r="E14" s="7"/>
      <c r="F14" s="7"/>
      <c r="G14" s="7"/>
      <c r="H14" s="43"/>
      <c r="I14" s="43"/>
      <c r="J14" s="43"/>
      <c r="K14" s="7"/>
      <c r="L14" s="7"/>
      <c r="V14" s="75">
        <v>11</v>
      </c>
      <c r="W14" s="637">
        <v>9</v>
      </c>
    </row>
    <row r="15" spans="1:23">
      <c r="F15">
        <f>C12*0.428*SQRT(3)*1.1</f>
        <v>255.6434245837745</v>
      </c>
    </row>
    <row r="16" spans="1:23" ht="13.5" thickBot="1"/>
    <row r="17" spans="1:21" ht="16.5" thickBot="1">
      <c r="A17" s="95" t="s">
        <v>77</v>
      </c>
      <c r="B17" s="96"/>
      <c r="C17" s="44"/>
      <c r="D17" s="86"/>
      <c r="E17" s="86"/>
      <c r="F17" s="86"/>
      <c r="G17" s="87"/>
      <c r="H17" s="290" t="s">
        <v>102</v>
      </c>
      <c r="I17" s="42"/>
      <c r="J17" s="51"/>
      <c r="K17" s="42"/>
      <c r="L17" s="40"/>
    </row>
    <row r="18" spans="1:21" ht="13.5" thickBot="1">
      <c r="A18" s="97" t="s">
        <v>23</v>
      </c>
      <c r="B18" s="48"/>
      <c r="C18" s="189" t="s">
        <v>76</v>
      </c>
      <c r="D18" s="190"/>
      <c r="E18" s="189" t="s">
        <v>57</v>
      </c>
      <c r="F18" s="191"/>
      <c r="G18" s="192"/>
      <c r="H18" s="76"/>
      <c r="I18" s="90"/>
      <c r="J18" s="175"/>
      <c r="K18" s="90"/>
      <c r="L18" s="49"/>
      <c r="M18" s="581" t="s">
        <v>324</v>
      </c>
      <c r="P18" t="s">
        <v>321</v>
      </c>
      <c r="Q18" t="s">
        <v>320</v>
      </c>
    </row>
    <row r="19" spans="1:21" ht="15">
      <c r="A19" s="65">
        <v>12</v>
      </c>
      <c r="B19" s="67" t="s">
        <v>92</v>
      </c>
      <c r="C19" s="65" t="s">
        <v>93</v>
      </c>
      <c r="D19" s="67" t="s">
        <v>16</v>
      </c>
      <c r="E19" s="65" t="s">
        <v>54</v>
      </c>
      <c r="F19" s="18" t="s">
        <v>58</v>
      </c>
      <c r="G19" s="314" t="s">
        <v>55</v>
      </c>
      <c r="H19" s="65" t="s">
        <v>50</v>
      </c>
      <c r="I19" s="18" t="s">
        <v>51</v>
      </c>
      <c r="J19" s="73" t="s">
        <v>56</v>
      </c>
      <c r="K19" s="18" t="s">
        <v>28</v>
      </c>
      <c r="L19" s="156" t="s">
        <v>29</v>
      </c>
      <c r="N19" s="629">
        <v>0.05</v>
      </c>
      <c r="O19" s="629">
        <v>0.04</v>
      </c>
      <c r="P19" s="4" t="s">
        <v>325</v>
      </c>
      <c r="Q19" s="4" t="s">
        <v>325</v>
      </c>
      <c r="R19" s="455" t="s">
        <v>263</v>
      </c>
      <c r="S19" s="583" t="s">
        <v>261</v>
      </c>
      <c r="T19" s="4" t="s">
        <v>323</v>
      </c>
      <c r="U19" s="4" t="s">
        <v>322</v>
      </c>
    </row>
    <row r="20" spans="1:21" ht="16.5" thickBot="1">
      <c r="A20" s="187" t="s">
        <v>24</v>
      </c>
      <c r="B20" s="188" t="s">
        <v>53</v>
      </c>
      <c r="C20" s="306" t="s">
        <v>53</v>
      </c>
      <c r="D20" s="255" t="s">
        <v>22</v>
      </c>
      <c r="E20" s="187" t="s">
        <v>53</v>
      </c>
      <c r="F20" s="16" t="s">
        <v>22</v>
      </c>
      <c r="G20" s="194">
        <v>25</v>
      </c>
      <c r="H20" s="187" t="s">
        <v>42</v>
      </c>
      <c r="I20" s="16" t="s">
        <v>42</v>
      </c>
      <c r="J20" s="196">
        <v>25</v>
      </c>
      <c r="K20" s="16" t="s">
        <v>43</v>
      </c>
      <c r="L20" s="195" t="s">
        <v>44</v>
      </c>
      <c r="M20" s="625" t="s">
        <v>253</v>
      </c>
      <c r="N20" s="625" t="s">
        <v>253</v>
      </c>
      <c r="O20" s="625" t="s">
        <v>253</v>
      </c>
      <c r="P20" s="630" t="s">
        <v>256</v>
      </c>
      <c r="Q20" s="630" t="s">
        <v>256</v>
      </c>
      <c r="R20" s="641" t="s">
        <v>22</v>
      </c>
      <c r="S20" s="641" t="s">
        <v>262</v>
      </c>
      <c r="T20" s="625" t="s">
        <v>266</v>
      </c>
      <c r="U20" s="625" t="s">
        <v>266</v>
      </c>
    </row>
    <row r="21" spans="1:21">
      <c r="A21" s="70"/>
      <c r="B21" s="197"/>
      <c r="C21" s="65"/>
      <c r="D21" s="67"/>
      <c r="E21" s="302"/>
      <c r="F21" s="18"/>
      <c r="G21" s="19"/>
      <c r="H21" s="65"/>
      <c r="I21" s="18"/>
      <c r="J21" s="73"/>
      <c r="K21" s="18"/>
      <c r="L21" s="156"/>
    </row>
    <row r="22" spans="1:21" s="778" customFormat="1" ht="15.75">
      <c r="A22" s="765">
        <v>24</v>
      </c>
      <c r="B22" s="766">
        <v>2.4</v>
      </c>
      <c r="C22" s="767">
        <f>A22*B22</f>
        <v>57.599999999999994</v>
      </c>
      <c r="D22" s="768">
        <v>175</v>
      </c>
      <c r="E22" s="769">
        <v>480</v>
      </c>
      <c r="F22" s="770">
        <f>L22*1000/E22/SQRT(3)</f>
        <v>21.650635094610969</v>
      </c>
      <c r="G22" s="771">
        <f>G$20</f>
        <v>25</v>
      </c>
      <c r="H22" s="772">
        <f t="shared" ref="H22:H50" si="0">IF(C22&lt;87,0.428*(1+G22/100)*C22+2,0.428*(1+G22/100)*C22)</f>
        <v>32.816000000000003</v>
      </c>
      <c r="I22" s="770">
        <f>SQRT(3)*H22</f>
        <v>56.838979301180281</v>
      </c>
      <c r="J22" s="773">
        <f>J$20</f>
        <v>25</v>
      </c>
      <c r="K22" s="770">
        <f t="shared" ref="K22:K50" si="1">(1+J22/100)*D22*0.83</f>
        <v>181.5625</v>
      </c>
      <c r="L22" s="774">
        <f>IF(CEILING(I22*K22*SQRT(3)/1000,0.25)&lt;10,CEILING(I22*K22*SQRT(3)/1000,0.25),IF(CEILING(I22*K22*SQRT(3)/1000,0.25)&lt;20,CEILING(I22*K22*SQRT(3)/1000,0.5),CEILING(I22*K22*SQRT(3)/1000,1)))</f>
        <v>18</v>
      </c>
      <c r="M22" s="775"/>
      <c r="N22" s="775"/>
      <c r="O22" s="775"/>
      <c r="P22" s="776"/>
      <c r="Q22" s="776"/>
      <c r="R22" s="776"/>
      <c r="S22" s="775"/>
      <c r="T22" s="777"/>
      <c r="U22" s="777"/>
    </row>
    <row r="23" spans="1:21" s="792" customFormat="1" ht="15.75">
      <c r="A23" s="779">
        <v>60</v>
      </c>
      <c r="B23" s="780">
        <v>2.4</v>
      </c>
      <c r="C23" s="781">
        <f t="shared" ref="C23:C50" si="2">A23*B23</f>
        <v>144</v>
      </c>
      <c r="D23" s="782">
        <v>100</v>
      </c>
      <c r="E23" s="783">
        <v>480</v>
      </c>
      <c r="F23" s="784">
        <f t="shared" ref="F23:F50" si="3">L23*1000/E23/SQRT(3)</f>
        <v>28.867513459481291</v>
      </c>
      <c r="G23" s="785">
        <f t="shared" ref="G23:G50" si="4">G$20</f>
        <v>25</v>
      </c>
      <c r="H23" s="786">
        <f t="shared" si="0"/>
        <v>77.040000000000006</v>
      </c>
      <c r="I23" s="784">
        <f t="shared" ref="I23:I50" si="5">SQRT(3)*H23</f>
        <v>133.4371942151063</v>
      </c>
      <c r="J23" s="787">
        <f t="shared" ref="J23:J50" si="6">J$20</f>
        <v>25</v>
      </c>
      <c r="K23" s="784">
        <f t="shared" si="1"/>
        <v>103.75</v>
      </c>
      <c r="L23" s="788">
        <f t="shared" ref="L23:L50" si="7">IF(CEILING(I23*K23*SQRT(3)/1000,0.25)&lt;10,CEILING(I23*K23*SQRT(3)/1000,0.25),IF(CEILING(I23*K23*SQRT(3)/1000,0.25)&lt;20,CEILING(I23*K23*SQRT(3)/1000,0.5),CEILING(I23*K23*SQRT(3)/1000,1)))</f>
        <v>24</v>
      </c>
      <c r="M23" s="789"/>
      <c r="N23" s="789"/>
      <c r="O23" s="789"/>
      <c r="P23" s="790"/>
      <c r="Q23" s="790"/>
      <c r="R23" s="790"/>
      <c r="S23" s="789"/>
      <c r="T23" s="791"/>
      <c r="U23" s="791"/>
    </row>
    <row r="24" spans="1:21" s="778" customFormat="1" ht="15.75">
      <c r="A24" s="765">
        <v>60</v>
      </c>
      <c r="B24" s="766">
        <v>2.4</v>
      </c>
      <c r="C24" s="767">
        <f t="shared" si="2"/>
        <v>144</v>
      </c>
      <c r="D24" s="768">
        <v>150</v>
      </c>
      <c r="E24" s="769">
        <v>480</v>
      </c>
      <c r="F24" s="770">
        <f t="shared" si="3"/>
        <v>43.301270189221938</v>
      </c>
      <c r="G24" s="771">
        <f t="shared" si="4"/>
        <v>25</v>
      </c>
      <c r="H24" s="772">
        <f t="shared" si="0"/>
        <v>77.040000000000006</v>
      </c>
      <c r="I24" s="770">
        <f t="shared" si="5"/>
        <v>133.4371942151063</v>
      </c>
      <c r="J24" s="773">
        <f t="shared" si="6"/>
        <v>25</v>
      </c>
      <c r="K24" s="770">
        <f t="shared" si="1"/>
        <v>155.625</v>
      </c>
      <c r="L24" s="774">
        <f t="shared" si="7"/>
        <v>36</v>
      </c>
      <c r="M24" s="775"/>
      <c r="N24" s="775"/>
      <c r="O24" s="775"/>
      <c r="P24" s="776"/>
      <c r="Q24" s="776"/>
      <c r="R24" s="776"/>
      <c r="S24" s="775"/>
      <c r="T24" s="777"/>
      <c r="U24" s="777"/>
    </row>
    <row r="25" spans="1:21">
      <c r="A25" s="72">
        <f t="shared" ref="A25:A50" si="8">A$19/2</f>
        <v>6</v>
      </c>
      <c r="B25" s="61">
        <v>2.4</v>
      </c>
      <c r="C25" s="66">
        <f t="shared" si="2"/>
        <v>14.399999999999999</v>
      </c>
      <c r="D25" s="68">
        <v>20</v>
      </c>
      <c r="E25" s="186">
        <f t="shared" ref="E25:E50" si="9">IF(L25*1000/120/SQRT(3)*1.5&lt;65,120,IF(L25*1000/208/SQRT(3)*1.5&lt;65,208,IF(L25*1000/240/SQRT(3)*1.5&lt;65,240,480)))</f>
        <v>120</v>
      </c>
      <c r="F25" s="45">
        <f t="shared" si="3"/>
        <v>3.6084391824351614</v>
      </c>
      <c r="G25" s="94">
        <f t="shared" si="4"/>
        <v>25</v>
      </c>
      <c r="H25" s="295">
        <f t="shared" si="0"/>
        <v>9.7040000000000006</v>
      </c>
      <c r="I25" s="25">
        <f t="shared" si="5"/>
        <v>16.807821036648384</v>
      </c>
      <c r="J25" s="52">
        <f t="shared" si="6"/>
        <v>25</v>
      </c>
      <c r="K25" s="25">
        <f t="shared" si="1"/>
        <v>20.75</v>
      </c>
      <c r="L25" s="427">
        <f t="shared" si="7"/>
        <v>0.75</v>
      </c>
      <c r="M25" s="628"/>
      <c r="N25" s="628"/>
      <c r="O25" s="628"/>
      <c r="P25" s="491"/>
      <c r="Q25" s="491"/>
      <c r="R25" s="491"/>
      <c r="S25" s="628"/>
      <c r="T25" s="24"/>
      <c r="U25" s="24"/>
    </row>
    <row r="26" spans="1:21">
      <c r="A26" s="98">
        <f t="shared" si="8"/>
        <v>6</v>
      </c>
      <c r="B26" s="304">
        <v>2.4</v>
      </c>
      <c r="C26" s="100">
        <f t="shared" si="2"/>
        <v>14.399999999999999</v>
      </c>
      <c r="D26" s="101">
        <v>25</v>
      </c>
      <c r="E26" s="183">
        <f t="shared" si="9"/>
        <v>120</v>
      </c>
      <c r="F26" s="102">
        <f t="shared" si="3"/>
        <v>4.8112522432468818</v>
      </c>
      <c r="G26" s="103">
        <f t="shared" si="4"/>
        <v>25</v>
      </c>
      <c r="H26" s="296">
        <f t="shared" si="0"/>
        <v>9.7040000000000006</v>
      </c>
      <c r="I26" s="104">
        <f t="shared" si="5"/>
        <v>16.807821036648384</v>
      </c>
      <c r="J26" s="180">
        <f t="shared" si="6"/>
        <v>25</v>
      </c>
      <c r="K26" s="104">
        <f t="shared" si="1"/>
        <v>25.9375</v>
      </c>
      <c r="L26" s="428">
        <f t="shared" si="7"/>
        <v>1</v>
      </c>
      <c r="M26" s="628"/>
      <c r="N26" s="628"/>
      <c r="O26" s="628"/>
      <c r="P26" s="491"/>
      <c r="Q26" s="491"/>
      <c r="R26" s="491"/>
      <c r="S26" s="628"/>
      <c r="T26" s="24"/>
      <c r="U26" s="24"/>
    </row>
    <row r="27" spans="1:21">
      <c r="A27" s="72">
        <f t="shared" si="8"/>
        <v>6</v>
      </c>
      <c r="B27" s="61">
        <v>2.4</v>
      </c>
      <c r="C27" s="66">
        <f t="shared" si="2"/>
        <v>14.399999999999999</v>
      </c>
      <c r="D27" s="68">
        <v>30</v>
      </c>
      <c r="E27" s="186">
        <f t="shared" si="9"/>
        <v>120</v>
      </c>
      <c r="F27" s="45">
        <f t="shared" si="3"/>
        <v>4.8112522432468818</v>
      </c>
      <c r="G27" s="94">
        <f t="shared" si="4"/>
        <v>25</v>
      </c>
      <c r="H27" s="295">
        <f t="shared" si="0"/>
        <v>9.7040000000000006</v>
      </c>
      <c r="I27" s="25">
        <f t="shared" si="5"/>
        <v>16.807821036648384</v>
      </c>
      <c r="J27" s="52">
        <f t="shared" si="6"/>
        <v>25</v>
      </c>
      <c r="K27" s="25">
        <f t="shared" si="1"/>
        <v>31.125</v>
      </c>
      <c r="L27" s="427">
        <f t="shared" si="7"/>
        <v>1</v>
      </c>
      <c r="M27" s="628"/>
      <c r="N27" s="628"/>
      <c r="O27" s="628"/>
      <c r="P27" s="491"/>
      <c r="Q27" s="491"/>
      <c r="R27" s="491"/>
      <c r="S27" s="628"/>
      <c r="T27" s="24"/>
      <c r="U27" s="24"/>
    </row>
    <row r="28" spans="1:21">
      <c r="A28" s="72">
        <f t="shared" si="8"/>
        <v>6</v>
      </c>
      <c r="B28" s="61">
        <v>2.4</v>
      </c>
      <c r="C28" s="66">
        <f t="shared" si="2"/>
        <v>14.399999999999999</v>
      </c>
      <c r="D28" s="68">
        <v>35</v>
      </c>
      <c r="E28" s="186">
        <f t="shared" si="9"/>
        <v>120</v>
      </c>
      <c r="F28" s="45">
        <f t="shared" si="3"/>
        <v>6.0140653040586018</v>
      </c>
      <c r="G28" s="94">
        <f t="shared" si="4"/>
        <v>25</v>
      </c>
      <c r="H28" s="295">
        <f t="shared" si="0"/>
        <v>9.7040000000000006</v>
      </c>
      <c r="I28" s="25">
        <f t="shared" si="5"/>
        <v>16.807821036648384</v>
      </c>
      <c r="J28" s="52">
        <f t="shared" si="6"/>
        <v>25</v>
      </c>
      <c r="K28" s="25">
        <f t="shared" si="1"/>
        <v>36.3125</v>
      </c>
      <c r="L28" s="427">
        <f t="shared" si="7"/>
        <v>1.25</v>
      </c>
      <c r="M28" s="628"/>
      <c r="N28" s="628"/>
      <c r="O28" s="628"/>
      <c r="P28" s="491"/>
      <c r="Q28" s="491"/>
      <c r="R28" s="491"/>
      <c r="S28" s="628"/>
      <c r="T28" s="24"/>
      <c r="U28" s="24"/>
    </row>
    <row r="29" spans="1:21">
      <c r="A29" s="98">
        <f t="shared" si="8"/>
        <v>6</v>
      </c>
      <c r="B29" s="304">
        <v>2.4</v>
      </c>
      <c r="C29" s="100">
        <f t="shared" si="2"/>
        <v>14.399999999999999</v>
      </c>
      <c r="D29" s="101">
        <v>40</v>
      </c>
      <c r="E29" s="183">
        <f t="shared" si="9"/>
        <v>120</v>
      </c>
      <c r="F29" s="102">
        <f t="shared" si="3"/>
        <v>6.0140653040586018</v>
      </c>
      <c r="G29" s="103">
        <f t="shared" si="4"/>
        <v>25</v>
      </c>
      <c r="H29" s="296">
        <f t="shared" si="0"/>
        <v>9.7040000000000006</v>
      </c>
      <c r="I29" s="104">
        <f t="shared" si="5"/>
        <v>16.807821036648384</v>
      </c>
      <c r="J29" s="180">
        <f t="shared" si="6"/>
        <v>25</v>
      </c>
      <c r="K29" s="104">
        <f t="shared" si="1"/>
        <v>41.5</v>
      </c>
      <c r="L29" s="428">
        <f t="shared" si="7"/>
        <v>1.25</v>
      </c>
      <c r="M29" s="628"/>
      <c r="N29" s="628"/>
      <c r="O29" s="628"/>
      <c r="P29" s="491"/>
      <c r="Q29" s="491"/>
      <c r="R29" s="491"/>
      <c r="S29" s="628"/>
      <c r="T29" s="24"/>
      <c r="U29" s="24"/>
    </row>
    <row r="30" spans="1:21">
      <c r="A30" s="72">
        <f t="shared" si="8"/>
        <v>6</v>
      </c>
      <c r="B30" s="61">
        <v>2.4</v>
      </c>
      <c r="C30" s="66">
        <f t="shared" si="2"/>
        <v>14.399999999999999</v>
      </c>
      <c r="D30" s="68">
        <v>50</v>
      </c>
      <c r="E30" s="186">
        <f t="shared" si="9"/>
        <v>120</v>
      </c>
      <c r="F30" s="45">
        <f t="shared" si="3"/>
        <v>8.4196914256820428</v>
      </c>
      <c r="G30" s="94">
        <f t="shared" si="4"/>
        <v>25</v>
      </c>
      <c r="H30" s="295">
        <f t="shared" si="0"/>
        <v>9.7040000000000006</v>
      </c>
      <c r="I30" s="25">
        <f t="shared" si="5"/>
        <v>16.807821036648384</v>
      </c>
      <c r="J30" s="52">
        <f t="shared" si="6"/>
        <v>25</v>
      </c>
      <c r="K30" s="25">
        <f t="shared" si="1"/>
        <v>51.875</v>
      </c>
      <c r="L30" s="427">
        <f t="shared" si="7"/>
        <v>1.75</v>
      </c>
      <c r="M30" s="628"/>
      <c r="N30" s="628"/>
      <c r="O30" s="628"/>
      <c r="P30" s="491"/>
      <c r="Q30" s="491"/>
      <c r="R30" s="491"/>
      <c r="S30" s="628"/>
      <c r="T30" s="24"/>
      <c r="U30" s="24"/>
    </row>
    <row r="31" spans="1:21">
      <c r="A31" s="72">
        <f t="shared" si="8"/>
        <v>6</v>
      </c>
      <c r="B31" s="61">
        <v>2.4</v>
      </c>
      <c r="C31" s="66">
        <f t="shared" si="2"/>
        <v>14.399999999999999</v>
      </c>
      <c r="D31" s="68">
        <v>60</v>
      </c>
      <c r="E31" s="186">
        <f t="shared" si="9"/>
        <v>120</v>
      </c>
      <c r="F31" s="45">
        <f t="shared" si="3"/>
        <v>9.6225044864937637</v>
      </c>
      <c r="G31" s="94">
        <f t="shared" si="4"/>
        <v>25</v>
      </c>
      <c r="H31" s="295">
        <f t="shared" si="0"/>
        <v>9.7040000000000006</v>
      </c>
      <c r="I31" s="25">
        <f t="shared" si="5"/>
        <v>16.807821036648384</v>
      </c>
      <c r="J31" s="52">
        <f t="shared" si="6"/>
        <v>25</v>
      </c>
      <c r="K31" s="25">
        <f t="shared" si="1"/>
        <v>62.25</v>
      </c>
      <c r="L31" s="427">
        <f t="shared" si="7"/>
        <v>2</v>
      </c>
      <c r="M31" s="628"/>
      <c r="N31" s="628"/>
      <c r="O31" s="628"/>
      <c r="P31" s="491"/>
      <c r="Q31" s="491"/>
      <c r="R31" s="491"/>
      <c r="S31" s="628"/>
      <c r="T31" s="24"/>
      <c r="U31" s="24"/>
    </row>
    <row r="32" spans="1:21">
      <c r="A32" s="98">
        <f t="shared" si="8"/>
        <v>6</v>
      </c>
      <c r="B32" s="304">
        <v>2.4</v>
      </c>
      <c r="C32" s="100">
        <f t="shared" si="2"/>
        <v>14.399999999999999</v>
      </c>
      <c r="D32" s="101">
        <v>75</v>
      </c>
      <c r="E32" s="183">
        <f t="shared" si="9"/>
        <v>120</v>
      </c>
      <c r="F32" s="102">
        <f t="shared" si="3"/>
        <v>12.028130608117204</v>
      </c>
      <c r="G32" s="103">
        <f t="shared" si="4"/>
        <v>25</v>
      </c>
      <c r="H32" s="296">
        <f t="shared" si="0"/>
        <v>9.7040000000000006</v>
      </c>
      <c r="I32" s="104">
        <f t="shared" si="5"/>
        <v>16.807821036648384</v>
      </c>
      <c r="J32" s="180">
        <f t="shared" si="6"/>
        <v>25</v>
      </c>
      <c r="K32" s="104">
        <f t="shared" si="1"/>
        <v>77.8125</v>
      </c>
      <c r="L32" s="428">
        <f t="shared" si="7"/>
        <v>2.5</v>
      </c>
      <c r="M32" s="628"/>
      <c r="N32" s="628"/>
      <c r="O32" s="628"/>
      <c r="P32" s="491"/>
      <c r="Q32" s="491"/>
      <c r="R32" s="491"/>
      <c r="S32" s="628"/>
      <c r="T32" s="24"/>
      <c r="U32" s="24"/>
    </row>
    <row r="33" spans="1:21">
      <c r="A33" s="72">
        <f t="shared" si="8"/>
        <v>6</v>
      </c>
      <c r="B33" s="61">
        <v>2.4</v>
      </c>
      <c r="C33" s="66">
        <f t="shared" si="2"/>
        <v>14.399999999999999</v>
      </c>
      <c r="D33" s="68">
        <v>100</v>
      </c>
      <c r="E33" s="186">
        <f t="shared" si="9"/>
        <v>120</v>
      </c>
      <c r="F33" s="45">
        <f t="shared" si="3"/>
        <v>15.636569790552365</v>
      </c>
      <c r="G33" s="94">
        <f t="shared" si="4"/>
        <v>25</v>
      </c>
      <c r="H33" s="295">
        <f t="shared" si="0"/>
        <v>9.7040000000000006</v>
      </c>
      <c r="I33" s="25">
        <f t="shared" si="5"/>
        <v>16.807821036648384</v>
      </c>
      <c r="J33" s="52">
        <f t="shared" si="6"/>
        <v>25</v>
      </c>
      <c r="K33" s="25">
        <f t="shared" si="1"/>
        <v>103.75</v>
      </c>
      <c r="L33" s="427">
        <f t="shared" si="7"/>
        <v>3.25</v>
      </c>
      <c r="M33" s="628"/>
      <c r="N33" s="628"/>
      <c r="O33" s="628"/>
      <c r="P33" s="491"/>
      <c r="Q33" s="491"/>
      <c r="R33" s="491"/>
      <c r="S33" s="628"/>
      <c r="T33" s="24"/>
      <c r="U33" s="24"/>
    </row>
    <row r="34" spans="1:21">
      <c r="A34" s="72">
        <f t="shared" si="8"/>
        <v>6</v>
      </c>
      <c r="B34" s="61">
        <v>2.4</v>
      </c>
      <c r="C34" s="66">
        <f t="shared" si="2"/>
        <v>14.399999999999999</v>
      </c>
      <c r="D34" s="68">
        <v>125</v>
      </c>
      <c r="E34" s="186">
        <f t="shared" si="9"/>
        <v>120</v>
      </c>
      <c r="F34" s="45">
        <f t="shared" si="3"/>
        <v>19.245008972987527</v>
      </c>
      <c r="G34" s="94">
        <f t="shared" si="4"/>
        <v>25</v>
      </c>
      <c r="H34" s="295">
        <f t="shared" si="0"/>
        <v>9.7040000000000006</v>
      </c>
      <c r="I34" s="25">
        <f t="shared" si="5"/>
        <v>16.807821036648384</v>
      </c>
      <c r="J34" s="52">
        <f t="shared" si="6"/>
        <v>25</v>
      </c>
      <c r="K34" s="25">
        <f t="shared" si="1"/>
        <v>129.6875</v>
      </c>
      <c r="L34" s="427">
        <f t="shared" si="7"/>
        <v>4</v>
      </c>
      <c r="M34" s="628"/>
      <c r="N34" s="628"/>
      <c r="O34" s="628"/>
      <c r="P34" s="491"/>
      <c r="Q34" s="491"/>
      <c r="R34" s="491"/>
      <c r="S34" s="628"/>
      <c r="T34" s="24"/>
      <c r="U34" s="24"/>
    </row>
    <row r="35" spans="1:21">
      <c r="A35" s="98">
        <f t="shared" si="8"/>
        <v>6</v>
      </c>
      <c r="B35" s="304">
        <v>2.4</v>
      </c>
      <c r="C35" s="100">
        <f t="shared" si="2"/>
        <v>14.399999999999999</v>
      </c>
      <c r="D35" s="101">
        <v>150</v>
      </c>
      <c r="E35" s="183">
        <f t="shared" si="9"/>
        <v>120</v>
      </c>
      <c r="F35" s="102">
        <f t="shared" si="3"/>
        <v>22.85344815542269</v>
      </c>
      <c r="G35" s="103">
        <f t="shared" si="4"/>
        <v>25</v>
      </c>
      <c r="H35" s="296">
        <f t="shared" si="0"/>
        <v>9.7040000000000006</v>
      </c>
      <c r="I35" s="104">
        <f t="shared" si="5"/>
        <v>16.807821036648384</v>
      </c>
      <c r="J35" s="180">
        <f t="shared" si="6"/>
        <v>25</v>
      </c>
      <c r="K35" s="104">
        <f t="shared" si="1"/>
        <v>155.625</v>
      </c>
      <c r="L35" s="428">
        <f t="shared" si="7"/>
        <v>4.75</v>
      </c>
      <c r="M35" s="628"/>
      <c r="N35" s="628"/>
      <c r="O35" s="628"/>
      <c r="P35" s="491"/>
      <c r="Q35" s="491"/>
      <c r="R35" s="491"/>
      <c r="S35" s="628"/>
      <c r="T35" s="24"/>
      <c r="U35" s="24"/>
    </row>
    <row r="36" spans="1:21">
      <c r="A36" s="72">
        <f t="shared" si="8"/>
        <v>6</v>
      </c>
      <c r="B36" s="61">
        <v>2.4</v>
      </c>
      <c r="C36" s="66">
        <f t="shared" si="2"/>
        <v>14.399999999999999</v>
      </c>
      <c r="D36" s="68">
        <v>175</v>
      </c>
      <c r="E36" s="186">
        <f t="shared" si="9"/>
        <v>120</v>
      </c>
      <c r="F36" s="45">
        <f t="shared" si="3"/>
        <v>26.461887337857849</v>
      </c>
      <c r="G36" s="94">
        <f t="shared" si="4"/>
        <v>25</v>
      </c>
      <c r="H36" s="295">
        <f t="shared" si="0"/>
        <v>9.7040000000000006</v>
      </c>
      <c r="I36" s="25">
        <f t="shared" si="5"/>
        <v>16.807821036648384</v>
      </c>
      <c r="J36" s="52">
        <f t="shared" si="6"/>
        <v>25</v>
      </c>
      <c r="K36" s="25">
        <f t="shared" si="1"/>
        <v>181.5625</v>
      </c>
      <c r="L36" s="427">
        <f t="shared" si="7"/>
        <v>5.5</v>
      </c>
      <c r="M36" s="628"/>
      <c r="N36" s="628"/>
      <c r="O36" s="628"/>
      <c r="P36" s="491"/>
      <c r="Q36" s="491"/>
      <c r="R36" s="491"/>
      <c r="S36" s="628"/>
      <c r="T36" s="24"/>
      <c r="U36" s="24"/>
    </row>
    <row r="37" spans="1:21">
      <c r="A37" s="72">
        <f t="shared" si="8"/>
        <v>6</v>
      </c>
      <c r="B37" s="61">
        <v>2.4</v>
      </c>
      <c r="C37" s="66">
        <f t="shared" si="2"/>
        <v>14.399999999999999</v>
      </c>
      <c r="D37" s="68">
        <v>200</v>
      </c>
      <c r="E37" s="186">
        <f t="shared" si="9"/>
        <v>120</v>
      </c>
      <c r="F37" s="45">
        <f t="shared" si="3"/>
        <v>30.070326520293012</v>
      </c>
      <c r="G37" s="94">
        <f t="shared" si="4"/>
        <v>25</v>
      </c>
      <c r="H37" s="295">
        <f t="shared" si="0"/>
        <v>9.7040000000000006</v>
      </c>
      <c r="I37" s="25">
        <f t="shared" si="5"/>
        <v>16.807821036648384</v>
      </c>
      <c r="J37" s="52">
        <f t="shared" si="6"/>
        <v>25</v>
      </c>
      <c r="K37" s="25">
        <f t="shared" si="1"/>
        <v>207.5</v>
      </c>
      <c r="L37" s="427">
        <f t="shared" si="7"/>
        <v>6.25</v>
      </c>
      <c r="M37" s="628"/>
      <c r="N37" s="628"/>
      <c r="O37" s="628"/>
      <c r="P37" s="491"/>
      <c r="Q37" s="491"/>
      <c r="R37" s="491"/>
      <c r="S37" s="628"/>
      <c r="T37" s="24"/>
      <c r="U37" s="24"/>
    </row>
    <row r="38" spans="1:21">
      <c r="A38" s="98">
        <f t="shared" si="8"/>
        <v>6</v>
      </c>
      <c r="B38" s="304">
        <v>2.4</v>
      </c>
      <c r="C38" s="100">
        <f t="shared" si="2"/>
        <v>14.399999999999999</v>
      </c>
      <c r="D38" s="101">
        <v>250</v>
      </c>
      <c r="E38" s="183">
        <f t="shared" si="9"/>
        <v>120</v>
      </c>
      <c r="F38" s="102">
        <f t="shared" si="3"/>
        <v>37.287204885163327</v>
      </c>
      <c r="G38" s="103">
        <f t="shared" si="4"/>
        <v>25</v>
      </c>
      <c r="H38" s="296">
        <f t="shared" si="0"/>
        <v>9.7040000000000006</v>
      </c>
      <c r="I38" s="104">
        <f t="shared" si="5"/>
        <v>16.807821036648384</v>
      </c>
      <c r="J38" s="180">
        <f t="shared" si="6"/>
        <v>25</v>
      </c>
      <c r="K38" s="104">
        <f t="shared" si="1"/>
        <v>259.375</v>
      </c>
      <c r="L38" s="428">
        <f t="shared" si="7"/>
        <v>7.75</v>
      </c>
      <c r="M38" s="628"/>
      <c r="N38" s="628"/>
      <c r="O38" s="628"/>
      <c r="P38" s="491"/>
      <c r="Q38" s="491"/>
      <c r="R38" s="491"/>
      <c r="S38" s="628"/>
      <c r="T38" s="24"/>
      <c r="U38" s="24"/>
    </row>
    <row r="39" spans="1:21">
      <c r="A39" s="72">
        <f t="shared" si="8"/>
        <v>6</v>
      </c>
      <c r="B39" s="61">
        <v>2.4</v>
      </c>
      <c r="C39" s="66">
        <f t="shared" si="2"/>
        <v>14.399999999999999</v>
      </c>
      <c r="D39" s="68">
        <v>300</v>
      </c>
      <c r="E39" s="186">
        <f t="shared" si="9"/>
        <v>208</v>
      </c>
      <c r="F39" s="45">
        <f t="shared" si="3"/>
        <v>25.675432644250186</v>
      </c>
      <c r="G39" s="94">
        <f t="shared" si="4"/>
        <v>25</v>
      </c>
      <c r="H39" s="295">
        <f t="shared" si="0"/>
        <v>9.7040000000000006</v>
      </c>
      <c r="I39" s="25">
        <f t="shared" si="5"/>
        <v>16.807821036648384</v>
      </c>
      <c r="J39" s="52">
        <f t="shared" si="6"/>
        <v>25</v>
      </c>
      <c r="K39" s="25">
        <f t="shared" si="1"/>
        <v>311.25</v>
      </c>
      <c r="L39" s="427">
        <f t="shared" si="7"/>
        <v>9.25</v>
      </c>
      <c r="M39" s="628"/>
      <c r="N39" s="628"/>
      <c r="O39" s="628"/>
      <c r="P39" s="491"/>
      <c r="Q39" s="491"/>
      <c r="R39" s="491"/>
      <c r="S39" s="628"/>
      <c r="T39" s="24"/>
      <c r="U39" s="24"/>
    </row>
    <row r="40" spans="1:21">
      <c r="A40" s="72">
        <f t="shared" si="8"/>
        <v>6</v>
      </c>
      <c r="B40" s="61">
        <v>2.4</v>
      </c>
      <c r="C40" s="66">
        <f t="shared" si="2"/>
        <v>14.399999999999999</v>
      </c>
      <c r="D40" s="68">
        <v>350</v>
      </c>
      <c r="E40" s="186">
        <f t="shared" si="9"/>
        <v>208</v>
      </c>
      <c r="F40" s="45">
        <f t="shared" si="3"/>
        <v>30.53294692829752</v>
      </c>
      <c r="G40" s="94">
        <f t="shared" si="4"/>
        <v>25</v>
      </c>
      <c r="H40" s="295">
        <f t="shared" si="0"/>
        <v>9.7040000000000006</v>
      </c>
      <c r="I40" s="25">
        <f t="shared" si="5"/>
        <v>16.807821036648384</v>
      </c>
      <c r="J40" s="52">
        <f t="shared" si="6"/>
        <v>25</v>
      </c>
      <c r="K40" s="25">
        <f t="shared" si="1"/>
        <v>363.125</v>
      </c>
      <c r="L40" s="427">
        <f t="shared" si="7"/>
        <v>11</v>
      </c>
      <c r="M40" s="628"/>
      <c r="N40" s="628"/>
      <c r="O40" s="628"/>
      <c r="P40" s="491"/>
      <c r="Q40" s="491"/>
      <c r="R40" s="491"/>
      <c r="S40" s="628"/>
      <c r="T40" s="24"/>
      <c r="U40" s="24"/>
    </row>
    <row r="41" spans="1:21">
      <c r="A41" s="98">
        <f t="shared" si="8"/>
        <v>6</v>
      </c>
      <c r="B41" s="304">
        <v>2.4</v>
      </c>
      <c r="C41" s="100">
        <f t="shared" si="2"/>
        <v>14.399999999999999</v>
      </c>
      <c r="D41" s="101">
        <v>400</v>
      </c>
      <c r="E41" s="183">
        <f t="shared" si="9"/>
        <v>208</v>
      </c>
      <c r="F41" s="102">
        <f t="shared" si="3"/>
        <v>34.696530600338086</v>
      </c>
      <c r="G41" s="103">
        <f t="shared" si="4"/>
        <v>25</v>
      </c>
      <c r="H41" s="296">
        <f t="shared" si="0"/>
        <v>9.7040000000000006</v>
      </c>
      <c r="I41" s="104">
        <f t="shared" si="5"/>
        <v>16.807821036648384</v>
      </c>
      <c r="J41" s="180">
        <f t="shared" si="6"/>
        <v>25</v>
      </c>
      <c r="K41" s="104">
        <f t="shared" si="1"/>
        <v>415</v>
      </c>
      <c r="L41" s="263">
        <f t="shared" si="7"/>
        <v>12.5</v>
      </c>
      <c r="M41" s="628"/>
      <c r="N41" s="628"/>
      <c r="O41" s="628"/>
      <c r="P41" s="491"/>
      <c r="Q41" s="491"/>
      <c r="R41" s="491"/>
      <c r="S41" s="628"/>
      <c r="T41" s="24"/>
      <c r="U41" s="24"/>
    </row>
    <row r="42" spans="1:21">
      <c r="A42" s="72">
        <f t="shared" si="8"/>
        <v>6</v>
      </c>
      <c r="B42" s="61">
        <v>2.4</v>
      </c>
      <c r="C42" s="66">
        <f t="shared" si="2"/>
        <v>14.399999999999999</v>
      </c>
      <c r="D42" s="68">
        <v>450</v>
      </c>
      <c r="E42" s="186">
        <f t="shared" si="9"/>
        <v>208</v>
      </c>
      <c r="F42" s="45">
        <f t="shared" si="3"/>
        <v>38.860114272378659</v>
      </c>
      <c r="G42" s="94">
        <f t="shared" si="4"/>
        <v>25</v>
      </c>
      <c r="H42" s="295">
        <f t="shared" si="0"/>
        <v>9.7040000000000006</v>
      </c>
      <c r="I42" s="25">
        <f t="shared" si="5"/>
        <v>16.807821036648384</v>
      </c>
      <c r="J42" s="52">
        <f t="shared" si="6"/>
        <v>25</v>
      </c>
      <c r="K42" s="25">
        <f t="shared" si="1"/>
        <v>466.875</v>
      </c>
      <c r="L42" s="157">
        <f t="shared" si="7"/>
        <v>14</v>
      </c>
      <c r="M42" s="628"/>
      <c r="N42" s="628"/>
      <c r="O42" s="628"/>
      <c r="P42" s="491"/>
      <c r="Q42" s="491"/>
      <c r="R42" s="491"/>
      <c r="S42" s="628"/>
      <c r="T42" s="24"/>
      <c r="U42" s="24"/>
    </row>
    <row r="43" spans="1:21">
      <c r="A43" s="72">
        <f t="shared" si="8"/>
        <v>6</v>
      </c>
      <c r="B43" s="61">
        <v>2.4</v>
      </c>
      <c r="C43" s="66">
        <f t="shared" si="2"/>
        <v>14.399999999999999</v>
      </c>
      <c r="D43" s="68">
        <v>500</v>
      </c>
      <c r="E43" s="186">
        <f t="shared" si="9"/>
        <v>208</v>
      </c>
      <c r="F43" s="45">
        <f t="shared" si="3"/>
        <v>43.023697944419233</v>
      </c>
      <c r="G43" s="94">
        <f t="shared" si="4"/>
        <v>25</v>
      </c>
      <c r="H43" s="295">
        <f t="shared" si="0"/>
        <v>9.7040000000000006</v>
      </c>
      <c r="I43" s="25">
        <f t="shared" si="5"/>
        <v>16.807821036648384</v>
      </c>
      <c r="J43" s="52">
        <f t="shared" si="6"/>
        <v>25</v>
      </c>
      <c r="K43" s="25">
        <f t="shared" si="1"/>
        <v>518.75</v>
      </c>
      <c r="L43" s="157">
        <f t="shared" si="7"/>
        <v>15.5</v>
      </c>
      <c r="M43" s="628"/>
      <c r="N43" s="628"/>
      <c r="O43" s="628"/>
      <c r="P43" s="491"/>
      <c r="Q43" s="491"/>
      <c r="R43" s="491"/>
      <c r="S43" s="628"/>
      <c r="T43" s="24"/>
      <c r="U43" s="24"/>
    </row>
    <row r="44" spans="1:21">
      <c r="A44" s="98">
        <f t="shared" si="8"/>
        <v>6</v>
      </c>
      <c r="B44" s="304">
        <v>2.4</v>
      </c>
      <c r="C44" s="100">
        <f t="shared" si="2"/>
        <v>14.399999999999999</v>
      </c>
      <c r="D44" s="101">
        <v>600</v>
      </c>
      <c r="E44" s="183">
        <f t="shared" si="9"/>
        <v>480</v>
      </c>
      <c r="F44" s="102">
        <f t="shared" si="3"/>
        <v>22.252041625016826</v>
      </c>
      <c r="G44" s="103">
        <f t="shared" si="4"/>
        <v>25</v>
      </c>
      <c r="H44" s="296">
        <f t="shared" si="0"/>
        <v>9.7040000000000006</v>
      </c>
      <c r="I44" s="104">
        <f t="shared" si="5"/>
        <v>16.807821036648384</v>
      </c>
      <c r="J44" s="180">
        <f t="shared" si="6"/>
        <v>25</v>
      </c>
      <c r="K44" s="104">
        <f t="shared" si="1"/>
        <v>622.5</v>
      </c>
      <c r="L44" s="263">
        <f t="shared" si="7"/>
        <v>18.5</v>
      </c>
      <c r="M44" s="628"/>
      <c r="N44" s="628"/>
      <c r="O44" s="628"/>
      <c r="P44" s="491"/>
      <c r="Q44" s="491"/>
      <c r="R44" s="491"/>
      <c r="S44" s="628"/>
      <c r="T44" s="24"/>
      <c r="U44" s="24"/>
    </row>
    <row r="45" spans="1:21">
      <c r="A45" s="72">
        <f t="shared" si="8"/>
        <v>6</v>
      </c>
      <c r="B45" s="61">
        <v>2.4</v>
      </c>
      <c r="C45" s="66">
        <f t="shared" si="2"/>
        <v>14.399999999999999</v>
      </c>
      <c r="D45" s="68">
        <v>700</v>
      </c>
      <c r="E45" s="186">
        <f t="shared" si="9"/>
        <v>480</v>
      </c>
      <c r="F45" s="45">
        <f t="shared" si="3"/>
        <v>26.461887337857849</v>
      </c>
      <c r="G45" s="94">
        <f t="shared" si="4"/>
        <v>25</v>
      </c>
      <c r="H45" s="295">
        <f t="shared" si="0"/>
        <v>9.7040000000000006</v>
      </c>
      <c r="I45" s="25">
        <f t="shared" si="5"/>
        <v>16.807821036648384</v>
      </c>
      <c r="J45" s="52">
        <f t="shared" si="6"/>
        <v>25</v>
      </c>
      <c r="K45" s="25">
        <f t="shared" si="1"/>
        <v>726.25</v>
      </c>
      <c r="L45" s="157">
        <f t="shared" si="7"/>
        <v>22</v>
      </c>
      <c r="M45" s="628"/>
      <c r="N45" s="628"/>
      <c r="O45" s="628"/>
      <c r="P45" s="491"/>
      <c r="Q45" s="491"/>
      <c r="R45" s="491"/>
      <c r="S45" s="628"/>
      <c r="T45" s="24"/>
      <c r="U45" s="24"/>
    </row>
    <row r="46" spans="1:21">
      <c r="A46" s="72">
        <f t="shared" si="8"/>
        <v>6</v>
      </c>
      <c r="B46" s="61">
        <v>2.4</v>
      </c>
      <c r="C46" s="66">
        <f t="shared" si="2"/>
        <v>14.399999999999999</v>
      </c>
      <c r="D46" s="68">
        <v>800</v>
      </c>
      <c r="E46" s="186">
        <f t="shared" si="9"/>
        <v>480</v>
      </c>
      <c r="F46" s="45">
        <f t="shared" si="3"/>
        <v>30.070326520293012</v>
      </c>
      <c r="G46" s="94">
        <f t="shared" si="4"/>
        <v>25</v>
      </c>
      <c r="H46" s="295">
        <f t="shared" si="0"/>
        <v>9.7040000000000006</v>
      </c>
      <c r="I46" s="25">
        <f t="shared" si="5"/>
        <v>16.807821036648384</v>
      </c>
      <c r="J46" s="52">
        <f t="shared" si="6"/>
        <v>25</v>
      </c>
      <c r="K46" s="25">
        <f t="shared" si="1"/>
        <v>830</v>
      </c>
      <c r="L46" s="157">
        <f t="shared" si="7"/>
        <v>25</v>
      </c>
      <c r="M46" s="628"/>
      <c r="N46" s="628"/>
      <c r="O46" s="628"/>
      <c r="P46" s="491"/>
      <c r="Q46" s="491"/>
      <c r="R46" s="491"/>
      <c r="S46" s="628"/>
      <c r="T46" s="24"/>
      <c r="U46" s="24"/>
    </row>
    <row r="47" spans="1:21">
      <c r="A47" s="98">
        <f t="shared" si="8"/>
        <v>6</v>
      </c>
      <c r="B47" s="304">
        <v>2.4</v>
      </c>
      <c r="C47" s="100">
        <f t="shared" si="2"/>
        <v>14.399999999999999</v>
      </c>
      <c r="D47" s="101">
        <v>900</v>
      </c>
      <c r="E47" s="183">
        <f t="shared" si="9"/>
        <v>480</v>
      </c>
      <c r="F47" s="102">
        <f t="shared" si="3"/>
        <v>33.678765702728171</v>
      </c>
      <c r="G47" s="103">
        <f t="shared" si="4"/>
        <v>25</v>
      </c>
      <c r="H47" s="296">
        <f t="shared" si="0"/>
        <v>9.7040000000000006</v>
      </c>
      <c r="I47" s="104">
        <f t="shared" si="5"/>
        <v>16.807821036648384</v>
      </c>
      <c r="J47" s="180">
        <f t="shared" si="6"/>
        <v>25</v>
      </c>
      <c r="K47" s="104">
        <f t="shared" si="1"/>
        <v>933.75</v>
      </c>
      <c r="L47" s="263">
        <f t="shared" si="7"/>
        <v>28</v>
      </c>
      <c r="M47" s="628"/>
      <c r="N47" s="628"/>
      <c r="O47" s="628"/>
      <c r="P47" s="491"/>
      <c r="Q47" s="491"/>
      <c r="R47" s="491"/>
      <c r="S47" s="628"/>
      <c r="T47" s="24"/>
      <c r="U47" s="24"/>
    </row>
    <row r="48" spans="1:21">
      <c r="A48" s="72">
        <f t="shared" si="8"/>
        <v>6</v>
      </c>
      <c r="B48" s="61">
        <v>2.4</v>
      </c>
      <c r="C48" s="66">
        <f t="shared" si="2"/>
        <v>14.399999999999999</v>
      </c>
      <c r="D48" s="68">
        <v>1000</v>
      </c>
      <c r="E48" s="186">
        <f t="shared" si="9"/>
        <v>480</v>
      </c>
      <c r="F48" s="45">
        <f t="shared" si="3"/>
        <v>37.287204885163327</v>
      </c>
      <c r="G48" s="94">
        <f t="shared" si="4"/>
        <v>25</v>
      </c>
      <c r="H48" s="295">
        <f t="shared" si="0"/>
        <v>9.7040000000000006</v>
      </c>
      <c r="I48" s="25">
        <f t="shared" si="5"/>
        <v>16.807821036648384</v>
      </c>
      <c r="J48" s="52">
        <f t="shared" si="6"/>
        <v>25</v>
      </c>
      <c r="K48" s="25">
        <f t="shared" si="1"/>
        <v>1037.5</v>
      </c>
      <c r="L48" s="157">
        <f t="shared" si="7"/>
        <v>31</v>
      </c>
      <c r="M48" s="628"/>
      <c r="N48" s="628"/>
      <c r="O48" s="628"/>
      <c r="P48" s="491"/>
      <c r="Q48" s="491"/>
      <c r="R48" s="491"/>
      <c r="S48" s="628"/>
      <c r="T48" s="24"/>
      <c r="U48" s="24"/>
    </row>
    <row r="49" spans="1:21">
      <c r="A49" s="72">
        <f t="shared" si="8"/>
        <v>6</v>
      </c>
      <c r="B49" s="61">
        <v>2.4</v>
      </c>
      <c r="C49" s="66">
        <f t="shared" si="2"/>
        <v>14.399999999999999</v>
      </c>
      <c r="D49" s="68">
        <v>1100</v>
      </c>
      <c r="E49" s="186">
        <f t="shared" si="9"/>
        <v>480</v>
      </c>
      <c r="F49" s="45">
        <f t="shared" si="3"/>
        <v>40.895644067598489</v>
      </c>
      <c r="G49" s="94">
        <f t="shared" si="4"/>
        <v>25</v>
      </c>
      <c r="H49" s="295">
        <f t="shared" si="0"/>
        <v>9.7040000000000006</v>
      </c>
      <c r="I49" s="25">
        <f t="shared" si="5"/>
        <v>16.807821036648384</v>
      </c>
      <c r="J49" s="52">
        <f t="shared" si="6"/>
        <v>25</v>
      </c>
      <c r="K49" s="25">
        <f t="shared" si="1"/>
        <v>1141.25</v>
      </c>
      <c r="L49" s="157">
        <f t="shared" si="7"/>
        <v>34</v>
      </c>
      <c r="M49" s="628"/>
      <c r="N49" s="628"/>
      <c r="O49" s="628"/>
      <c r="P49" s="491"/>
      <c r="Q49" s="491"/>
      <c r="R49" s="491"/>
      <c r="S49" s="628"/>
      <c r="T49" s="24"/>
      <c r="U49" s="24"/>
    </row>
    <row r="50" spans="1:21" ht="13.5" thickBot="1">
      <c r="A50" s="253">
        <f t="shared" si="8"/>
        <v>6</v>
      </c>
      <c r="B50" s="305">
        <v>2.4</v>
      </c>
      <c r="C50" s="258">
        <f t="shared" si="2"/>
        <v>14.399999999999999</v>
      </c>
      <c r="D50" s="259">
        <v>1200</v>
      </c>
      <c r="E50" s="303">
        <f t="shared" si="9"/>
        <v>480</v>
      </c>
      <c r="F50" s="260">
        <f t="shared" si="3"/>
        <v>44.504083250033652</v>
      </c>
      <c r="G50" s="261">
        <f t="shared" si="4"/>
        <v>25</v>
      </c>
      <c r="H50" s="297">
        <f t="shared" si="0"/>
        <v>9.7040000000000006</v>
      </c>
      <c r="I50" s="264">
        <f t="shared" si="5"/>
        <v>16.807821036648384</v>
      </c>
      <c r="J50" s="265">
        <f t="shared" si="6"/>
        <v>25</v>
      </c>
      <c r="K50" s="264">
        <f t="shared" si="1"/>
        <v>1245</v>
      </c>
      <c r="L50" s="266">
        <f t="shared" si="7"/>
        <v>37</v>
      </c>
      <c r="M50" s="628"/>
      <c r="N50" s="628"/>
      <c r="O50" s="628"/>
      <c r="P50" s="491"/>
      <c r="Q50" s="491"/>
      <c r="R50" s="491"/>
      <c r="S50" s="628"/>
      <c r="T50" s="24"/>
      <c r="U50" s="24"/>
    </row>
    <row r="51" spans="1:21">
      <c r="P51" s="491"/>
    </row>
    <row r="52" spans="1:21" ht="13.5" thickBot="1">
      <c r="P52" s="491"/>
    </row>
    <row r="53" spans="1:21" ht="16.5" thickBot="1">
      <c r="A53" s="95" t="s">
        <v>77</v>
      </c>
      <c r="B53" s="96"/>
      <c r="C53" s="44"/>
      <c r="D53" s="86"/>
      <c r="E53" s="86"/>
      <c r="F53" s="86"/>
      <c r="G53" s="87"/>
      <c r="H53" s="290" t="s">
        <v>102</v>
      </c>
      <c r="I53" s="42"/>
      <c r="J53" s="51"/>
      <c r="K53" s="42"/>
      <c r="L53" s="40"/>
      <c r="P53" s="491"/>
    </row>
    <row r="54" spans="1:21" ht="13.5" thickBot="1">
      <c r="A54" s="97" t="s">
        <v>23</v>
      </c>
      <c r="B54" s="48"/>
      <c r="C54" s="189" t="s">
        <v>76</v>
      </c>
      <c r="D54" s="190"/>
      <c r="E54" s="189" t="s">
        <v>57</v>
      </c>
      <c r="F54" s="191"/>
      <c r="G54" s="192"/>
      <c r="H54" s="76"/>
      <c r="I54" s="90"/>
      <c r="J54" s="175"/>
      <c r="K54" s="90"/>
      <c r="L54" s="49"/>
      <c r="P54" s="491"/>
    </row>
    <row r="55" spans="1:21" ht="15">
      <c r="A55" s="65">
        <v>24</v>
      </c>
      <c r="B55" s="67" t="s">
        <v>92</v>
      </c>
      <c r="C55" s="65" t="s">
        <v>93</v>
      </c>
      <c r="D55" s="67" t="s">
        <v>16</v>
      </c>
      <c r="E55" s="65" t="s">
        <v>54</v>
      </c>
      <c r="F55" s="18" t="s">
        <v>58</v>
      </c>
      <c r="G55" s="314" t="s">
        <v>55</v>
      </c>
      <c r="H55" s="65" t="s">
        <v>50</v>
      </c>
      <c r="I55" s="18" t="s">
        <v>51</v>
      </c>
      <c r="J55" s="73" t="s">
        <v>56</v>
      </c>
      <c r="K55" s="18" t="s">
        <v>28</v>
      </c>
      <c r="L55" s="156" t="s">
        <v>29</v>
      </c>
      <c r="N55" s="629">
        <v>0.05</v>
      </c>
      <c r="O55" s="629">
        <v>0.04</v>
      </c>
      <c r="P55" s="4" t="s">
        <v>254</v>
      </c>
      <c r="Q55" s="4" t="s">
        <v>255</v>
      </c>
      <c r="R55" s="455" t="s">
        <v>263</v>
      </c>
      <c r="S55" s="583" t="s">
        <v>261</v>
      </c>
    </row>
    <row r="56" spans="1:21" ht="16.5" thickBot="1">
      <c r="A56" s="187" t="s">
        <v>24</v>
      </c>
      <c r="B56" s="188" t="s">
        <v>53</v>
      </c>
      <c r="C56" s="306" t="s">
        <v>53</v>
      </c>
      <c r="D56" s="255" t="s">
        <v>22</v>
      </c>
      <c r="E56" s="187" t="s">
        <v>53</v>
      </c>
      <c r="F56" s="16" t="s">
        <v>22</v>
      </c>
      <c r="G56" s="194">
        <v>10</v>
      </c>
      <c r="H56" s="187" t="s">
        <v>42</v>
      </c>
      <c r="I56" s="16" t="s">
        <v>42</v>
      </c>
      <c r="J56" s="196">
        <v>25</v>
      </c>
      <c r="K56" s="16" t="s">
        <v>43</v>
      </c>
      <c r="L56" s="195" t="s">
        <v>44</v>
      </c>
      <c r="M56" s="625" t="s">
        <v>253</v>
      </c>
      <c r="N56" s="625" t="s">
        <v>253</v>
      </c>
      <c r="O56" s="625" t="s">
        <v>253</v>
      </c>
      <c r="P56" s="630" t="s">
        <v>256</v>
      </c>
      <c r="Q56" s="630" t="s">
        <v>256</v>
      </c>
      <c r="R56" s="641" t="s">
        <v>22</v>
      </c>
      <c r="S56" s="641" t="s">
        <v>262</v>
      </c>
    </row>
    <row r="57" spans="1:21">
      <c r="A57" s="70"/>
      <c r="B57" s="19"/>
      <c r="C57" s="65"/>
      <c r="D57" s="67"/>
      <c r="E57" s="65"/>
      <c r="F57" s="18"/>
      <c r="G57" s="19"/>
      <c r="H57" s="65"/>
      <c r="I57" s="18"/>
      <c r="J57" s="73"/>
      <c r="K57" s="18"/>
      <c r="L57" s="156"/>
    </row>
    <row r="58" spans="1:21">
      <c r="A58" s="72">
        <f>A$55/2</f>
        <v>12</v>
      </c>
      <c r="B58" s="15">
        <v>2.4</v>
      </c>
      <c r="C58" s="66">
        <f>A58*B58</f>
        <v>28.799999999999997</v>
      </c>
      <c r="D58" s="68">
        <v>5</v>
      </c>
      <c r="E58" s="66">
        <f>IF(L58*1000/120/SQRT(3)*1.5&lt;65,120,IF(L58*1000/208/SQRT(3)*1.5&lt;65,208,IF(L58*1000/240/SQRT(3)*1.5&lt;65,240,480)))</f>
        <v>120</v>
      </c>
      <c r="F58" s="45">
        <f>L58*1000/E58/SQRT(3)</f>
        <v>1.2028130608117205</v>
      </c>
      <c r="G58" s="94">
        <f>G$56</f>
        <v>10</v>
      </c>
      <c r="H58" s="295">
        <f t="shared" ref="H58:H86" si="10">IF(C58&lt;87,0.428*(1+G58/100)*C58+2,0.428*(1+G58/100)*C58)</f>
        <v>15.55904</v>
      </c>
      <c r="I58" s="25">
        <f>SQRT(3)*H58</f>
        <v>26.949047796996464</v>
      </c>
      <c r="J58" s="52">
        <f>J$56</f>
        <v>25</v>
      </c>
      <c r="K58" s="25">
        <f t="shared" ref="K58:K86" si="11">(1+J58/100)*D58*0.83</f>
        <v>5.1875</v>
      </c>
      <c r="L58" s="427">
        <f t="shared" ref="L58:L86" si="12">IF(CEILING(I58*K58*SQRT(3)/1000,0.25)&lt;10,CEILING(I58*K58*SQRT(3)/1000,0.25),IF(CEILING(I58*K58*SQRT(3)/1000,0.25)&lt;20,CEILING(I58*K58*SQRT(3)/1000,0.5),CEILING(I58*K58*SQRT(3)/1000,1)))</f>
        <v>0.25</v>
      </c>
      <c r="M58" s="628"/>
      <c r="N58" s="628"/>
      <c r="O58" s="628"/>
      <c r="P58" s="491"/>
      <c r="Q58" s="491"/>
      <c r="R58" s="491"/>
      <c r="S58" s="628"/>
      <c r="T58" s="24"/>
      <c r="U58" s="24"/>
    </row>
    <row r="59" spans="1:21">
      <c r="A59" s="98">
        <f t="shared" ref="A59:A86" si="13">A$55/2</f>
        <v>12</v>
      </c>
      <c r="B59" s="99">
        <v>2.4</v>
      </c>
      <c r="C59" s="100">
        <f t="shared" ref="C59:C86" si="14">A59*B59</f>
        <v>28.799999999999997</v>
      </c>
      <c r="D59" s="101">
        <v>10</v>
      </c>
      <c r="E59" s="100">
        <f t="shared" ref="E59:E86" si="15">IF(L59*1000/120/SQRT(3)*1.5&lt;65,120,IF(L59*1000/208/SQRT(3)*1.5&lt;65,208,IF(L59*1000/240/SQRT(3)*1.5&lt;65,240,480)))</f>
        <v>120</v>
      </c>
      <c r="F59" s="102">
        <f t="shared" ref="F59:F86" si="16">L59*1000/E59/SQRT(3)</f>
        <v>2.4056261216234409</v>
      </c>
      <c r="G59" s="103">
        <f t="shared" ref="G59:G86" si="17">G$56</f>
        <v>10</v>
      </c>
      <c r="H59" s="296">
        <f t="shared" si="10"/>
        <v>15.55904</v>
      </c>
      <c r="I59" s="104">
        <f t="shared" ref="I59:I86" si="18">SQRT(3)*H59</f>
        <v>26.949047796996464</v>
      </c>
      <c r="J59" s="180">
        <f t="shared" ref="J59:J86" si="19">J$56</f>
        <v>25</v>
      </c>
      <c r="K59" s="104">
        <f t="shared" si="11"/>
        <v>10.375</v>
      </c>
      <c r="L59" s="428">
        <f t="shared" si="12"/>
        <v>0.5</v>
      </c>
      <c r="M59" s="628"/>
      <c r="N59" s="628"/>
      <c r="O59" s="628"/>
      <c r="P59" s="491"/>
      <c r="Q59" s="491"/>
      <c r="R59" s="491"/>
      <c r="S59" s="628"/>
      <c r="T59" s="24"/>
      <c r="U59" s="24"/>
    </row>
    <row r="60" spans="1:21">
      <c r="A60" s="72">
        <f t="shared" si="13"/>
        <v>12</v>
      </c>
      <c r="B60" s="15">
        <v>2.4</v>
      </c>
      <c r="C60" s="66">
        <f t="shared" si="14"/>
        <v>28.799999999999997</v>
      </c>
      <c r="D60" s="68">
        <v>15</v>
      </c>
      <c r="E60" s="66">
        <f t="shared" si="15"/>
        <v>120</v>
      </c>
      <c r="F60" s="45">
        <f t="shared" si="16"/>
        <v>3.6084391824351614</v>
      </c>
      <c r="G60" s="94">
        <f t="shared" si="17"/>
        <v>10</v>
      </c>
      <c r="H60" s="295">
        <f t="shared" si="10"/>
        <v>15.55904</v>
      </c>
      <c r="I60" s="25">
        <f t="shared" si="18"/>
        <v>26.949047796996464</v>
      </c>
      <c r="J60" s="52">
        <f t="shared" si="19"/>
        <v>25</v>
      </c>
      <c r="K60" s="25">
        <f t="shared" si="11"/>
        <v>15.5625</v>
      </c>
      <c r="L60" s="427">
        <f t="shared" si="12"/>
        <v>0.75</v>
      </c>
      <c r="M60" s="628"/>
      <c r="N60" s="628"/>
      <c r="O60" s="628"/>
      <c r="P60" s="491"/>
      <c r="Q60" s="491"/>
      <c r="R60" s="491"/>
      <c r="S60" s="628"/>
      <c r="T60" s="24"/>
      <c r="U60" s="24"/>
    </row>
    <row r="61" spans="1:21">
      <c r="A61" s="72">
        <f t="shared" si="13"/>
        <v>12</v>
      </c>
      <c r="B61" s="15">
        <v>2.4</v>
      </c>
      <c r="C61" s="66">
        <f t="shared" si="14"/>
        <v>28.799999999999997</v>
      </c>
      <c r="D61" s="68">
        <v>20</v>
      </c>
      <c r="E61" s="66">
        <f t="shared" si="15"/>
        <v>120</v>
      </c>
      <c r="F61" s="45">
        <f t="shared" si="16"/>
        <v>4.8112522432468818</v>
      </c>
      <c r="G61" s="94">
        <f t="shared" si="17"/>
        <v>10</v>
      </c>
      <c r="H61" s="295">
        <f t="shared" si="10"/>
        <v>15.55904</v>
      </c>
      <c r="I61" s="25">
        <f t="shared" si="18"/>
        <v>26.949047796996464</v>
      </c>
      <c r="J61" s="52">
        <f t="shared" si="19"/>
        <v>25</v>
      </c>
      <c r="K61" s="25">
        <f t="shared" si="11"/>
        <v>20.75</v>
      </c>
      <c r="L61" s="427">
        <f t="shared" si="12"/>
        <v>1</v>
      </c>
      <c r="M61" s="628"/>
      <c r="N61" s="628"/>
      <c r="O61" s="628"/>
      <c r="P61" s="491"/>
      <c r="Q61" s="491"/>
      <c r="R61" s="491"/>
      <c r="S61" s="628"/>
      <c r="T61" s="24"/>
      <c r="U61" s="24"/>
    </row>
    <row r="62" spans="1:21">
      <c r="A62" s="98">
        <f t="shared" si="13"/>
        <v>12</v>
      </c>
      <c r="B62" s="99">
        <v>2.4</v>
      </c>
      <c r="C62" s="100">
        <f t="shared" si="14"/>
        <v>28.799999999999997</v>
      </c>
      <c r="D62" s="101">
        <v>25</v>
      </c>
      <c r="E62" s="100">
        <f t="shared" si="15"/>
        <v>120</v>
      </c>
      <c r="F62" s="102">
        <f t="shared" si="16"/>
        <v>6.0140653040586018</v>
      </c>
      <c r="G62" s="103">
        <f t="shared" si="17"/>
        <v>10</v>
      </c>
      <c r="H62" s="296">
        <f t="shared" si="10"/>
        <v>15.55904</v>
      </c>
      <c r="I62" s="104">
        <f t="shared" si="18"/>
        <v>26.949047796996464</v>
      </c>
      <c r="J62" s="180">
        <f t="shared" si="19"/>
        <v>25</v>
      </c>
      <c r="K62" s="104">
        <f t="shared" si="11"/>
        <v>25.9375</v>
      </c>
      <c r="L62" s="428">
        <f t="shared" si="12"/>
        <v>1.25</v>
      </c>
      <c r="M62" s="628"/>
      <c r="N62" s="628"/>
      <c r="O62" s="628"/>
      <c r="P62" s="491"/>
      <c r="Q62" s="491"/>
      <c r="R62" s="491"/>
      <c r="S62" s="628"/>
      <c r="T62" s="24"/>
      <c r="U62" s="24"/>
    </row>
    <row r="63" spans="1:21">
      <c r="A63" s="72">
        <f t="shared" si="13"/>
        <v>12</v>
      </c>
      <c r="B63" s="15">
        <v>2.4</v>
      </c>
      <c r="C63" s="66">
        <f t="shared" si="14"/>
        <v>28.799999999999997</v>
      </c>
      <c r="D63" s="68">
        <v>30</v>
      </c>
      <c r="E63" s="66">
        <f t="shared" si="15"/>
        <v>120</v>
      </c>
      <c r="F63" s="45">
        <f t="shared" si="16"/>
        <v>7.2168783648703227</v>
      </c>
      <c r="G63" s="94">
        <f t="shared" si="17"/>
        <v>10</v>
      </c>
      <c r="H63" s="295">
        <f t="shared" si="10"/>
        <v>15.55904</v>
      </c>
      <c r="I63" s="25">
        <f t="shared" si="18"/>
        <v>26.949047796996464</v>
      </c>
      <c r="J63" s="52">
        <f t="shared" si="19"/>
        <v>25</v>
      </c>
      <c r="K63" s="25">
        <f t="shared" si="11"/>
        <v>31.125</v>
      </c>
      <c r="L63" s="427">
        <f t="shared" si="12"/>
        <v>1.5</v>
      </c>
      <c r="M63" s="628"/>
      <c r="N63" s="628"/>
      <c r="O63" s="628"/>
      <c r="P63" s="491"/>
      <c r="Q63" s="491"/>
      <c r="R63" s="491"/>
      <c r="S63" s="628"/>
      <c r="T63" s="24"/>
      <c r="U63" s="24"/>
    </row>
    <row r="64" spans="1:21">
      <c r="A64" s="72">
        <f t="shared" si="13"/>
        <v>12</v>
      </c>
      <c r="B64" s="15">
        <v>2.4</v>
      </c>
      <c r="C64" s="66">
        <f t="shared" si="14"/>
        <v>28.799999999999997</v>
      </c>
      <c r="D64" s="68">
        <v>35</v>
      </c>
      <c r="E64" s="66">
        <f t="shared" si="15"/>
        <v>120</v>
      </c>
      <c r="F64" s="45">
        <f t="shared" si="16"/>
        <v>8.4196914256820428</v>
      </c>
      <c r="G64" s="94">
        <f t="shared" si="17"/>
        <v>10</v>
      </c>
      <c r="H64" s="295">
        <f t="shared" si="10"/>
        <v>15.55904</v>
      </c>
      <c r="I64" s="25">
        <f t="shared" si="18"/>
        <v>26.949047796996464</v>
      </c>
      <c r="J64" s="52">
        <f t="shared" si="19"/>
        <v>25</v>
      </c>
      <c r="K64" s="25">
        <f t="shared" si="11"/>
        <v>36.3125</v>
      </c>
      <c r="L64" s="427">
        <f t="shared" si="12"/>
        <v>1.75</v>
      </c>
      <c r="M64" s="628"/>
      <c r="N64" s="628"/>
      <c r="O64" s="628"/>
      <c r="P64" s="491"/>
      <c r="Q64" s="491"/>
      <c r="R64" s="491"/>
      <c r="S64" s="628"/>
      <c r="T64" s="24"/>
      <c r="U64" s="24"/>
    </row>
    <row r="65" spans="1:21">
      <c r="A65" s="98">
        <f t="shared" si="13"/>
        <v>12</v>
      </c>
      <c r="B65" s="99">
        <v>2.4</v>
      </c>
      <c r="C65" s="100">
        <f t="shared" si="14"/>
        <v>28.799999999999997</v>
      </c>
      <c r="D65" s="101">
        <v>40</v>
      </c>
      <c r="E65" s="100">
        <f t="shared" si="15"/>
        <v>120</v>
      </c>
      <c r="F65" s="102">
        <f t="shared" si="16"/>
        <v>9.6225044864937637</v>
      </c>
      <c r="G65" s="103">
        <f t="shared" si="17"/>
        <v>10</v>
      </c>
      <c r="H65" s="296">
        <f t="shared" si="10"/>
        <v>15.55904</v>
      </c>
      <c r="I65" s="104">
        <f t="shared" si="18"/>
        <v>26.949047796996464</v>
      </c>
      <c r="J65" s="180">
        <f t="shared" si="19"/>
        <v>25</v>
      </c>
      <c r="K65" s="104">
        <f t="shared" si="11"/>
        <v>41.5</v>
      </c>
      <c r="L65" s="428">
        <f t="shared" si="12"/>
        <v>2</v>
      </c>
      <c r="M65" s="628"/>
      <c r="N65" s="628"/>
      <c r="O65" s="628"/>
      <c r="P65" s="491"/>
      <c r="Q65" s="491"/>
      <c r="R65" s="491"/>
      <c r="S65" s="628"/>
      <c r="T65" s="24"/>
      <c r="U65" s="24"/>
    </row>
    <row r="66" spans="1:21">
      <c r="A66" s="72">
        <f t="shared" si="13"/>
        <v>12</v>
      </c>
      <c r="B66" s="15">
        <v>2.4</v>
      </c>
      <c r="C66" s="66">
        <f t="shared" si="14"/>
        <v>28.799999999999997</v>
      </c>
      <c r="D66" s="68">
        <v>50</v>
      </c>
      <c r="E66" s="66">
        <f t="shared" si="15"/>
        <v>120</v>
      </c>
      <c r="F66" s="45">
        <f t="shared" si="16"/>
        <v>12.028130608117204</v>
      </c>
      <c r="G66" s="94">
        <f t="shared" si="17"/>
        <v>10</v>
      </c>
      <c r="H66" s="295">
        <f t="shared" si="10"/>
        <v>15.55904</v>
      </c>
      <c r="I66" s="25">
        <f t="shared" si="18"/>
        <v>26.949047796996464</v>
      </c>
      <c r="J66" s="52">
        <f t="shared" si="19"/>
        <v>25</v>
      </c>
      <c r="K66" s="25">
        <f t="shared" si="11"/>
        <v>51.875</v>
      </c>
      <c r="L66" s="427">
        <f t="shared" si="12"/>
        <v>2.5</v>
      </c>
      <c r="M66" s="628"/>
      <c r="N66" s="628"/>
      <c r="O66" s="628"/>
      <c r="P66" s="491"/>
      <c r="Q66" s="491"/>
      <c r="R66" s="491"/>
      <c r="S66" s="628"/>
      <c r="T66" s="24"/>
      <c r="U66" s="24"/>
    </row>
    <row r="67" spans="1:21">
      <c r="A67" s="72">
        <f t="shared" si="13"/>
        <v>12</v>
      </c>
      <c r="B67" s="15">
        <v>2.4</v>
      </c>
      <c r="C67" s="66">
        <f t="shared" si="14"/>
        <v>28.799999999999997</v>
      </c>
      <c r="D67" s="68">
        <v>60</v>
      </c>
      <c r="E67" s="66">
        <f t="shared" si="15"/>
        <v>120</v>
      </c>
      <c r="F67" s="45">
        <f t="shared" si="16"/>
        <v>14.433756729740645</v>
      </c>
      <c r="G67" s="94">
        <f t="shared" si="17"/>
        <v>10</v>
      </c>
      <c r="H67" s="295">
        <f t="shared" si="10"/>
        <v>15.55904</v>
      </c>
      <c r="I67" s="25">
        <f t="shared" si="18"/>
        <v>26.949047796996464</v>
      </c>
      <c r="J67" s="52">
        <f t="shared" si="19"/>
        <v>25</v>
      </c>
      <c r="K67" s="25">
        <f t="shared" si="11"/>
        <v>62.25</v>
      </c>
      <c r="L67" s="427">
        <f t="shared" si="12"/>
        <v>3</v>
      </c>
      <c r="M67" s="628"/>
      <c r="N67" s="628"/>
      <c r="O67" s="628"/>
      <c r="P67" s="491"/>
      <c r="Q67" s="491"/>
      <c r="R67" s="491"/>
      <c r="S67" s="628"/>
      <c r="T67" s="24"/>
      <c r="U67" s="24"/>
    </row>
    <row r="68" spans="1:21">
      <c r="A68" s="98">
        <f t="shared" si="13"/>
        <v>12</v>
      </c>
      <c r="B68" s="99">
        <v>2.4</v>
      </c>
      <c r="C68" s="100">
        <f t="shared" si="14"/>
        <v>28.799999999999997</v>
      </c>
      <c r="D68" s="101">
        <v>75</v>
      </c>
      <c r="E68" s="100">
        <f t="shared" si="15"/>
        <v>120</v>
      </c>
      <c r="F68" s="102">
        <f t="shared" si="16"/>
        <v>18.042195912175806</v>
      </c>
      <c r="G68" s="103">
        <f t="shared" si="17"/>
        <v>10</v>
      </c>
      <c r="H68" s="296">
        <f t="shared" si="10"/>
        <v>15.55904</v>
      </c>
      <c r="I68" s="104">
        <f t="shared" si="18"/>
        <v>26.949047796996464</v>
      </c>
      <c r="J68" s="180">
        <f t="shared" si="19"/>
        <v>25</v>
      </c>
      <c r="K68" s="104">
        <f t="shared" si="11"/>
        <v>77.8125</v>
      </c>
      <c r="L68" s="428">
        <f t="shared" si="12"/>
        <v>3.75</v>
      </c>
      <c r="M68" s="628"/>
      <c r="N68" s="628"/>
      <c r="O68" s="628"/>
      <c r="P68" s="491"/>
      <c r="Q68" s="491"/>
      <c r="R68" s="491"/>
      <c r="S68" s="628"/>
      <c r="T68" s="24"/>
      <c r="U68" s="24"/>
    </row>
    <row r="69" spans="1:21">
      <c r="A69" s="72">
        <f t="shared" si="13"/>
        <v>12</v>
      </c>
      <c r="B69" s="15">
        <v>2.4</v>
      </c>
      <c r="C69" s="66">
        <f t="shared" si="14"/>
        <v>28.799999999999997</v>
      </c>
      <c r="D69" s="68">
        <v>100</v>
      </c>
      <c r="E69" s="66">
        <f t="shared" si="15"/>
        <v>120</v>
      </c>
      <c r="F69" s="45">
        <f t="shared" si="16"/>
        <v>24.056261216234407</v>
      </c>
      <c r="G69" s="94">
        <f t="shared" si="17"/>
        <v>10</v>
      </c>
      <c r="H69" s="295">
        <f t="shared" si="10"/>
        <v>15.55904</v>
      </c>
      <c r="I69" s="25">
        <f t="shared" si="18"/>
        <v>26.949047796996464</v>
      </c>
      <c r="J69" s="52">
        <f t="shared" si="19"/>
        <v>25</v>
      </c>
      <c r="K69" s="25">
        <f t="shared" si="11"/>
        <v>103.75</v>
      </c>
      <c r="L69" s="427">
        <f t="shared" si="12"/>
        <v>5</v>
      </c>
      <c r="M69" s="628"/>
      <c r="N69" s="628"/>
      <c r="O69" s="628"/>
      <c r="P69" s="491"/>
      <c r="Q69" s="491"/>
      <c r="R69" s="491"/>
      <c r="S69" s="628"/>
      <c r="T69" s="24"/>
      <c r="U69" s="24"/>
    </row>
    <row r="70" spans="1:21">
      <c r="A70" s="72">
        <f t="shared" si="13"/>
        <v>12</v>
      </c>
      <c r="B70" s="15">
        <v>2.4</v>
      </c>
      <c r="C70" s="66">
        <f t="shared" si="14"/>
        <v>28.799999999999997</v>
      </c>
      <c r="D70" s="68">
        <v>125</v>
      </c>
      <c r="E70" s="66">
        <f t="shared" si="15"/>
        <v>120</v>
      </c>
      <c r="F70" s="45">
        <f t="shared" si="16"/>
        <v>30.070326520293012</v>
      </c>
      <c r="G70" s="94">
        <f t="shared" si="17"/>
        <v>10</v>
      </c>
      <c r="H70" s="295">
        <f t="shared" si="10"/>
        <v>15.55904</v>
      </c>
      <c r="I70" s="25">
        <f t="shared" si="18"/>
        <v>26.949047796996464</v>
      </c>
      <c r="J70" s="52">
        <f t="shared" si="19"/>
        <v>25</v>
      </c>
      <c r="K70" s="25">
        <f t="shared" si="11"/>
        <v>129.6875</v>
      </c>
      <c r="L70" s="427">
        <f t="shared" si="12"/>
        <v>6.25</v>
      </c>
      <c r="M70" s="628"/>
      <c r="N70" s="628"/>
      <c r="O70" s="628"/>
      <c r="P70" s="491"/>
      <c r="Q70" s="491"/>
      <c r="R70" s="491"/>
      <c r="S70" s="628"/>
      <c r="T70" s="24"/>
      <c r="U70" s="24"/>
    </row>
    <row r="71" spans="1:21">
      <c r="A71" s="98">
        <f t="shared" si="13"/>
        <v>12</v>
      </c>
      <c r="B71" s="99">
        <v>2.4</v>
      </c>
      <c r="C71" s="100">
        <f t="shared" si="14"/>
        <v>28.799999999999997</v>
      </c>
      <c r="D71" s="101">
        <v>150</v>
      </c>
      <c r="E71" s="100">
        <f t="shared" si="15"/>
        <v>120</v>
      </c>
      <c r="F71" s="102">
        <f t="shared" si="16"/>
        <v>36.084391824351613</v>
      </c>
      <c r="G71" s="103">
        <f t="shared" si="17"/>
        <v>10</v>
      </c>
      <c r="H71" s="296">
        <f t="shared" si="10"/>
        <v>15.55904</v>
      </c>
      <c r="I71" s="104">
        <f t="shared" si="18"/>
        <v>26.949047796996464</v>
      </c>
      <c r="J71" s="180">
        <f t="shared" si="19"/>
        <v>25</v>
      </c>
      <c r="K71" s="104">
        <f t="shared" si="11"/>
        <v>155.625</v>
      </c>
      <c r="L71" s="428">
        <f t="shared" si="12"/>
        <v>7.5</v>
      </c>
      <c r="M71" s="628"/>
      <c r="N71" s="628"/>
      <c r="O71" s="628"/>
      <c r="P71" s="491"/>
      <c r="Q71" s="491"/>
      <c r="R71" s="491"/>
      <c r="S71" s="628"/>
      <c r="T71" s="24"/>
      <c r="U71" s="24"/>
    </row>
    <row r="72" spans="1:21">
      <c r="A72" s="72">
        <f t="shared" si="13"/>
        <v>12</v>
      </c>
      <c r="B72" s="15">
        <v>2.4</v>
      </c>
      <c r="C72" s="66">
        <f t="shared" si="14"/>
        <v>28.799999999999997</v>
      </c>
      <c r="D72" s="68">
        <v>175</v>
      </c>
      <c r="E72" s="66">
        <f t="shared" si="15"/>
        <v>120</v>
      </c>
      <c r="F72" s="45">
        <f t="shared" si="16"/>
        <v>40.895644067598489</v>
      </c>
      <c r="G72" s="94">
        <f t="shared" si="17"/>
        <v>10</v>
      </c>
      <c r="H72" s="295">
        <f t="shared" si="10"/>
        <v>15.55904</v>
      </c>
      <c r="I72" s="25">
        <f t="shared" si="18"/>
        <v>26.949047796996464</v>
      </c>
      <c r="J72" s="52">
        <f t="shared" si="19"/>
        <v>25</v>
      </c>
      <c r="K72" s="25">
        <f t="shared" si="11"/>
        <v>181.5625</v>
      </c>
      <c r="L72" s="427">
        <f t="shared" si="12"/>
        <v>8.5</v>
      </c>
      <c r="M72" s="628"/>
      <c r="N72" s="628"/>
      <c r="O72" s="628"/>
      <c r="P72" s="491"/>
      <c r="Q72" s="491"/>
      <c r="R72" s="491"/>
      <c r="S72" s="628"/>
      <c r="T72" s="24"/>
      <c r="U72" s="24"/>
    </row>
    <row r="73" spans="1:21">
      <c r="A73" s="72">
        <f t="shared" si="13"/>
        <v>12</v>
      </c>
      <c r="B73" s="15">
        <v>2.4</v>
      </c>
      <c r="C73" s="66">
        <f t="shared" si="14"/>
        <v>28.799999999999997</v>
      </c>
      <c r="D73" s="68">
        <v>200</v>
      </c>
      <c r="E73" s="66">
        <f t="shared" si="15"/>
        <v>208</v>
      </c>
      <c r="F73" s="45">
        <f t="shared" si="16"/>
        <v>27.06329386826371</v>
      </c>
      <c r="G73" s="94">
        <f t="shared" si="17"/>
        <v>10</v>
      </c>
      <c r="H73" s="295">
        <f t="shared" si="10"/>
        <v>15.55904</v>
      </c>
      <c r="I73" s="25">
        <f t="shared" si="18"/>
        <v>26.949047796996464</v>
      </c>
      <c r="J73" s="52">
        <f t="shared" si="19"/>
        <v>25</v>
      </c>
      <c r="K73" s="25">
        <f t="shared" si="11"/>
        <v>207.5</v>
      </c>
      <c r="L73" s="427">
        <f t="shared" si="12"/>
        <v>9.75</v>
      </c>
      <c r="M73" s="628"/>
      <c r="N73" s="628"/>
      <c r="O73" s="628"/>
      <c r="P73" s="491"/>
      <c r="Q73" s="491"/>
      <c r="R73" s="491"/>
      <c r="S73" s="628"/>
      <c r="T73" s="24"/>
      <c r="U73" s="24"/>
    </row>
    <row r="74" spans="1:21">
      <c r="A74" s="98">
        <f t="shared" si="13"/>
        <v>12</v>
      </c>
      <c r="B74" s="99">
        <v>2.4</v>
      </c>
      <c r="C74" s="100">
        <f t="shared" si="14"/>
        <v>28.799999999999997</v>
      </c>
      <c r="D74" s="101">
        <v>250</v>
      </c>
      <c r="E74" s="100">
        <f t="shared" si="15"/>
        <v>208</v>
      </c>
      <c r="F74" s="102">
        <f t="shared" si="16"/>
        <v>34.696530600338086</v>
      </c>
      <c r="G74" s="103">
        <f t="shared" si="17"/>
        <v>10</v>
      </c>
      <c r="H74" s="296">
        <f t="shared" si="10"/>
        <v>15.55904</v>
      </c>
      <c r="I74" s="104">
        <f t="shared" si="18"/>
        <v>26.949047796996464</v>
      </c>
      <c r="J74" s="180">
        <f t="shared" si="19"/>
        <v>25</v>
      </c>
      <c r="K74" s="104">
        <f t="shared" si="11"/>
        <v>259.375</v>
      </c>
      <c r="L74" s="263">
        <f t="shared" si="12"/>
        <v>12.5</v>
      </c>
      <c r="M74" s="628"/>
      <c r="N74" s="628"/>
      <c r="O74" s="628"/>
      <c r="P74" s="491"/>
      <c r="Q74" s="491"/>
      <c r="R74" s="491"/>
      <c r="S74" s="628"/>
      <c r="T74" s="24"/>
      <c r="U74" s="24"/>
    </row>
    <row r="75" spans="1:21">
      <c r="A75" s="72">
        <f t="shared" si="13"/>
        <v>12</v>
      </c>
      <c r="B75" s="15">
        <v>2.4</v>
      </c>
      <c r="C75" s="66">
        <f t="shared" si="14"/>
        <v>28.799999999999997</v>
      </c>
      <c r="D75" s="68">
        <v>300</v>
      </c>
      <c r="E75" s="66">
        <f t="shared" si="15"/>
        <v>208</v>
      </c>
      <c r="F75" s="45">
        <f t="shared" si="16"/>
        <v>41.635836720405706</v>
      </c>
      <c r="G75" s="94">
        <f t="shared" si="17"/>
        <v>10</v>
      </c>
      <c r="H75" s="295">
        <f t="shared" si="10"/>
        <v>15.55904</v>
      </c>
      <c r="I75" s="25">
        <f t="shared" si="18"/>
        <v>26.949047796996464</v>
      </c>
      <c r="J75" s="52">
        <f t="shared" si="19"/>
        <v>25</v>
      </c>
      <c r="K75" s="25">
        <f t="shared" si="11"/>
        <v>311.25</v>
      </c>
      <c r="L75" s="157">
        <f t="shared" si="12"/>
        <v>15</v>
      </c>
      <c r="M75" s="628"/>
      <c r="N75" s="628"/>
      <c r="O75" s="628"/>
      <c r="P75" s="491"/>
      <c r="Q75" s="491"/>
      <c r="R75" s="491"/>
      <c r="S75" s="628"/>
      <c r="T75" s="24"/>
      <c r="U75" s="24"/>
    </row>
    <row r="76" spans="1:21">
      <c r="A76" s="72">
        <f t="shared" si="13"/>
        <v>12</v>
      </c>
      <c r="B76" s="15">
        <v>2.4</v>
      </c>
      <c r="C76" s="66">
        <f t="shared" si="14"/>
        <v>28.799999999999997</v>
      </c>
      <c r="D76" s="68">
        <v>350</v>
      </c>
      <c r="E76" s="66">
        <f t="shared" si="15"/>
        <v>240</v>
      </c>
      <c r="F76" s="45">
        <f t="shared" si="16"/>
        <v>40.895644067598489</v>
      </c>
      <c r="G76" s="94">
        <f t="shared" si="17"/>
        <v>10</v>
      </c>
      <c r="H76" s="295">
        <f t="shared" si="10"/>
        <v>15.55904</v>
      </c>
      <c r="I76" s="25">
        <f t="shared" si="18"/>
        <v>26.949047796996464</v>
      </c>
      <c r="J76" s="52">
        <f t="shared" si="19"/>
        <v>25</v>
      </c>
      <c r="K76" s="25">
        <f t="shared" si="11"/>
        <v>363.125</v>
      </c>
      <c r="L76" s="157">
        <f t="shared" si="12"/>
        <v>17</v>
      </c>
      <c r="M76" s="628"/>
      <c r="N76" s="628"/>
      <c r="O76" s="628"/>
      <c r="P76" s="491"/>
      <c r="Q76" s="491"/>
      <c r="R76" s="491"/>
      <c r="S76" s="628"/>
      <c r="T76" s="24"/>
      <c r="U76" s="24"/>
    </row>
    <row r="77" spans="1:21">
      <c r="A77" s="98">
        <f t="shared" si="13"/>
        <v>12</v>
      </c>
      <c r="B77" s="99">
        <v>2.4</v>
      </c>
      <c r="C77" s="100">
        <f t="shared" si="14"/>
        <v>28.799999999999997</v>
      </c>
      <c r="D77" s="101">
        <v>400</v>
      </c>
      <c r="E77" s="100">
        <f t="shared" si="15"/>
        <v>480</v>
      </c>
      <c r="F77" s="102">
        <f t="shared" si="16"/>
        <v>23.454854685828547</v>
      </c>
      <c r="G77" s="103">
        <f t="shared" si="17"/>
        <v>10</v>
      </c>
      <c r="H77" s="296">
        <f t="shared" si="10"/>
        <v>15.55904</v>
      </c>
      <c r="I77" s="104">
        <f t="shared" si="18"/>
        <v>26.949047796996464</v>
      </c>
      <c r="J77" s="180">
        <f t="shared" si="19"/>
        <v>25</v>
      </c>
      <c r="K77" s="104">
        <f t="shared" si="11"/>
        <v>415</v>
      </c>
      <c r="L77" s="263">
        <f t="shared" si="12"/>
        <v>19.5</v>
      </c>
      <c r="M77" s="628"/>
      <c r="N77" s="628"/>
      <c r="O77" s="628"/>
      <c r="P77" s="491"/>
      <c r="Q77" s="491"/>
      <c r="R77" s="491"/>
      <c r="S77" s="628"/>
      <c r="T77" s="24"/>
      <c r="U77" s="24"/>
    </row>
    <row r="78" spans="1:21">
      <c r="A78" s="72">
        <f t="shared" si="13"/>
        <v>12</v>
      </c>
      <c r="B78" s="15">
        <v>2.4</v>
      </c>
      <c r="C78" s="66">
        <f t="shared" si="14"/>
        <v>28.799999999999997</v>
      </c>
      <c r="D78" s="68">
        <v>450</v>
      </c>
      <c r="E78" s="66">
        <f t="shared" si="15"/>
        <v>480</v>
      </c>
      <c r="F78" s="45">
        <f t="shared" si="16"/>
        <v>26.461887337857849</v>
      </c>
      <c r="G78" s="94">
        <f t="shared" si="17"/>
        <v>10</v>
      </c>
      <c r="H78" s="295">
        <f t="shared" si="10"/>
        <v>15.55904</v>
      </c>
      <c r="I78" s="25">
        <f t="shared" si="18"/>
        <v>26.949047796996464</v>
      </c>
      <c r="J78" s="52">
        <f t="shared" si="19"/>
        <v>25</v>
      </c>
      <c r="K78" s="25">
        <f t="shared" si="11"/>
        <v>466.875</v>
      </c>
      <c r="L78" s="157">
        <f t="shared" si="12"/>
        <v>22</v>
      </c>
      <c r="M78" s="628"/>
      <c r="N78" s="628"/>
      <c r="O78" s="628"/>
      <c r="P78" s="491"/>
      <c r="Q78" s="491"/>
      <c r="R78" s="491"/>
      <c r="S78" s="628"/>
      <c r="T78" s="24"/>
      <c r="U78" s="24"/>
    </row>
    <row r="79" spans="1:21">
      <c r="A79" s="72">
        <f t="shared" si="13"/>
        <v>12</v>
      </c>
      <c r="B79" s="15">
        <v>2.4</v>
      </c>
      <c r="C79" s="66">
        <f t="shared" si="14"/>
        <v>28.799999999999997</v>
      </c>
      <c r="D79" s="68">
        <v>500</v>
      </c>
      <c r="E79" s="66">
        <f t="shared" si="15"/>
        <v>480</v>
      </c>
      <c r="F79" s="45">
        <f t="shared" si="16"/>
        <v>30.070326520293012</v>
      </c>
      <c r="G79" s="94">
        <f t="shared" si="17"/>
        <v>10</v>
      </c>
      <c r="H79" s="295">
        <f t="shared" si="10"/>
        <v>15.55904</v>
      </c>
      <c r="I79" s="25">
        <f t="shared" si="18"/>
        <v>26.949047796996464</v>
      </c>
      <c r="J79" s="52">
        <f t="shared" si="19"/>
        <v>25</v>
      </c>
      <c r="K79" s="25">
        <f t="shared" si="11"/>
        <v>518.75</v>
      </c>
      <c r="L79" s="157">
        <f t="shared" si="12"/>
        <v>25</v>
      </c>
      <c r="M79" s="628"/>
      <c r="N79" s="628"/>
      <c r="O79" s="628"/>
      <c r="P79" s="491"/>
      <c r="Q79" s="491"/>
      <c r="R79" s="491"/>
      <c r="S79" s="628"/>
      <c r="T79" s="24"/>
      <c r="U79" s="24"/>
    </row>
    <row r="80" spans="1:21">
      <c r="A80" s="98">
        <f t="shared" si="13"/>
        <v>12</v>
      </c>
      <c r="B80" s="99">
        <v>2.4</v>
      </c>
      <c r="C80" s="100">
        <f t="shared" si="14"/>
        <v>28.799999999999997</v>
      </c>
      <c r="D80" s="101">
        <v>600</v>
      </c>
      <c r="E80" s="100">
        <f t="shared" si="15"/>
        <v>480</v>
      </c>
      <c r="F80" s="102">
        <f t="shared" si="16"/>
        <v>36.084391824351613</v>
      </c>
      <c r="G80" s="103">
        <f t="shared" si="17"/>
        <v>10</v>
      </c>
      <c r="H80" s="296">
        <f t="shared" si="10"/>
        <v>15.55904</v>
      </c>
      <c r="I80" s="104">
        <f t="shared" si="18"/>
        <v>26.949047796996464</v>
      </c>
      <c r="J80" s="180">
        <f t="shared" si="19"/>
        <v>25</v>
      </c>
      <c r="K80" s="104">
        <f t="shared" si="11"/>
        <v>622.5</v>
      </c>
      <c r="L80" s="263">
        <f t="shared" si="12"/>
        <v>30</v>
      </c>
      <c r="M80" s="628"/>
      <c r="N80" s="628"/>
      <c r="O80" s="628"/>
      <c r="P80" s="491"/>
      <c r="Q80" s="491"/>
      <c r="R80" s="491"/>
      <c r="S80" s="628"/>
      <c r="T80" s="24"/>
      <c r="U80" s="24"/>
    </row>
    <row r="81" spans="1:21">
      <c r="A81" s="72">
        <f t="shared" si="13"/>
        <v>12</v>
      </c>
      <c r="B81" s="15">
        <v>2.4</v>
      </c>
      <c r="C81" s="66">
        <f t="shared" si="14"/>
        <v>28.799999999999997</v>
      </c>
      <c r="D81" s="68">
        <v>700</v>
      </c>
      <c r="E81" s="66">
        <f t="shared" si="15"/>
        <v>480</v>
      </c>
      <c r="F81" s="45">
        <f t="shared" si="16"/>
        <v>40.895644067598489</v>
      </c>
      <c r="G81" s="94">
        <f t="shared" si="17"/>
        <v>10</v>
      </c>
      <c r="H81" s="295">
        <f t="shared" si="10"/>
        <v>15.55904</v>
      </c>
      <c r="I81" s="25">
        <f t="shared" si="18"/>
        <v>26.949047796996464</v>
      </c>
      <c r="J81" s="52">
        <f t="shared" si="19"/>
        <v>25</v>
      </c>
      <c r="K81" s="25">
        <f t="shared" si="11"/>
        <v>726.25</v>
      </c>
      <c r="L81" s="157">
        <f t="shared" si="12"/>
        <v>34</v>
      </c>
      <c r="M81" s="628"/>
      <c r="N81" s="628"/>
      <c r="O81" s="628"/>
      <c r="P81" s="491"/>
      <c r="Q81" s="491"/>
      <c r="R81" s="491"/>
      <c r="S81" s="628"/>
      <c r="T81" s="24"/>
      <c r="U81" s="24"/>
    </row>
    <row r="82" spans="1:21">
      <c r="A82" s="72">
        <f t="shared" si="13"/>
        <v>12</v>
      </c>
      <c r="B82" s="15">
        <v>2.4</v>
      </c>
      <c r="C82" s="66">
        <f t="shared" si="14"/>
        <v>28.799999999999997</v>
      </c>
      <c r="D82" s="68">
        <v>800</v>
      </c>
      <c r="E82" s="66">
        <f t="shared" si="15"/>
        <v>480</v>
      </c>
      <c r="F82" s="45">
        <f t="shared" si="16"/>
        <v>46.909709371657094</v>
      </c>
      <c r="G82" s="94">
        <f t="shared" si="17"/>
        <v>10</v>
      </c>
      <c r="H82" s="295">
        <f t="shared" si="10"/>
        <v>15.55904</v>
      </c>
      <c r="I82" s="25">
        <f t="shared" si="18"/>
        <v>26.949047796996464</v>
      </c>
      <c r="J82" s="52">
        <f t="shared" si="19"/>
        <v>25</v>
      </c>
      <c r="K82" s="25">
        <f t="shared" si="11"/>
        <v>830</v>
      </c>
      <c r="L82" s="157">
        <f t="shared" si="12"/>
        <v>39</v>
      </c>
      <c r="M82" s="628"/>
      <c r="N82" s="628"/>
      <c r="O82" s="628"/>
      <c r="P82" s="491"/>
      <c r="Q82" s="491"/>
      <c r="R82" s="491"/>
      <c r="S82" s="628"/>
      <c r="T82" s="24"/>
      <c r="U82" s="24"/>
    </row>
    <row r="83" spans="1:21">
      <c r="A83" s="98">
        <f t="shared" si="13"/>
        <v>12</v>
      </c>
      <c r="B83" s="99">
        <v>2.4</v>
      </c>
      <c r="C83" s="100">
        <f t="shared" si="14"/>
        <v>28.799999999999997</v>
      </c>
      <c r="D83" s="101">
        <v>900</v>
      </c>
      <c r="E83" s="100">
        <f t="shared" si="15"/>
        <v>480</v>
      </c>
      <c r="F83" s="102">
        <f t="shared" si="16"/>
        <v>52.923774675715698</v>
      </c>
      <c r="G83" s="103">
        <f t="shared" si="17"/>
        <v>10</v>
      </c>
      <c r="H83" s="296">
        <f t="shared" si="10"/>
        <v>15.55904</v>
      </c>
      <c r="I83" s="104">
        <f t="shared" si="18"/>
        <v>26.949047796996464</v>
      </c>
      <c r="J83" s="180">
        <f t="shared" si="19"/>
        <v>25</v>
      </c>
      <c r="K83" s="104">
        <f t="shared" si="11"/>
        <v>933.75</v>
      </c>
      <c r="L83" s="263">
        <f t="shared" si="12"/>
        <v>44</v>
      </c>
      <c r="M83" s="628"/>
      <c r="N83" s="628"/>
      <c r="O83" s="628"/>
      <c r="P83" s="491"/>
      <c r="Q83" s="491"/>
      <c r="R83" s="491"/>
      <c r="S83" s="628"/>
      <c r="T83" s="24"/>
      <c r="U83" s="24"/>
    </row>
    <row r="84" spans="1:21">
      <c r="A84" s="72">
        <f t="shared" si="13"/>
        <v>12</v>
      </c>
      <c r="B84" s="15">
        <v>2.4</v>
      </c>
      <c r="C84" s="66">
        <f t="shared" si="14"/>
        <v>28.799999999999997</v>
      </c>
      <c r="D84" s="68">
        <v>1000</v>
      </c>
      <c r="E84" s="66">
        <f t="shared" si="15"/>
        <v>480</v>
      </c>
      <c r="F84" s="45">
        <f t="shared" si="16"/>
        <v>58.937839979774296</v>
      </c>
      <c r="G84" s="94">
        <f t="shared" si="17"/>
        <v>10</v>
      </c>
      <c r="H84" s="295">
        <f t="shared" si="10"/>
        <v>15.55904</v>
      </c>
      <c r="I84" s="25">
        <f t="shared" si="18"/>
        <v>26.949047796996464</v>
      </c>
      <c r="J84" s="52">
        <f t="shared" si="19"/>
        <v>25</v>
      </c>
      <c r="K84" s="25">
        <f t="shared" si="11"/>
        <v>1037.5</v>
      </c>
      <c r="L84" s="157">
        <f t="shared" si="12"/>
        <v>49</v>
      </c>
      <c r="M84" s="628"/>
      <c r="N84" s="628"/>
      <c r="O84" s="628"/>
      <c r="P84" s="491"/>
      <c r="Q84" s="491"/>
      <c r="R84" s="491"/>
      <c r="S84" s="628"/>
      <c r="T84" s="24"/>
      <c r="U84" s="24"/>
    </row>
    <row r="85" spans="1:21">
      <c r="A85" s="72">
        <f t="shared" si="13"/>
        <v>12</v>
      </c>
      <c r="B85" s="15">
        <v>2.4</v>
      </c>
      <c r="C85" s="66">
        <f t="shared" si="14"/>
        <v>28.799999999999997</v>
      </c>
      <c r="D85" s="68">
        <v>1100</v>
      </c>
      <c r="E85" s="66">
        <f t="shared" si="15"/>
        <v>480</v>
      </c>
      <c r="F85" s="45">
        <f t="shared" si="16"/>
        <v>64.9519052838329</v>
      </c>
      <c r="G85" s="94">
        <f t="shared" si="17"/>
        <v>10</v>
      </c>
      <c r="H85" s="295">
        <f t="shared" si="10"/>
        <v>15.55904</v>
      </c>
      <c r="I85" s="25">
        <f t="shared" si="18"/>
        <v>26.949047796996464</v>
      </c>
      <c r="J85" s="52">
        <f t="shared" si="19"/>
        <v>25</v>
      </c>
      <c r="K85" s="25">
        <f t="shared" si="11"/>
        <v>1141.25</v>
      </c>
      <c r="L85" s="157">
        <f t="shared" si="12"/>
        <v>54</v>
      </c>
      <c r="M85" s="628"/>
      <c r="N85" s="628"/>
      <c r="O85" s="628"/>
      <c r="P85" s="491"/>
      <c r="Q85" s="491"/>
      <c r="R85" s="491"/>
      <c r="S85" s="628"/>
      <c r="T85" s="24"/>
      <c r="U85" s="24"/>
    </row>
    <row r="86" spans="1:21" ht="13.5" thickBot="1">
      <c r="A86" s="253">
        <f t="shared" si="13"/>
        <v>12</v>
      </c>
      <c r="B86" s="254">
        <v>2.4</v>
      </c>
      <c r="C86" s="258">
        <f t="shared" si="14"/>
        <v>28.799999999999997</v>
      </c>
      <c r="D86" s="259">
        <v>1200</v>
      </c>
      <c r="E86" s="258">
        <f t="shared" si="15"/>
        <v>480</v>
      </c>
      <c r="F86" s="260">
        <f t="shared" si="16"/>
        <v>70.965970587891505</v>
      </c>
      <c r="G86" s="261">
        <f t="shared" si="17"/>
        <v>10</v>
      </c>
      <c r="H86" s="297">
        <f t="shared" si="10"/>
        <v>15.55904</v>
      </c>
      <c r="I86" s="264">
        <f t="shared" si="18"/>
        <v>26.949047796996464</v>
      </c>
      <c r="J86" s="265">
        <f t="shared" si="19"/>
        <v>25</v>
      </c>
      <c r="K86" s="264">
        <f t="shared" si="11"/>
        <v>1245</v>
      </c>
      <c r="L86" s="266">
        <f t="shared" si="12"/>
        <v>59</v>
      </c>
      <c r="M86" s="628"/>
      <c r="N86" s="628"/>
      <c r="O86" s="628"/>
      <c r="P86" s="491"/>
      <c r="Q86" s="491"/>
      <c r="R86" s="491"/>
      <c r="S86" s="628"/>
      <c r="T86" s="24"/>
      <c r="U86" s="24"/>
    </row>
    <row r="87" spans="1:21">
      <c r="P87" s="491"/>
    </row>
    <row r="88" spans="1:21" ht="13.5" thickBot="1">
      <c r="P88" s="491"/>
    </row>
    <row r="89" spans="1:21" ht="16.5" thickBot="1">
      <c r="A89" s="95" t="s">
        <v>77</v>
      </c>
      <c r="B89" s="96"/>
      <c r="C89" s="44"/>
      <c r="D89" s="86"/>
      <c r="E89" s="86"/>
      <c r="F89" s="86"/>
      <c r="G89" s="87"/>
      <c r="H89" s="290" t="s">
        <v>102</v>
      </c>
      <c r="I89" s="42"/>
      <c r="J89" s="51"/>
      <c r="K89" s="42"/>
      <c r="L89" s="40"/>
      <c r="P89" s="491"/>
    </row>
    <row r="90" spans="1:21" ht="13.5" thickBot="1">
      <c r="A90" s="97" t="s">
        <v>23</v>
      </c>
      <c r="B90" s="48"/>
      <c r="C90" s="189" t="s">
        <v>76</v>
      </c>
      <c r="D90" s="190"/>
      <c r="E90" s="189" t="s">
        <v>57</v>
      </c>
      <c r="F90" s="191"/>
      <c r="G90" s="192"/>
      <c r="H90" s="76"/>
      <c r="I90" s="90"/>
      <c r="J90" s="175"/>
      <c r="K90" s="90"/>
      <c r="L90" s="49"/>
      <c r="P90" s="491"/>
    </row>
    <row r="91" spans="1:21" ht="15">
      <c r="A91" s="65">
        <v>36</v>
      </c>
      <c r="B91" s="67" t="s">
        <v>92</v>
      </c>
      <c r="C91" s="65" t="s">
        <v>93</v>
      </c>
      <c r="D91" s="67" t="s">
        <v>16</v>
      </c>
      <c r="E91" s="65" t="s">
        <v>54</v>
      </c>
      <c r="F91" s="18" t="s">
        <v>58</v>
      </c>
      <c r="G91" s="314" t="s">
        <v>55</v>
      </c>
      <c r="H91" s="65" t="s">
        <v>50</v>
      </c>
      <c r="I91" s="18" t="s">
        <v>51</v>
      </c>
      <c r="J91" s="73" t="s">
        <v>56</v>
      </c>
      <c r="K91" s="18" t="s">
        <v>28</v>
      </c>
      <c r="L91" s="156" t="s">
        <v>29</v>
      </c>
      <c r="N91" s="629">
        <v>0.05</v>
      </c>
      <c r="O91" s="629">
        <v>0.04</v>
      </c>
      <c r="P91" s="4" t="s">
        <v>254</v>
      </c>
      <c r="Q91" s="4" t="s">
        <v>255</v>
      </c>
      <c r="R91" s="455" t="s">
        <v>263</v>
      </c>
      <c r="S91" s="583" t="s">
        <v>261</v>
      </c>
    </row>
    <row r="92" spans="1:21" ht="16.5" thickBot="1">
      <c r="A92" s="187" t="s">
        <v>24</v>
      </c>
      <c r="B92" s="188" t="s">
        <v>53</v>
      </c>
      <c r="C92" s="306" t="s">
        <v>53</v>
      </c>
      <c r="D92" s="255" t="s">
        <v>22</v>
      </c>
      <c r="E92" s="187" t="s">
        <v>53</v>
      </c>
      <c r="F92" s="16" t="s">
        <v>22</v>
      </c>
      <c r="G92" s="194">
        <v>10</v>
      </c>
      <c r="H92" s="187" t="s">
        <v>42</v>
      </c>
      <c r="I92" s="16" t="s">
        <v>42</v>
      </c>
      <c r="J92" s="196">
        <v>25</v>
      </c>
      <c r="K92" s="16" t="s">
        <v>43</v>
      </c>
      <c r="L92" s="195" t="s">
        <v>44</v>
      </c>
      <c r="M92" s="625" t="s">
        <v>253</v>
      </c>
      <c r="N92" s="625" t="s">
        <v>253</v>
      </c>
      <c r="O92" s="625" t="s">
        <v>253</v>
      </c>
      <c r="P92" s="630" t="s">
        <v>256</v>
      </c>
      <c r="Q92" s="630" t="s">
        <v>256</v>
      </c>
      <c r="R92" s="641" t="s">
        <v>22</v>
      </c>
      <c r="S92" s="641" t="s">
        <v>262</v>
      </c>
    </row>
    <row r="93" spans="1:21">
      <c r="A93" s="70"/>
      <c r="B93" s="19"/>
      <c r="C93" s="65"/>
      <c r="D93" s="67"/>
      <c r="E93" s="65"/>
      <c r="F93" s="18"/>
      <c r="G93" s="19"/>
      <c r="H93" s="65"/>
      <c r="I93" s="18"/>
      <c r="J93" s="73"/>
      <c r="K93" s="18"/>
      <c r="L93" s="156"/>
    </row>
    <row r="94" spans="1:21">
      <c r="A94" s="72">
        <f>A$91/2</f>
        <v>18</v>
      </c>
      <c r="B94" s="15">
        <v>2.4</v>
      </c>
      <c r="C94" s="66">
        <f>A94*B94</f>
        <v>43.199999999999996</v>
      </c>
      <c r="D94" s="68">
        <v>5</v>
      </c>
      <c r="E94" s="66">
        <f>IF(L94*1000/120/SQRT(3)*1.5&lt;65,120,IF(L94*1000/208/SQRT(3)*1.5&lt;65,208,IF(L94*1000/240/SQRT(3)*1.5&lt;65,240,480)))</f>
        <v>120</v>
      </c>
      <c r="F94" s="45">
        <f>L94*1000/E94/SQRT(3)</f>
        <v>2.4056261216234409</v>
      </c>
      <c r="G94" s="94">
        <f>G$92</f>
        <v>10</v>
      </c>
      <c r="H94" s="295">
        <f t="shared" ref="H94:H122" si="20">IF(C94&lt;87,0.428*(1+G94/100)*C94+2,0.428*(1+G94/100)*C94)</f>
        <v>22.338560000000001</v>
      </c>
      <c r="I94" s="25">
        <f>SQRT(3)*H94</f>
        <v>38.691520887925819</v>
      </c>
      <c r="J94" s="52">
        <f>J$92</f>
        <v>25</v>
      </c>
      <c r="K94" s="25">
        <f t="shared" ref="K94:K122" si="21">(1+J94/100)*D94*0.83</f>
        <v>5.1875</v>
      </c>
      <c r="L94" s="427">
        <f t="shared" ref="L94:L122" si="22">IF(CEILING(I94*K94*SQRT(3)/1000,0.25)&lt;10,CEILING(I94*K94*SQRT(3)/1000,0.25),IF(CEILING(I94*K94*SQRT(3)/1000,0.25)&lt;20,CEILING(I94*K94*SQRT(3)/1000,0.5),CEILING(I94*K94*SQRT(3)/1000,1)))</f>
        <v>0.5</v>
      </c>
      <c r="M94" s="628"/>
      <c r="N94" s="628"/>
      <c r="O94" s="628"/>
      <c r="P94" s="491"/>
      <c r="Q94" s="491"/>
      <c r="R94" s="491"/>
      <c r="S94" s="628"/>
      <c r="T94" s="24"/>
      <c r="U94" s="24"/>
    </row>
    <row r="95" spans="1:21">
      <c r="A95" s="98">
        <f t="shared" ref="A95:A122" si="23">A$91/2</f>
        <v>18</v>
      </c>
      <c r="B95" s="99">
        <v>2.4</v>
      </c>
      <c r="C95" s="100">
        <f t="shared" ref="C95:C122" si="24">A95*B95</f>
        <v>43.199999999999996</v>
      </c>
      <c r="D95" s="101">
        <v>10</v>
      </c>
      <c r="E95" s="100">
        <f t="shared" ref="E95:E122" si="25">IF(L95*1000/120/SQRT(3)*1.5&lt;65,120,IF(L95*1000/208/SQRT(3)*1.5&lt;65,208,IF(L95*1000/240/SQRT(3)*1.5&lt;65,240,480)))</f>
        <v>120</v>
      </c>
      <c r="F95" s="102">
        <f t="shared" ref="F95:F122" si="26">L95*1000/E95/SQRT(3)</f>
        <v>3.6084391824351614</v>
      </c>
      <c r="G95" s="103">
        <f t="shared" ref="G95:G122" si="27">G$92</f>
        <v>10</v>
      </c>
      <c r="H95" s="296">
        <f t="shared" si="20"/>
        <v>22.338560000000001</v>
      </c>
      <c r="I95" s="104">
        <f t="shared" ref="I95:I122" si="28">SQRT(3)*H95</f>
        <v>38.691520887925819</v>
      </c>
      <c r="J95" s="180">
        <f t="shared" ref="J95:J122" si="29">J$92</f>
        <v>25</v>
      </c>
      <c r="K95" s="104">
        <f t="shared" si="21"/>
        <v>10.375</v>
      </c>
      <c r="L95" s="428">
        <f t="shared" si="22"/>
        <v>0.75</v>
      </c>
      <c r="M95" s="628"/>
      <c r="N95" s="628"/>
      <c r="O95" s="628"/>
      <c r="P95" s="491"/>
      <c r="Q95" s="491"/>
      <c r="R95" s="491"/>
      <c r="S95" s="628"/>
      <c r="T95" s="24"/>
      <c r="U95" s="24"/>
    </row>
    <row r="96" spans="1:21">
      <c r="A96" s="72">
        <f t="shared" si="23"/>
        <v>18</v>
      </c>
      <c r="B96" s="15">
        <v>2.4</v>
      </c>
      <c r="C96" s="66">
        <f t="shared" si="24"/>
        <v>43.199999999999996</v>
      </c>
      <c r="D96" s="68">
        <v>15</v>
      </c>
      <c r="E96" s="66">
        <f t="shared" si="25"/>
        <v>120</v>
      </c>
      <c r="F96" s="45">
        <f t="shared" si="26"/>
        <v>6.0140653040586018</v>
      </c>
      <c r="G96" s="94">
        <f t="shared" si="27"/>
        <v>10</v>
      </c>
      <c r="H96" s="295">
        <f t="shared" si="20"/>
        <v>22.338560000000001</v>
      </c>
      <c r="I96" s="25">
        <f t="shared" si="28"/>
        <v>38.691520887925819</v>
      </c>
      <c r="J96" s="52">
        <f t="shared" si="29"/>
        <v>25</v>
      </c>
      <c r="K96" s="25">
        <f t="shared" si="21"/>
        <v>15.5625</v>
      </c>
      <c r="L96" s="427">
        <f t="shared" si="22"/>
        <v>1.25</v>
      </c>
      <c r="M96" s="628"/>
      <c r="N96" s="628"/>
      <c r="O96" s="628"/>
      <c r="P96" s="491"/>
      <c r="Q96" s="491"/>
      <c r="R96" s="491"/>
      <c r="S96" s="628"/>
      <c r="T96" s="24"/>
      <c r="U96" s="24"/>
    </row>
    <row r="97" spans="1:21">
      <c r="A97" s="72">
        <f t="shared" si="23"/>
        <v>18</v>
      </c>
      <c r="B97" s="15">
        <v>2.4</v>
      </c>
      <c r="C97" s="66">
        <f t="shared" si="24"/>
        <v>43.199999999999996</v>
      </c>
      <c r="D97" s="68">
        <v>20</v>
      </c>
      <c r="E97" s="66">
        <f t="shared" si="25"/>
        <v>120</v>
      </c>
      <c r="F97" s="45">
        <f t="shared" si="26"/>
        <v>7.2168783648703227</v>
      </c>
      <c r="G97" s="94">
        <f t="shared" si="27"/>
        <v>10</v>
      </c>
      <c r="H97" s="295">
        <f t="shared" si="20"/>
        <v>22.338560000000001</v>
      </c>
      <c r="I97" s="25">
        <f t="shared" si="28"/>
        <v>38.691520887925819</v>
      </c>
      <c r="J97" s="52">
        <f t="shared" si="29"/>
        <v>25</v>
      </c>
      <c r="K97" s="25">
        <f t="shared" si="21"/>
        <v>20.75</v>
      </c>
      <c r="L97" s="427">
        <f t="shared" si="22"/>
        <v>1.5</v>
      </c>
      <c r="M97" s="628"/>
      <c r="N97" s="628"/>
      <c r="O97" s="628"/>
      <c r="P97" s="491"/>
      <c r="Q97" s="491"/>
      <c r="R97" s="491"/>
      <c r="S97" s="628"/>
      <c r="T97" s="24"/>
      <c r="U97" s="24"/>
    </row>
    <row r="98" spans="1:21">
      <c r="A98" s="98">
        <f t="shared" si="23"/>
        <v>18</v>
      </c>
      <c r="B98" s="99">
        <v>2.4</v>
      </c>
      <c r="C98" s="100">
        <f t="shared" si="24"/>
        <v>43.199999999999996</v>
      </c>
      <c r="D98" s="101">
        <v>25</v>
      </c>
      <c r="E98" s="100">
        <f t="shared" si="25"/>
        <v>120</v>
      </c>
      <c r="F98" s="102">
        <f t="shared" si="26"/>
        <v>8.4196914256820428</v>
      </c>
      <c r="G98" s="103">
        <f t="shared" si="27"/>
        <v>10</v>
      </c>
      <c r="H98" s="296">
        <f t="shared" si="20"/>
        <v>22.338560000000001</v>
      </c>
      <c r="I98" s="104">
        <f t="shared" si="28"/>
        <v>38.691520887925819</v>
      </c>
      <c r="J98" s="180">
        <f t="shared" si="29"/>
        <v>25</v>
      </c>
      <c r="K98" s="104">
        <f t="shared" si="21"/>
        <v>25.9375</v>
      </c>
      <c r="L98" s="428">
        <f t="shared" si="22"/>
        <v>1.75</v>
      </c>
      <c r="M98" s="628"/>
      <c r="N98" s="628"/>
      <c r="O98" s="628"/>
      <c r="P98" s="491"/>
      <c r="Q98" s="491"/>
      <c r="R98" s="491"/>
      <c r="S98" s="628"/>
      <c r="T98" s="24"/>
      <c r="U98" s="24"/>
    </row>
    <row r="99" spans="1:21">
      <c r="A99" s="72">
        <f t="shared" si="23"/>
        <v>18</v>
      </c>
      <c r="B99" s="15">
        <v>2.4</v>
      </c>
      <c r="C99" s="66">
        <f t="shared" si="24"/>
        <v>43.199999999999996</v>
      </c>
      <c r="D99" s="68">
        <v>30</v>
      </c>
      <c r="E99" s="66">
        <f t="shared" si="25"/>
        <v>120</v>
      </c>
      <c r="F99" s="45">
        <f t="shared" si="26"/>
        <v>10.825317547305485</v>
      </c>
      <c r="G99" s="94">
        <f t="shared" si="27"/>
        <v>10</v>
      </c>
      <c r="H99" s="295">
        <f t="shared" si="20"/>
        <v>22.338560000000001</v>
      </c>
      <c r="I99" s="25">
        <f t="shared" si="28"/>
        <v>38.691520887925819</v>
      </c>
      <c r="J99" s="52">
        <f t="shared" si="29"/>
        <v>25</v>
      </c>
      <c r="K99" s="25">
        <f t="shared" si="21"/>
        <v>31.125</v>
      </c>
      <c r="L99" s="427">
        <f t="shared" si="22"/>
        <v>2.25</v>
      </c>
      <c r="M99" s="628"/>
      <c r="N99" s="628"/>
      <c r="O99" s="628"/>
      <c r="P99" s="491"/>
      <c r="Q99" s="491"/>
      <c r="R99" s="491"/>
      <c r="S99" s="628"/>
      <c r="T99" s="24"/>
      <c r="U99" s="24"/>
    </row>
    <row r="100" spans="1:21">
      <c r="A100" s="72">
        <f t="shared" si="23"/>
        <v>18</v>
      </c>
      <c r="B100" s="15">
        <v>2.4</v>
      </c>
      <c r="C100" s="66">
        <f t="shared" si="24"/>
        <v>43.199999999999996</v>
      </c>
      <c r="D100" s="68">
        <v>35</v>
      </c>
      <c r="E100" s="66">
        <f t="shared" si="25"/>
        <v>120</v>
      </c>
      <c r="F100" s="45">
        <f t="shared" si="26"/>
        <v>12.028130608117204</v>
      </c>
      <c r="G100" s="94">
        <f t="shared" si="27"/>
        <v>10</v>
      </c>
      <c r="H100" s="295">
        <f t="shared" si="20"/>
        <v>22.338560000000001</v>
      </c>
      <c r="I100" s="25">
        <f t="shared" si="28"/>
        <v>38.691520887925819</v>
      </c>
      <c r="J100" s="52">
        <f t="shared" si="29"/>
        <v>25</v>
      </c>
      <c r="K100" s="25">
        <f t="shared" si="21"/>
        <v>36.3125</v>
      </c>
      <c r="L100" s="427">
        <f t="shared" si="22"/>
        <v>2.5</v>
      </c>
      <c r="M100" s="628"/>
      <c r="N100" s="628"/>
      <c r="O100" s="628"/>
      <c r="P100" s="491"/>
      <c r="Q100" s="491"/>
      <c r="R100" s="491"/>
      <c r="S100" s="628"/>
      <c r="T100" s="24"/>
      <c r="U100" s="24"/>
    </row>
    <row r="101" spans="1:21">
      <c r="A101" s="98">
        <f t="shared" si="23"/>
        <v>18</v>
      </c>
      <c r="B101" s="99">
        <v>2.4</v>
      </c>
      <c r="C101" s="100">
        <f t="shared" si="24"/>
        <v>43.199999999999996</v>
      </c>
      <c r="D101" s="101">
        <v>40</v>
      </c>
      <c r="E101" s="100">
        <f t="shared" si="25"/>
        <v>120</v>
      </c>
      <c r="F101" s="102">
        <f t="shared" si="26"/>
        <v>14.433756729740645</v>
      </c>
      <c r="G101" s="103">
        <f t="shared" si="27"/>
        <v>10</v>
      </c>
      <c r="H101" s="296">
        <f t="shared" si="20"/>
        <v>22.338560000000001</v>
      </c>
      <c r="I101" s="104">
        <f t="shared" si="28"/>
        <v>38.691520887925819</v>
      </c>
      <c r="J101" s="180">
        <f t="shared" si="29"/>
        <v>25</v>
      </c>
      <c r="K101" s="104">
        <f t="shared" si="21"/>
        <v>41.5</v>
      </c>
      <c r="L101" s="428">
        <f t="shared" si="22"/>
        <v>3</v>
      </c>
      <c r="M101" s="628"/>
      <c r="N101" s="628"/>
      <c r="O101" s="628"/>
      <c r="P101" s="491"/>
      <c r="Q101" s="491"/>
      <c r="R101" s="491"/>
      <c r="S101" s="628"/>
      <c r="T101" s="24"/>
      <c r="U101" s="24"/>
    </row>
    <row r="102" spans="1:21">
      <c r="A102" s="72">
        <f t="shared" si="23"/>
        <v>18</v>
      </c>
      <c r="B102" s="15">
        <v>2.4</v>
      </c>
      <c r="C102" s="66">
        <f t="shared" si="24"/>
        <v>43.199999999999996</v>
      </c>
      <c r="D102" s="68">
        <v>50</v>
      </c>
      <c r="E102" s="66">
        <f t="shared" si="25"/>
        <v>120</v>
      </c>
      <c r="F102" s="45">
        <f t="shared" si="26"/>
        <v>16.839382851364086</v>
      </c>
      <c r="G102" s="94">
        <f t="shared" si="27"/>
        <v>10</v>
      </c>
      <c r="H102" s="295">
        <f t="shared" si="20"/>
        <v>22.338560000000001</v>
      </c>
      <c r="I102" s="25">
        <f t="shared" si="28"/>
        <v>38.691520887925819</v>
      </c>
      <c r="J102" s="52">
        <f t="shared" si="29"/>
        <v>25</v>
      </c>
      <c r="K102" s="25">
        <f t="shared" si="21"/>
        <v>51.875</v>
      </c>
      <c r="L102" s="427">
        <f t="shared" si="22"/>
        <v>3.5</v>
      </c>
      <c r="M102" s="628"/>
      <c r="N102" s="628"/>
      <c r="O102" s="628"/>
      <c r="P102" s="491"/>
      <c r="Q102" s="491"/>
      <c r="R102" s="491"/>
      <c r="S102" s="628"/>
      <c r="T102" s="24"/>
      <c r="U102" s="24"/>
    </row>
    <row r="103" spans="1:21">
      <c r="A103" s="72">
        <f t="shared" si="23"/>
        <v>18</v>
      </c>
      <c r="B103" s="15">
        <v>2.4</v>
      </c>
      <c r="C103" s="66">
        <f t="shared" si="24"/>
        <v>43.199999999999996</v>
      </c>
      <c r="D103" s="68">
        <v>60</v>
      </c>
      <c r="E103" s="66">
        <f t="shared" si="25"/>
        <v>120</v>
      </c>
      <c r="F103" s="45">
        <f t="shared" si="26"/>
        <v>20.447822033799245</v>
      </c>
      <c r="G103" s="94">
        <f t="shared" si="27"/>
        <v>10</v>
      </c>
      <c r="H103" s="295">
        <f t="shared" si="20"/>
        <v>22.338560000000001</v>
      </c>
      <c r="I103" s="25">
        <f t="shared" si="28"/>
        <v>38.691520887925819</v>
      </c>
      <c r="J103" s="52">
        <f t="shared" si="29"/>
        <v>25</v>
      </c>
      <c r="K103" s="25">
        <f t="shared" si="21"/>
        <v>62.25</v>
      </c>
      <c r="L103" s="427">
        <f t="shared" si="22"/>
        <v>4.25</v>
      </c>
      <c r="M103" s="628"/>
      <c r="N103" s="628"/>
      <c r="O103" s="628"/>
      <c r="P103" s="491"/>
      <c r="Q103" s="491"/>
      <c r="R103" s="491"/>
      <c r="S103" s="628"/>
      <c r="T103" s="24"/>
      <c r="U103" s="24"/>
    </row>
    <row r="104" spans="1:21">
      <c r="A104" s="98">
        <f t="shared" si="23"/>
        <v>18</v>
      </c>
      <c r="B104" s="99">
        <v>2.4</v>
      </c>
      <c r="C104" s="100">
        <f t="shared" si="24"/>
        <v>43.199999999999996</v>
      </c>
      <c r="D104" s="101">
        <v>75</v>
      </c>
      <c r="E104" s="100">
        <f t="shared" si="25"/>
        <v>120</v>
      </c>
      <c r="F104" s="102">
        <f t="shared" si="26"/>
        <v>25.259074277046128</v>
      </c>
      <c r="G104" s="103">
        <f t="shared" si="27"/>
        <v>10</v>
      </c>
      <c r="H104" s="296">
        <f t="shared" si="20"/>
        <v>22.338560000000001</v>
      </c>
      <c r="I104" s="104">
        <f t="shared" si="28"/>
        <v>38.691520887925819</v>
      </c>
      <c r="J104" s="180">
        <f t="shared" si="29"/>
        <v>25</v>
      </c>
      <c r="K104" s="104">
        <f t="shared" si="21"/>
        <v>77.8125</v>
      </c>
      <c r="L104" s="428">
        <f t="shared" si="22"/>
        <v>5.25</v>
      </c>
      <c r="M104" s="628"/>
      <c r="N104" s="628"/>
      <c r="O104" s="628"/>
      <c r="P104" s="491"/>
      <c r="Q104" s="491"/>
      <c r="R104" s="491"/>
      <c r="S104" s="628"/>
      <c r="T104" s="24"/>
      <c r="U104" s="24"/>
    </row>
    <row r="105" spans="1:21">
      <c r="A105" s="72">
        <f t="shared" si="23"/>
        <v>18</v>
      </c>
      <c r="B105" s="15">
        <v>2.4</v>
      </c>
      <c r="C105" s="66">
        <f t="shared" si="24"/>
        <v>43.199999999999996</v>
      </c>
      <c r="D105" s="68">
        <v>100</v>
      </c>
      <c r="E105" s="66">
        <f t="shared" si="25"/>
        <v>120</v>
      </c>
      <c r="F105" s="45">
        <f t="shared" si="26"/>
        <v>33.678765702728171</v>
      </c>
      <c r="G105" s="94">
        <f t="shared" si="27"/>
        <v>10</v>
      </c>
      <c r="H105" s="295">
        <f t="shared" si="20"/>
        <v>22.338560000000001</v>
      </c>
      <c r="I105" s="25">
        <f t="shared" si="28"/>
        <v>38.691520887925819</v>
      </c>
      <c r="J105" s="52">
        <f t="shared" si="29"/>
        <v>25</v>
      </c>
      <c r="K105" s="25">
        <f t="shared" si="21"/>
        <v>103.75</v>
      </c>
      <c r="L105" s="427">
        <f t="shared" si="22"/>
        <v>7</v>
      </c>
      <c r="M105" s="628"/>
      <c r="N105" s="628"/>
      <c r="O105" s="628"/>
      <c r="P105" s="491"/>
      <c r="Q105" s="491"/>
      <c r="R105" s="491"/>
      <c r="S105" s="628"/>
      <c r="T105" s="24"/>
      <c r="U105" s="24"/>
    </row>
    <row r="106" spans="1:21">
      <c r="A106" s="72">
        <f t="shared" si="23"/>
        <v>18</v>
      </c>
      <c r="B106" s="15">
        <v>2.4</v>
      </c>
      <c r="C106" s="66">
        <f t="shared" si="24"/>
        <v>43.199999999999996</v>
      </c>
      <c r="D106" s="68">
        <v>125</v>
      </c>
      <c r="E106" s="66">
        <f t="shared" si="25"/>
        <v>120</v>
      </c>
      <c r="F106" s="45">
        <f t="shared" si="26"/>
        <v>42.098457128410217</v>
      </c>
      <c r="G106" s="94">
        <f t="shared" si="27"/>
        <v>10</v>
      </c>
      <c r="H106" s="295">
        <f t="shared" si="20"/>
        <v>22.338560000000001</v>
      </c>
      <c r="I106" s="25">
        <f t="shared" si="28"/>
        <v>38.691520887925819</v>
      </c>
      <c r="J106" s="52">
        <f t="shared" si="29"/>
        <v>25</v>
      </c>
      <c r="K106" s="25">
        <f t="shared" si="21"/>
        <v>129.6875</v>
      </c>
      <c r="L106" s="427">
        <f t="shared" si="22"/>
        <v>8.75</v>
      </c>
      <c r="M106" s="628"/>
      <c r="N106" s="628"/>
      <c r="O106" s="628"/>
      <c r="P106" s="491"/>
      <c r="Q106" s="491"/>
      <c r="R106" s="491"/>
      <c r="S106" s="628"/>
      <c r="T106" s="24"/>
      <c r="U106" s="24"/>
    </row>
    <row r="107" spans="1:21">
      <c r="A107" s="98">
        <f t="shared" si="23"/>
        <v>18</v>
      </c>
      <c r="B107" s="99">
        <v>2.4</v>
      </c>
      <c r="C107" s="100">
        <f t="shared" si="24"/>
        <v>43.199999999999996</v>
      </c>
      <c r="D107" s="101">
        <v>150</v>
      </c>
      <c r="E107" s="100">
        <f t="shared" si="25"/>
        <v>208</v>
      </c>
      <c r="F107" s="102">
        <f t="shared" si="26"/>
        <v>29.145085704283996</v>
      </c>
      <c r="G107" s="103">
        <f t="shared" si="27"/>
        <v>10</v>
      </c>
      <c r="H107" s="296">
        <f t="shared" si="20"/>
        <v>22.338560000000001</v>
      </c>
      <c r="I107" s="104">
        <f t="shared" si="28"/>
        <v>38.691520887925819</v>
      </c>
      <c r="J107" s="180">
        <f t="shared" si="29"/>
        <v>25</v>
      </c>
      <c r="K107" s="104">
        <f t="shared" si="21"/>
        <v>155.625</v>
      </c>
      <c r="L107" s="263">
        <f t="shared" si="22"/>
        <v>10.5</v>
      </c>
      <c r="M107" s="628"/>
      <c r="N107" s="628"/>
      <c r="O107" s="628"/>
      <c r="P107" s="491"/>
      <c r="Q107" s="491"/>
      <c r="R107" s="491"/>
      <c r="S107" s="628"/>
      <c r="T107" s="24"/>
      <c r="U107" s="24"/>
    </row>
    <row r="108" spans="1:21">
      <c r="A108" s="72">
        <f t="shared" si="23"/>
        <v>18</v>
      </c>
      <c r="B108" s="15">
        <v>2.4</v>
      </c>
      <c r="C108" s="66">
        <f t="shared" si="24"/>
        <v>43.199999999999996</v>
      </c>
      <c r="D108" s="68">
        <v>175</v>
      </c>
      <c r="E108" s="66">
        <f t="shared" si="25"/>
        <v>208</v>
      </c>
      <c r="F108" s="45">
        <f t="shared" si="26"/>
        <v>34.696530600338086</v>
      </c>
      <c r="G108" s="94">
        <f t="shared" si="27"/>
        <v>10</v>
      </c>
      <c r="H108" s="295">
        <f t="shared" si="20"/>
        <v>22.338560000000001</v>
      </c>
      <c r="I108" s="25">
        <f t="shared" si="28"/>
        <v>38.691520887925819</v>
      </c>
      <c r="J108" s="52">
        <f t="shared" si="29"/>
        <v>25</v>
      </c>
      <c r="K108" s="25">
        <f t="shared" si="21"/>
        <v>181.5625</v>
      </c>
      <c r="L108" s="157">
        <f t="shared" si="22"/>
        <v>12.5</v>
      </c>
      <c r="M108" s="628"/>
      <c r="N108" s="628"/>
      <c r="O108" s="628"/>
      <c r="P108" s="491"/>
      <c r="Q108" s="491"/>
      <c r="R108" s="491"/>
      <c r="S108" s="628"/>
      <c r="T108" s="24"/>
      <c r="U108" s="24"/>
    </row>
    <row r="109" spans="1:21">
      <c r="A109" s="72">
        <f t="shared" si="23"/>
        <v>18</v>
      </c>
      <c r="B109" s="15">
        <v>2.4</v>
      </c>
      <c r="C109" s="66">
        <f t="shared" si="24"/>
        <v>43.199999999999996</v>
      </c>
      <c r="D109" s="68">
        <v>200</v>
      </c>
      <c r="E109" s="66">
        <f t="shared" si="25"/>
        <v>208</v>
      </c>
      <c r="F109" s="45">
        <f t="shared" si="26"/>
        <v>38.860114272378659</v>
      </c>
      <c r="G109" s="94">
        <f t="shared" si="27"/>
        <v>10</v>
      </c>
      <c r="H109" s="295">
        <f t="shared" si="20"/>
        <v>22.338560000000001</v>
      </c>
      <c r="I109" s="25">
        <f t="shared" si="28"/>
        <v>38.691520887925819</v>
      </c>
      <c r="J109" s="52">
        <f t="shared" si="29"/>
        <v>25</v>
      </c>
      <c r="K109" s="25">
        <f t="shared" si="21"/>
        <v>207.5</v>
      </c>
      <c r="L109" s="157">
        <f t="shared" si="22"/>
        <v>14</v>
      </c>
      <c r="M109" s="628"/>
      <c r="N109" s="628"/>
      <c r="O109" s="628"/>
      <c r="P109" s="491"/>
      <c r="Q109" s="491"/>
      <c r="R109" s="491"/>
      <c r="S109" s="628"/>
      <c r="T109" s="24"/>
      <c r="U109" s="24"/>
    </row>
    <row r="110" spans="1:21">
      <c r="A110" s="98">
        <f t="shared" si="23"/>
        <v>18</v>
      </c>
      <c r="B110" s="99">
        <v>2.4</v>
      </c>
      <c r="C110" s="100">
        <f t="shared" si="24"/>
        <v>43.199999999999996</v>
      </c>
      <c r="D110" s="101">
        <v>250</v>
      </c>
      <c r="E110" s="100">
        <f t="shared" si="25"/>
        <v>240</v>
      </c>
      <c r="F110" s="102">
        <f t="shared" si="26"/>
        <v>42.098457128410217</v>
      </c>
      <c r="G110" s="103">
        <f t="shared" si="27"/>
        <v>10</v>
      </c>
      <c r="H110" s="296">
        <f t="shared" si="20"/>
        <v>22.338560000000001</v>
      </c>
      <c r="I110" s="104">
        <f t="shared" si="28"/>
        <v>38.691520887925819</v>
      </c>
      <c r="J110" s="180">
        <f t="shared" si="29"/>
        <v>25</v>
      </c>
      <c r="K110" s="104">
        <f t="shared" si="21"/>
        <v>259.375</v>
      </c>
      <c r="L110" s="263">
        <f t="shared" si="22"/>
        <v>17.5</v>
      </c>
      <c r="M110" s="628"/>
      <c r="N110" s="628"/>
      <c r="O110" s="628"/>
      <c r="P110" s="491"/>
      <c r="Q110" s="491"/>
      <c r="R110" s="491"/>
      <c r="S110" s="628"/>
      <c r="T110" s="24"/>
      <c r="U110" s="24"/>
    </row>
    <row r="111" spans="1:21">
      <c r="A111" s="72">
        <f t="shared" si="23"/>
        <v>18</v>
      </c>
      <c r="B111" s="15">
        <v>2.4</v>
      </c>
      <c r="C111" s="66">
        <f t="shared" si="24"/>
        <v>43.199999999999996</v>
      </c>
      <c r="D111" s="68">
        <v>300</v>
      </c>
      <c r="E111" s="66">
        <f t="shared" si="25"/>
        <v>480</v>
      </c>
      <c r="F111" s="45">
        <f t="shared" si="26"/>
        <v>25.259074277046128</v>
      </c>
      <c r="G111" s="94">
        <f t="shared" si="27"/>
        <v>10</v>
      </c>
      <c r="H111" s="295">
        <f t="shared" si="20"/>
        <v>22.338560000000001</v>
      </c>
      <c r="I111" s="25">
        <f t="shared" si="28"/>
        <v>38.691520887925819</v>
      </c>
      <c r="J111" s="52">
        <f t="shared" si="29"/>
        <v>25</v>
      </c>
      <c r="K111" s="25">
        <f t="shared" si="21"/>
        <v>311.25</v>
      </c>
      <c r="L111" s="157">
        <f t="shared" si="22"/>
        <v>21</v>
      </c>
      <c r="M111" s="628"/>
      <c r="N111" s="628"/>
      <c r="O111" s="628"/>
      <c r="P111" s="491"/>
      <c r="Q111" s="491"/>
      <c r="R111" s="491"/>
      <c r="S111" s="628"/>
      <c r="T111" s="24"/>
      <c r="U111" s="24"/>
    </row>
    <row r="112" spans="1:21">
      <c r="A112" s="72">
        <f t="shared" si="23"/>
        <v>18</v>
      </c>
      <c r="B112" s="15">
        <v>2.4</v>
      </c>
      <c r="C112" s="66">
        <f t="shared" si="24"/>
        <v>43.199999999999996</v>
      </c>
      <c r="D112" s="68">
        <v>350</v>
      </c>
      <c r="E112" s="66">
        <f t="shared" si="25"/>
        <v>480</v>
      </c>
      <c r="F112" s="45">
        <f t="shared" si="26"/>
        <v>30.070326520293012</v>
      </c>
      <c r="G112" s="94">
        <f t="shared" si="27"/>
        <v>10</v>
      </c>
      <c r="H112" s="295">
        <f t="shared" si="20"/>
        <v>22.338560000000001</v>
      </c>
      <c r="I112" s="25">
        <f t="shared" si="28"/>
        <v>38.691520887925819</v>
      </c>
      <c r="J112" s="52">
        <f t="shared" si="29"/>
        <v>25</v>
      </c>
      <c r="K112" s="25">
        <f t="shared" si="21"/>
        <v>363.125</v>
      </c>
      <c r="L112" s="157">
        <f t="shared" si="22"/>
        <v>25</v>
      </c>
      <c r="M112" s="628"/>
      <c r="N112" s="628"/>
      <c r="O112" s="628"/>
      <c r="P112" s="491"/>
      <c r="Q112" s="491"/>
      <c r="R112" s="491"/>
      <c r="S112" s="628"/>
      <c r="T112" s="24"/>
      <c r="U112" s="24"/>
    </row>
    <row r="113" spans="1:25">
      <c r="A113" s="98">
        <f t="shared" si="23"/>
        <v>18</v>
      </c>
      <c r="B113" s="99">
        <v>2.4</v>
      </c>
      <c r="C113" s="100">
        <f t="shared" si="24"/>
        <v>43.199999999999996</v>
      </c>
      <c r="D113" s="101">
        <v>400</v>
      </c>
      <c r="E113" s="100">
        <f t="shared" si="25"/>
        <v>480</v>
      </c>
      <c r="F113" s="102">
        <f t="shared" si="26"/>
        <v>33.678765702728171</v>
      </c>
      <c r="G113" s="103">
        <f t="shared" si="27"/>
        <v>10</v>
      </c>
      <c r="H113" s="296">
        <f t="shared" si="20"/>
        <v>22.338560000000001</v>
      </c>
      <c r="I113" s="104">
        <f t="shared" si="28"/>
        <v>38.691520887925819</v>
      </c>
      <c r="J113" s="180">
        <f t="shared" si="29"/>
        <v>25</v>
      </c>
      <c r="K113" s="104">
        <f t="shared" si="21"/>
        <v>415</v>
      </c>
      <c r="L113" s="263">
        <f t="shared" si="22"/>
        <v>28</v>
      </c>
      <c r="M113" s="628"/>
      <c r="N113" s="628"/>
      <c r="O113" s="628"/>
      <c r="P113" s="491"/>
      <c r="Q113" s="491"/>
      <c r="R113" s="491"/>
      <c r="S113" s="628"/>
      <c r="T113" s="24"/>
      <c r="U113" s="24"/>
    </row>
    <row r="114" spans="1:25">
      <c r="A114" s="72">
        <f t="shared" si="23"/>
        <v>18</v>
      </c>
      <c r="B114" s="15">
        <v>2.4</v>
      </c>
      <c r="C114" s="66">
        <f t="shared" si="24"/>
        <v>43.199999999999996</v>
      </c>
      <c r="D114" s="68">
        <v>450</v>
      </c>
      <c r="E114" s="66">
        <f t="shared" si="25"/>
        <v>480</v>
      </c>
      <c r="F114" s="45">
        <f t="shared" si="26"/>
        <v>38.490017945975055</v>
      </c>
      <c r="G114" s="94">
        <f t="shared" si="27"/>
        <v>10</v>
      </c>
      <c r="H114" s="295">
        <f t="shared" si="20"/>
        <v>22.338560000000001</v>
      </c>
      <c r="I114" s="25">
        <f t="shared" si="28"/>
        <v>38.691520887925819</v>
      </c>
      <c r="J114" s="52">
        <f t="shared" si="29"/>
        <v>25</v>
      </c>
      <c r="K114" s="25">
        <f t="shared" si="21"/>
        <v>466.875</v>
      </c>
      <c r="L114" s="157">
        <f t="shared" si="22"/>
        <v>32</v>
      </c>
      <c r="M114" s="628"/>
      <c r="N114" s="628"/>
      <c r="O114" s="628"/>
      <c r="P114" s="491"/>
      <c r="Q114" s="491"/>
      <c r="R114" s="491"/>
      <c r="S114" s="628"/>
      <c r="T114" s="24"/>
      <c r="U114" s="24"/>
    </row>
    <row r="115" spans="1:25">
      <c r="A115" s="72">
        <f t="shared" si="23"/>
        <v>18</v>
      </c>
      <c r="B115" s="15">
        <v>2.4</v>
      </c>
      <c r="C115" s="66">
        <f t="shared" si="24"/>
        <v>43.199999999999996</v>
      </c>
      <c r="D115" s="68">
        <v>500</v>
      </c>
      <c r="E115" s="66">
        <f t="shared" si="25"/>
        <v>480</v>
      </c>
      <c r="F115" s="45">
        <f t="shared" si="26"/>
        <v>42.098457128410217</v>
      </c>
      <c r="G115" s="94">
        <f t="shared" si="27"/>
        <v>10</v>
      </c>
      <c r="H115" s="295">
        <f t="shared" si="20"/>
        <v>22.338560000000001</v>
      </c>
      <c r="I115" s="25">
        <f t="shared" si="28"/>
        <v>38.691520887925819</v>
      </c>
      <c r="J115" s="52">
        <f t="shared" si="29"/>
        <v>25</v>
      </c>
      <c r="K115" s="25">
        <f t="shared" si="21"/>
        <v>518.75</v>
      </c>
      <c r="L115" s="157">
        <f t="shared" si="22"/>
        <v>35</v>
      </c>
      <c r="M115" s="628"/>
      <c r="N115" s="628"/>
      <c r="O115" s="628"/>
      <c r="P115" s="491"/>
      <c r="Q115" s="491"/>
      <c r="R115" s="491"/>
      <c r="S115" s="628"/>
      <c r="T115" s="24"/>
      <c r="U115" s="24"/>
    </row>
    <row r="116" spans="1:25">
      <c r="A116" s="98">
        <f t="shared" si="23"/>
        <v>18</v>
      </c>
      <c r="B116" s="99">
        <v>2.4</v>
      </c>
      <c r="C116" s="100">
        <f t="shared" si="24"/>
        <v>43.199999999999996</v>
      </c>
      <c r="D116" s="101">
        <v>600</v>
      </c>
      <c r="E116" s="100">
        <f t="shared" si="25"/>
        <v>480</v>
      </c>
      <c r="F116" s="102">
        <f t="shared" si="26"/>
        <v>50.518148554092257</v>
      </c>
      <c r="G116" s="103">
        <f t="shared" si="27"/>
        <v>10</v>
      </c>
      <c r="H116" s="296">
        <f t="shared" si="20"/>
        <v>22.338560000000001</v>
      </c>
      <c r="I116" s="104">
        <f t="shared" si="28"/>
        <v>38.691520887925819</v>
      </c>
      <c r="J116" s="180">
        <f t="shared" si="29"/>
        <v>25</v>
      </c>
      <c r="K116" s="104">
        <f t="shared" si="21"/>
        <v>622.5</v>
      </c>
      <c r="L116" s="263">
        <f t="shared" si="22"/>
        <v>42</v>
      </c>
      <c r="M116" s="628"/>
      <c r="N116" s="628"/>
      <c r="O116" s="628"/>
      <c r="P116" s="491"/>
      <c r="Q116" s="491"/>
      <c r="R116" s="491"/>
      <c r="S116" s="628"/>
      <c r="T116" s="24"/>
      <c r="U116" s="24"/>
    </row>
    <row r="117" spans="1:25">
      <c r="A117" s="72">
        <f t="shared" si="23"/>
        <v>18</v>
      </c>
      <c r="B117" s="15">
        <v>2.4</v>
      </c>
      <c r="C117" s="66">
        <f t="shared" si="24"/>
        <v>43.199999999999996</v>
      </c>
      <c r="D117" s="68">
        <v>700</v>
      </c>
      <c r="E117" s="66">
        <f t="shared" si="25"/>
        <v>480</v>
      </c>
      <c r="F117" s="45">
        <f t="shared" si="26"/>
        <v>58.937839979774296</v>
      </c>
      <c r="G117" s="94">
        <f t="shared" si="27"/>
        <v>10</v>
      </c>
      <c r="H117" s="295">
        <f t="shared" si="20"/>
        <v>22.338560000000001</v>
      </c>
      <c r="I117" s="25">
        <f t="shared" si="28"/>
        <v>38.691520887925819</v>
      </c>
      <c r="J117" s="52">
        <f t="shared" si="29"/>
        <v>25</v>
      </c>
      <c r="K117" s="25">
        <f t="shared" si="21"/>
        <v>726.25</v>
      </c>
      <c r="L117" s="157">
        <f t="shared" si="22"/>
        <v>49</v>
      </c>
      <c r="M117" s="628"/>
      <c r="N117" s="628"/>
      <c r="O117" s="628"/>
      <c r="P117" s="491"/>
      <c r="Q117" s="491"/>
      <c r="R117" s="491"/>
      <c r="S117" s="628"/>
      <c r="T117" s="24"/>
      <c r="U117" s="24"/>
    </row>
    <row r="118" spans="1:25">
      <c r="A118" s="72">
        <f t="shared" si="23"/>
        <v>18</v>
      </c>
      <c r="B118" s="15">
        <v>2.4</v>
      </c>
      <c r="C118" s="66">
        <f t="shared" si="24"/>
        <v>43.199999999999996</v>
      </c>
      <c r="D118" s="68">
        <v>800</v>
      </c>
      <c r="E118" s="66">
        <f t="shared" si="25"/>
        <v>480</v>
      </c>
      <c r="F118" s="45">
        <f t="shared" si="26"/>
        <v>67.357531405456342</v>
      </c>
      <c r="G118" s="94">
        <f t="shared" si="27"/>
        <v>10</v>
      </c>
      <c r="H118" s="295">
        <f t="shared" si="20"/>
        <v>22.338560000000001</v>
      </c>
      <c r="I118" s="25">
        <f t="shared" si="28"/>
        <v>38.691520887925819</v>
      </c>
      <c r="J118" s="52">
        <f t="shared" si="29"/>
        <v>25</v>
      </c>
      <c r="K118" s="25">
        <f t="shared" si="21"/>
        <v>830</v>
      </c>
      <c r="L118" s="157">
        <f t="shared" si="22"/>
        <v>56</v>
      </c>
      <c r="M118" s="628"/>
      <c r="N118" s="628"/>
      <c r="O118" s="628"/>
      <c r="P118" s="491"/>
      <c r="Q118" s="491"/>
      <c r="R118" s="491"/>
      <c r="S118" s="628"/>
      <c r="T118" s="24"/>
      <c r="U118" s="24"/>
    </row>
    <row r="119" spans="1:25">
      <c r="A119" s="98">
        <f t="shared" si="23"/>
        <v>18</v>
      </c>
      <c r="B119" s="99">
        <v>2.4</v>
      </c>
      <c r="C119" s="100">
        <f t="shared" si="24"/>
        <v>43.199999999999996</v>
      </c>
      <c r="D119" s="101">
        <v>900</v>
      </c>
      <c r="E119" s="100">
        <f t="shared" si="25"/>
        <v>480</v>
      </c>
      <c r="F119" s="102">
        <f t="shared" si="26"/>
        <v>75.777222831138388</v>
      </c>
      <c r="G119" s="103">
        <f t="shared" si="27"/>
        <v>10</v>
      </c>
      <c r="H119" s="296">
        <f t="shared" si="20"/>
        <v>22.338560000000001</v>
      </c>
      <c r="I119" s="104">
        <f t="shared" si="28"/>
        <v>38.691520887925819</v>
      </c>
      <c r="J119" s="180">
        <f t="shared" si="29"/>
        <v>25</v>
      </c>
      <c r="K119" s="104">
        <f t="shared" si="21"/>
        <v>933.75</v>
      </c>
      <c r="L119" s="263">
        <f t="shared" si="22"/>
        <v>63</v>
      </c>
      <c r="M119" s="628"/>
      <c r="N119" s="628"/>
      <c r="O119" s="628"/>
      <c r="P119" s="491"/>
      <c r="Q119" s="491"/>
      <c r="R119" s="491"/>
      <c r="S119" s="628"/>
      <c r="T119" s="24"/>
      <c r="U119" s="24"/>
    </row>
    <row r="120" spans="1:25">
      <c r="A120" s="72">
        <f t="shared" si="23"/>
        <v>18</v>
      </c>
      <c r="B120" s="15">
        <v>2.4</v>
      </c>
      <c r="C120" s="66">
        <f t="shared" si="24"/>
        <v>43.199999999999996</v>
      </c>
      <c r="D120" s="68">
        <v>1000</v>
      </c>
      <c r="E120" s="66">
        <f t="shared" si="25"/>
        <v>480</v>
      </c>
      <c r="F120" s="45">
        <f t="shared" si="26"/>
        <v>84.196914256820435</v>
      </c>
      <c r="G120" s="94">
        <f t="shared" si="27"/>
        <v>10</v>
      </c>
      <c r="H120" s="295">
        <f t="shared" si="20"/>
        <v>22.338560000000001</v>
      </c>
      <c r="I120" s="25">
        <f t="shared" si="28"/>
        <v>38.691520887925819</v>
      </c>
      <c r="J120" s="52">
        <f t="shared" si="29"/>
        <v>25</v>
      </c>
      <c r="K120" s="25">
        <f t="shared" si="21"/>
        <v>1037.5</v>
      </c>
      <c r="L120" s="157">
        <f t="shared" si="22"/>
        <v>70</v>
      </c>
      <c r="M120" s="628"/>
      <c r="N120" s="628"/>
      <c r="O120" s="628"/>
      <c r="P120" s="491"/>
      <c r="Q120" s="491"/>
      <c r="R120" s="491"/>
      <c r="S120" s="628"/>
      <c r="T120" s="24"/>
      <c r="U120" s="24"/>
    </row>
    <row r="121" spans="1:25">
      <c r="A121" s="72">
        <f t="shared" si="23"/>
        <v>18</v>
      </c>
      <c r="B121" s="15">
        <v>2.4</v>
      </c>
      <c r="C121" s="66">
        <f t="shared" si="24"/>
        <v>43.199999999999996</v>
      </c>
      <c r="D121" s="68">
        <v>1100</v>
      </c>
      <c r="E121" s="66">
        <f t="shared" si="25"/>
        <v>480</v>
      </c>
      <c r="F121" s="45">
        <f t="shared" si="26"/>
        <v>92.616605682502467</v>
      </c>
      <c r="G121" s="94">
        <f t="shared" si="27"/>
        <v>10</v>
      </c>
      <c r="H121" s="295">
        <f t="shared" si="20"/>
        <v>22.338560000000001</v>
      </c>
      <c r="I121" s="25">
        <f t="shared" si="28"/>
        <v>38.691520887925819</v>
      </c>
      <c r="J121" s="52">
        <f t="shared" si="29"/>
        <v>25</v>
      </c>
      <c r="K121" s="25">
        <f t="shared" si="21"/>
        <v>1141.25</v>
      </c>
      <c r="L121" s="157">
        <f t="shared" si="22"/>
        <v>77</v>
      </c>
      <c r="M121" s="628"/>
      <c r="N121" s="628"/>
      <c r="O121" s="628"/>
      <c r="P121" s="491"/>
      <c r="Q121" s="491"/>
      <c r="R121" s="491"/>
      <c r="S121" s="628"/>
      <c r="T121" s="24"/>
      <c r="U121" s="24"/>
    </row>
    <row r="122" spans="1:25" ht="13.5" thickBot="1">
      <c r="A122" s="253">
        <f t="shared" si="23"/>
        <v>18</v>
      </c>
      <c r="B122" s="254">
        <v>2.4</v>
      </c>
      <c r="C122" s="258">
        <f t="shared" si="24"/>
        <v>43.199999999999996</v>
      </c>
      <c r="D122" s="259">
        <v>1200</v>
      </c>
      <c r="E122" s="258">
        <f t="shared" si="25"/>
        <v>480</v>
      </c>
      <c r="F122" s="260">
        <f t="shared" si="26"/>
        <v>101.03629710818451</v>
      </c>
      <c r="G122" s="261">
        <f t="shared" si="27"/>
        <v>10</v>
      </c>
      <c r="H122" s="297">
        <f t="shared" si="20"/>
        <v>22.338560000000001</v>
      </c>
      <c r="I122" s="264">
        <f t="shared" si="28"/>
        <v>38.691520887925819</v>
      </c>
      <c r="J122" s="265">
        <f t="shared" si="29"/>
        <v>25</v>
      </c>
      <c r="K122" s="264">
        <f t="shared" si="21"/>
        <v>1245</v>
      </c>
      <c r="L122" s="266">
        <f t="shared" si="22"/>
        <v>84</v>
      </c>
      <c r="M122" s="628"/>
      <c r="N122" s="628"/>
      <c r="O122" s="628"/>
      <c r="P122" s="491"/>
      <c r="Q122" s="491"/>
      <c r="R122" s="491"/>
      <c r="S122" s="628"/>
      <c r="T122" s="24"/>
      <c r="U122" s="24"/>
    </row>
    <row r="123" spans="1:25">
      <c r="M123" s="628"/>
      <c r="N123" s="628"/>
      <c r="O123" s="628"/>
      <c r="P123" s="491"/>
    </row>
    <row r="124" spans="1:25" ht="13.5" thickBot="1">
      <c r="M124" s="628"/>
      <c r="N124" s="628"/>
      <c r="O124" s="628"/>
      <c r="P124" s="491"/>
    </row>
    <row r="125" spans="1:25" ht="16.5" thickBot="1">
      <c r="A125" s="95" t="s">
        <v>77</v>
      </c>
      <c r="B125" s="96"/>
      <c r="C125" s="44"/>
      <c r="D125" s="86"/>
      <c r="E125" s="86"/>
      <c r="F125" s="86"/>
      <c r="G125" s="87"/>
      <c r="H125" s="290" t="s">
        <v>102</v>
      </c>
      <c r="I125" s="42"/>
      <c r="J125" s="51"/>
      <c r="K125" s="42"/>
      <c r="L125" s="42"/>
      <c r="M125" s="719" t="s">
        <v>274</v>
      </c>
      <c r="N125" s="716"/>
      <c r="O125" s="717"/>
      <c r="P125" s="88"/>
      <c r="Q125" s="89"/>
      <c r="R125" s="710" t="s">
        <v>271</v>
      </c>
      <c r="S125" s="701"/>
      <c r="T125" s="701"/>
      <c r="U125" s="704"/>
      <c r="V125" s="489"/>
      <c r="W125" s="1"/>
      <c r="X125" s="1"/>
      <c r="Y125" s="1"/>
    </row>
    <row r="126" spans="1:25" ht="13.5" thickBot="1">
      <c r="A126" s="97" t="s">
        <v>23</v>
      </c>
      <c r="B126" s="48"/>
      <c r="C126" s="189" t="s">
        <v>76</v>
      </c>
      <c r="D126" s="190"/>
      <c r="E126" s="189" t="s">
        <v>57</v>
      </c>
      <c r="F126" s="191"/>
      <c r="G126" s="192"/>
      <c r="H126" s="76"/>
      <c r="I126" s="90"/>
      <c r="J126" s="175"/>
      <c r="K126" s="90"/>
      <c r="L126" s="90"/>
      <c r="M126" s="715"/>
      <c r="N126" s="716"/>
      <c r="O126" s="717"/>
      <c r="P126" s="718" t="s">
        <v>270</v>
      </c>
      <c r="Q126" s="89"/>
      <c r="R126" s="7" t="s">
        <v>272</v>
      </c>
      <c r="S126" s="702" t="s">
        <v>273</v>
      </c>
      <c r="T126" s="703"/>
      <c r="U126" s="705"/>
      <c r="V126" s="489"/>
      <c r="W126" s="1"/>
      <c r="X126" s="1"/>
      <c r="Y126" s="1"/>
    </row>
    <row r="127" spans="1:25" ht="15">
      <c r="A127" s="65">
        <v>120</v>
      </c>
      <c r="B127" s="67" t="s">
        <v>92</v>
      </c>
      <c r="C127" s="65" t="s">
        <v>93</v>
      </c>
      <c r="D127" s="67" t="s">
        <v>16</v>
      </c>
      <c r="E127" s="65" t="s">
        <v>54</v>
      </c>
      <c r="F127" s="18" t="s">
        <v>58</v>
      </c>
      <c r="G127" s="314" t="s">
        <v>55</v>
      </c>
      <c r="H127" s="65" t="s">
        <v>50</v>
      </c>
      <c r="I127" s="18" t="s">
        <v>51</v>
      </c>
      <c r="J127" s="73" t="s">
        <v>56</v>
      </c>
      <c r="K127" s="18" t="s">
        <v>28</v>
      </c>
      <c r="L127" s="672" t="s">
        <v>29</v>
      </c>
      <c r="M127" s="638"/>
      <c r="N127" s="711">
        <v>0.05</v>
      </c>
      <c r="O127" s="712">
        <v>0.04</v>
      </c>
      <c r="P127" s="713" t="s">
        <v>254</v>
      </c>
      <c r="Q127" s="706" t="s">
        <v>255</v>
      </c>
      <c r="R127" s="699" t="s">
        <v>263</v>
      </c>
      <c r="S127" s="699" t="s">
        <v>264</v>
      </c>
      <c r="T127" s="695" t="s">
        <v>267</v>
      </c>
      <c r="U127" s="696" t="s">
        <v>268</v>
      </c>
      <c r="V127" s="689" t="s">
        <v>269</v>
      </c>
      <c r="W127" s="684" t="s">
        <v>264</v>
      </c>
      <c r="X127" s="684" t="s">
        <v>267</v>
      </c>
      <c r="Y127" s="684" t="s">
        <v>268</v>
      </c>
    </row>
    <row r="128" spans="1:25" ht="16.5" thickBot="1">
      <c r="A128" s="187" t="s">
        <v>24</v>
      </c>
      <c r="B128" s="188" t="s">
        <v>53</v>
      </c>
      <c r="C128" s="306" t="s">
        <v>53</v>
      </c>
      <c r="D128" s="255" t="s">
        <v>22</v>
      </c>
      <c r="E128" s="187" t="s">
        <v>53</v>
      </c>
      <c r="F128" s="16" t="s">
        <v>22</v>
      </c>
      <c r="G128" s="194">
        <v>10</v>
      </c>
      <c r="H128" s="187" t="s">
        <v>42</v>
      </c>
      <c r="I128" s="16" t="s">
        <v>42</v>
      </c>
      <c r="J128" s="196">
        <v>25</v>
      </c>
      <c r="K128" s="16" t="s">
        <v>43</v>
      </c>
      <c r="L128" s="673" t="s">
        <v>44</v>
      </c>
      <c r="M128" s="368" t="s">
        <v>253</v>
      </c>
      <c r="N128" s="709" t="s">
        <v>253</v>
      </c>
      <c r="O128" s="369" t="s">
        <v>253</v>
      </c>
      <c r="P128" s="714" t="s">
        <v>256</v>
      </c>
      <c r="Q128" s="698" t="s">
        <v>256</v>
      </c>
      <c r="R128" s="700" t="s">
        <v>22</v>
      </c>
      <c r="S128" s="700" t="s">
        <v>265</v>
      </c>
      <c r="T128" s="697" t="s">
        <v>266</v>
      </c>
      <c r="U128" s="698" t="s">
        <v>266</v>
      </c>
      <c r="V128" s="690" t="s">
        <v>22</v>
      </c>
      <c r="W128" s="686" t="s">
        <v>265</v>
      </c>
      <c r="X128" s="685" t="s">
        <v>266</v>
      </c>
      <c r="Y128" s="685" t="s">
        <v>266</v>
      </c>
    </row>
    <row r="129" spans="1:25">
      <c r="A129" s="70"/>
      <c r="B129" s="19"/>
      <c r="C129" s="65"/>
      <c r="D129" s="67"/>
      <c r="E129" s="65"/>
      <c r="F129" s="18"/>
      <c r="G129" s="19"/>
      <c r="H129" s="65"/>
      <c r="I129" s="18"/>
      <c r="J129" s="73"/>
      <c r="K129" s="18"/>
      <c r="L129" s="672"/>
      <c r="M129" s="70"/>
      <c r="N129" s="18"/>
      <c r="O129" s="19"/>
      <c r="P129" s="498"/>
      <c r="Q129" s="499"/>
      <c r="R129" s="498"/>
      <c r="S129" s="542"/>
      <c r="T129" s="542"/>
      <c r="U129" s="706"/>
      <c r="V129" s="489"/>
      <c r="W129" s="1"/>
      <c r="X129" s="1"/>
      <c r="Y129" s="1"/>
    </row>
    <row r="130" spans="1:25" ht="18">
      <c r="A130" s="72">
        <f>A$127/2</f>
        <v>60</v>
      </c>
      <c r="B130" s="15">
        <v>2.4</v>
      </c>
      <c r="C130" s="66">
        <f>A130*B130</f>
        <v>144</v>
      </c>
      <c r="D130" s="68">
        <v>5</v>
      </c>
      <c r="E130" s="66">
        <f>IF(L130*1000/120/SQRT(3)*1.5&lt;65,120,IF(L130*1000/208/SQRT(3)*1.5&lt;65,208,IF(L130*1000/240/SQRT(3)*1.5&lt;65,240,480)))</f>
        <v>120</v>
      </c>
      <c r="F130" s="45">
        <f>L130*1000/E130/SQRT(3)</f>
        <v>6.0140653040586018</v>
      </c>
      <c r="G130" s="94">
        <f>G$128</f>
        <v>10</v>
      </c>
      <c r="H130" s="295">
        <f t="shared" ref="H130:H158" si="30">IF(C130&lt;87,0.428*(1+G130/100)*C130+2,0.428*(1+G130/100)*C130)</f>
        <v>67.795200000000008</v>
      </c>
      <c r="I130" s="25">
        <f>SQRT(3)*H130</f>
        <v>117.42473090929356</v>
      </c>
      <c r="J130" s="52">
        <f>J$128</f>
        <v>25</v>
      </c>
      <c r="K130" s="25">
        <f t="shared" ref="K130:K158" si="31">(1+J130/100)*D130*0.83</f>
        <v>5.1875</v>
      </c>
      <c r="L130" s="674">
        <f t="shared" ref="L130:L158" si="32">IF(CEILING(I130*K130*SQRT(3)/1000,0.25)&lt;10,CEILING(I130*K130*SQRT(3)/1000,0.25),IF(CEILING(I130*K130*SQRT(3)/1000,0.25)&lt;20,CEILING(I130*K130*SQRT(3)/1000,0.5),CEILING(I130*K130*SQRT(3)/1000,1)))</f>
        <v>1.25</v>
      </c>
      <c r="M130" s="720">
        <f t="shared" ref="M130:M137" si="33">E130/F130/SQRT(3)</f>
        <v>11.520000000000001</v>
      </c>
      <c r="N130" s="687">
        <f t="shared" ref="N130:N137" si="34">0.06*M130</f>
        <v>0.69120000000000004</v>
      </c>
      <c r="O130" s="707">
        <f t="shared" ref="O130:O137" si="35">0.04*M130</f>
        <v>0.46080000000000004</v>
      </c>
      <c r="P130" s="693">
        <f t="shared" ref="P130:P137" si="36">N130/2/PI()/60*1000</f>
        <v>1.8334649444186344</v>
      </c>
      <c r="Q130" s="694">
        <f t="shared" ref="Q130:Q137" si="37">O130/2/PI()/60*1000</f>
        <v>1.2223099629457563</v>
      </c>
      <c r="R130" s="693">
        <f t="shared" ref="R130:R137" si="38">F130*0.3</f>
        <v>1.8042195912175805</v>
      </c>
      <c r="S130" s="687">
        <f t="shared" ref="S130:S137" si="39">R130*E130*SQRT(3)/1000</f>
        <v>0.37499999999999994</v>
      </c>
      <c r="T130" s="647">
        <f t="shared" ref="T130:T137" si="40">S130*1000/E130/E130/120/PI()*10^6</f>
        <v>69.077666272524013</v>
      </c>
      <c r="U130" s="707">
        <f t="shared" ref="U130:U137" si="41">T130/3</f>
        <v>23.025888757508003</v>
      </c>
      <c r="V130" s="489"/>
      <c r="W130" s="683">
        <f t="shared" ref="W130:W138" si="42">V130*E130*SQRT(3)/1000</f>
        <v>0</v>
      </c>
      <c r="X130" s="25">
        <f t="shared" ref="X130:X138" si="43">W130*1000/E130/E130/120/PI()*10^6</f>
        <v>0</v>
      </c>
      <c r="Y130" s="1"/>
    </row>
    <row r="131" spans="1:25" ht="18">
      <c r="A131" s="98">
        <f t="shared" ref="A131:A158" si="44">A$127/2</f>
        <v>60</v>
      </c>
      <c r="B131" s="99">
        <v>2.4</v>
      </c>
      <c r="C131" s="100">
        <f t="shared" ref="C131:C158" si="45">A131*B131</f>
        <v>144</v>
      </c>
      <c r="D131" s="101">
        <v>10</v>
      </c>
      <c r="E131" s="100">
        <f t="shared" ref="E131:E158" si="46">IF(L131*1000/120/SQRT(3)*1.5&lt;65,120,IF(L131*1000/208/SQRT(3)*1.5&lt;65,208,IF(L131*1000/240/SQRT(3)*1.5&lt;65,240,480)))</f>
        <v>120</v>
      </c>
      <c r="F131" s="102">
        <f t="shared" ref="F131:F158" si="47">L131*1000/E131/SQRT(3)</f>
        <v>10.825317547305485</v>
      </c>
      <c r="G131" s="103">
        <f t="shared" ref="G131:G158" si="48">G$128</f>
        <v>10</v>
      </c>
      <c r="H131" s="296">
        <f t="shared" si="30"/>
        <v>67.795200000000008</v>
      </c>
      <c r="I131" s="104">
        <f t="shared" ref="I131:I158" si="49">SQRT(3)*H131</f>
        <v>117.42473090929356</v>
      </c>
      <c r="J131" s="180">
        <f t="shared" ref="J131:J158" si="50">J$128</f>
        <v>25</v>
      </c>
      <c r="K131" s="104">
        <f t="shared" si="31"/>
        <v>10.375</v>
      </c>
      <c r="L131" s="675">
        <f t="shared" si="32"/>
        <v>2.25</v>
      </c>
      <c r="M131" s="720">
        <f t="shared" si="33"/>
        <v>6.3999999999999995</v>
      </c>
      <c r="N131" s="687">
        <f t="shared" si="34"/>
        <v>0.38399999999999995</v>
      </c>
      <c r="O131" s="707">
        <f t="shared" si="35"/>
        <v>0.25600000000000001</v>
      </c>
      <c r="P131" s="693">
        <f t="shared" si="36"/>
        <v>1.0185916357881302</v>
      </c>
      <c r="Q131" s="694">
        <f t="shared" si="37"/>
        <v>0.67906109052542019</v>
      </c>
      <c r="R131" s="693">
        <f t="shared" si="38"/>
        <v>3.2475952641916455</v>
      </c>
      <c r="S131" s="687">
        <f t="shared" si="39"/>
        <v>0.67500000000000016</v>
      </c>
      <c r="T131" s="647">
        <f t="shared" si="40"/>
        <v>124.33979929054325</v>
      </c>
      <c r="U131" s="707">
        <f t="shared" si="41"/>
        <v>41.446599763514421</v>
      </c>
      <c r="V131" s="489"/>
      <c r="W131" s="683">
        <f t="shared" si="42"/>
        <v>0</v>
      </c>
      <c r="X131" s="25">
        <f t="shared" si="43"/>
        <v>0</v>
      </c>
      <c r="Y131" s="1"/>
    </row>
    <row r="132" spans="1:25" ht="18">
      <c r="A132" s="72">
        <f t="shared" si="44"/>
        <v>60</v>
      </c>
      <c r="B132" s="15">
        <v>2.4</v>
      </c>
      <c r="C132" s="66">
        <f t="shared" si="45"/>
        <v>144</v>
      </c>
      <c r="D132" s="68">
        <v>15</v>
      </c>
      <c r="E132" s="66">
        <f t="shared" si="46"/>
        <v>120</v>
      </c>
      <c r="F132" s="45">
        <f t="shared" si="47"/>
        <v>15.636569790552365</v>
      </c>
      <c r="G132" s="94">
        <f t="shared" si="48"/>
        <v>10</v>
      </c>
      <c r="H132" s="295">
        <f t="shared" si="30"/>
        <v>67.795200000000008</v>
      </c>
      <c r="I132" s="25">
        <f t="shared" si="49"/>
        <v>117.42473090929356</v>
      </c>
      <c r="J132" s="52">
        <f t="shared" si="50"/>
        <v>25</v>
      </c>
      <c r="K132" s="25">
        <f t="shared" si="31"/>
        <v>15.5625</v>
      </c>
      <c r="L132" s="674">
        <f t="shared" si="32"/>
        <v>3.25</v>
      </c>
      <c r="M132" s="720">
        <f t="shared" si="33"/>
        <v>4.430769230769231</v>
      </c>
      <c r="N132" s="687">
        <f t="shared" si="34"/>
        <v>0.26584615384615384</v>
      </c>
      <c r="O132" s="707">
        <f t="shared" si="35"/>
        <v>0.17723076923076925</v>
      </c>
      <c r="P132" s="693">
        <f t="shared" si="36"/>
        <v>0.70517882477639782</v>
      </c>
      <c r="Q132" s="694">
        <f t="shared" si="37"/>
        <v>0.47011921651759864</v>
      </c>
      <c r="R132" s="693">
        <f t="shared" si="38"/>
        <v>4.6909709371657096</v>
      </c>
      <c r="S132" s="687">
        <f t="shared" si="39"/>
        <v>0.97499999999999987</v>
      </c>
      <c r="T132" s="647">
        <f t="shared" si="40"/>
        <v>179.6019323085624</v>
      </c>
      <c r="U132" s="707">
        <f t="shared" si="41"/>
        <v>59.867310769520799</v>
      </c>
      <c r="V132" s="489"/>
      <c r="W132" s="683">
        <f t="shared" si="42"/>
        <v>0</v>
      </c>
      <c r="X132" s="25">
        <f t="shared" si="43"/>
        <v>0</v>
      </c>
      <c r="Y132" s="1"/>
    </row>
    <row r="133" spans="1:25" ht="18">
      <c r="A133" s="72">
        <f t="shared" si="44"/>
        <v>60</v>
      </c>
      <c r="B133" s="15">
        <v>2.4</v>
      </c>
      <c r="C133" s="66">
        <f t="shared" si="45"/>
        <v>144</v>
      </c>
      <c r="D133" s="68">
        <v>20</v>
      </c>
      <c r="E133" s="66">
        <f t="shared" si="46"/>
        <v>120</v>
      </c>
      <c r="F133" s="45">
        <f t="shared" si="47"/>
        <v>20.447822033799245</v>
      </c>
      <c r="G133" s="94">
        <f t="shared" si="48"/>
        <v>10</v>
      </c>
      <c r="H133" s="295">
        <f t="shared" si="30"/>
        <v>67.795200000000008</v>
      </c>
      <c r="I133" s="25">
        <f t="shared" si="49"/>
        <v>117.42473090929356</v>
      </c>
      <c r="J133" s="52">
        <f t="shared" si="50"/>
        <v>25</v>
      </c>
      <c r="K133" s="25">
        <f t="shared" si="31"/>
        <v>20.75</v>
      </c>
      <c r="L133" s="674">
        <f t="shared" si="32"/>
        <v>4.25</v>
      </c>
      <c r="M133" s="720">
        <f t="shared" si="33"/>
        <v>3.3882352941176475</v>
      </c>
      <c r="N133" s="687">
        <f t="shared" si="34"/>
        <v>0.20329411764705885</v>
      </c>
      <c r="O133" s="707">
        <f t="shared" si="35"/>
        <v>0.1355294117647059</v>
      </c>
      <c r="P133" s="693">
        <f t="shared" si="36"/>
        <v>0.53925439541724551</v>
      </c>
      <c r="Q133" s="694">
        <f t="shared" si="37"/>
        <v>0.3595029302781636</v>
      </c>
      <c r="R133" s="693">
        <f t="shared" si="38"/>
        <v>6.1343466101397732</v>
      </c>
      <c r="S133" s="687">
        <f t="shared" si="39"/>
        <v>1.2749999999999997</v>
      </c>
      <c r="T133" s="647">
        <f t="shared" si="40"/>
        <v>234.86406532658162</v>
      </c>
      <c r="U133" s="707">
        <f t="shared" si="41"/>
        <v>78.288021775527213</v>
      </c>
      <c r="V133" s="489"/>
      <c r="W133" s="683">
        <f t="shared" si="42"/>
        <v>0</v>
      </c>
      <c r="X133" s="25">
        <f t="shared" si="43"/>
        <v>0</v>
      </c>
      <c r="Y133" s="1"/>
    </row>
    <row r="134" spans="1:25" ht="18">
      <c r="A134" s="98">
        <f t="shared" si="44"/>
        <v>60</v>
      </c>
      <c r="B134" s="99">
        <v>2.4</v>
      </c>
      <c r="C134" s="100">
        <f t="shared" si="45"/>
        <v>144</v>
      </c>
      <c r="D134" s="101">
        <v>25</v>
      </c>
      <c r="E134" s="100">
        <f t="shared" si="46"/>
        <v>120</v>
      </c>
      <c r="F134" s="102">
        <f t="shared" si="47"/>
        <v>26.461887337857849</v>
      </c>
      <c r="G134" s="103">
        <f t="shared" si="48"/>
        <v>10</v>
      </c>
      <c r="H134" s="296">
        <f t="shared" si="30"/>
        <v>67.795200000000008</v>
      </c>
      <c r="I134" s="104">
        <f t="shared" si="49"/>
        <v>117.42473090929356</v>
      </c>
      <c r="J134" s="180">
        <f t="shared" si="50"/>
        <v>25</v>
      </c>
      <c r="K134" s="104">
        <f t="shared" si="31"/>
        <v>25.9375</v>
      </c>
      <c r="L134" s="675">
        <f t="shared" si="32"/>
        <v>5.5</v>
      </c>
      <c r="M134" s="720">
        <f t="shared" si="33"/>
        <v>2.6181818181818182</v>
      </c>
      <c r="N134" s="687">
        <f t="shared" si="34"/>
        <v>0.15709090909090909</v>
      </c>
      <c r="O134" s="707">
        <f t="shared" si="35"/>
        <v>0.10472727272727272</v>
      </c>
      <c r="P134" s="693">
        <f t="shared" si="36"/>
        <v>0.41669657827696233</v>
      </c>
      <c r="Q134" s="694">
        <f t="shared" si="37"/>
        <v>0.27779771885130822</v>
      </c>
      <c r="R134" s="693">
        <f t="shared" si="38"/>
        <v>7.9385662013573546</v>
      </c>
      <c r="S134" s="687">
        <f t="shared" si="39"/>
        <v>1.6499999999999997</v>
      </c>
      <c r="T134" s="647">
        <f t="shared" si="40"/>
        <v>303.94173159910565</v>
      </c>
      <c r="U134" s="707">
        <f t="shared" si="41"/>
        <v>101.31391053303521</v>
      </c>
      <c r="V134" s="489"/>
      <c r="W134" s="683">
        <f t="shared" si="42"/>
        <v>0</v>
      </c>
      <c r="X134" s="25">
        <f t="shared" si="43"/>
        <v>0</v>
      </c>
      <c r="Y134" s="1"/>
    </row>
    <row r="135" spans="1:25" ht="18">
      <c r="A135" s="72">
        <f t="shared" si="44"/>
        <v>60</v>
      </c>
      <c r="B135" s="15">
        <v>2.4</v>
      </c>
      <c r="C135" s="66">
        <f t="shared" si="45"/>
        <v>144</v>
      </c>
      <c r="D135" s="68">
        <v>30</v>
      </c>
      <c r="E135" s="66">
        <f t="shared" si="46"/>
        <v>120</v>
      </c>
      <c r="F135" s="45">
        <f t="shared" si="47"/>
        <v>31.273139581104729</v>
      </c>
      <c r="G135" s="94">
        <f t="shared" si="48"/>
        <v>10</v>
      </c>
      <c r="H135" s="295">
        <f t="shared" si="30"/>
        <v>67.795200000000008</v>
      </c>
      <c r="I135" s="25">
        <f t="shared" si="49"/>
        <v>117.42473090929356</v>
      </c>
      <c r="J135" s="52">
        <f t="shared" si="50"/>
        <v>25</v>
      </c>
      <c r="K135" s="25">
        <f t="shared" si="31"/>
        <v>31.125</v>
      </c>
      <c r="L135" s="674">
        <f t="shared" si="32"/>
        <v>6.5</v>
      </c>
      <c r="M135" s="720">
        <f t="shared" si="33"/>
        <v>2.2153846153846155</v>
      </c>
      <c r="N135" s="687">
        <f t="shared" si="34"/>
        <v>0.13292307692307692</v>
      </c>
      <c r="O135" s="707">
        <f t="shared" si="35"/>
        <v>8.8615384615384624E-2</v>
      </c>
      <c r="P135" s="693">
        <f t="shared" si="36"/>
        <v>0.35258941238819891</v>
      </c>
      <c r="Q135" s="694">
        <f t="shared" si="37"/>
        <v>0.23505960825879932</v>
      </c>
      <c r="R135" s="693">
        <f t="shared" si="38"/>
        <v>9.3819418743314191</v>
      </c>
      <c r="S135" s="687">
        <f t="shared" si="39"/>
        <v>1.9499999999999997</v>
      </c>
      <c r="T135" s="647">
        <f t="shared" si="40"/>
        <v>359.20386461712479</v>
      </c>
      <c r="U135" s="707">
        <f t="shared" si="41"/>
        <v>119.7346215390416</v>
      </c>
      <c r="V135" s="489"/>
      <c r="W135" s="683">
        <f t="shared" si="42"/>
        <v>0</v>
      </c>
      <c r="X135" s="25">
        <f t="shared" si="43"/>
        <v>0</v>
      </c>
      <c r="Y135" s="1"/>
    </row>
    <row r="136" spans="1:25" ht="18">
      <c r="A136" s="72">
        <f t="shared" si="44"/>
        <v>60</v>
      </c>
      <c r="B136" s="15">
        <v>2.4</v>
      </c>
      <c r="C136" s="66">
        <f t="shared" si="45"/>
        <v>144</v>
      </c>
      <c r="D136" s="68">
        <v>35</v>
      </c>
      <c r="E136" s="66">
        <f t="shared" si="46"/>
        <v>120</v>
      </c>
      <c r="F136" s="45">
        <f t="shared" si="47"/>
        <v>36.084391824351613</v>
      </c>
      <c r="G136" s="94">
        <f t="shared" si="48"/>
        <v>10</v>
      </c>
      <c r="H136" s="295">
        <f t="shared" si="30"/>
        <v>67.795200000000008</v>
      </c>
      <c r="I136" s="25">
        <f t="shared" si="49"/>
        <v>117.42473090929356</v>
      </c>
      <c r="J136" s="52">
        <f t="shared" si="50"/>
        <v>25</v>
      </c>
      <c r="K136" s="25">
        <f t="shared" si="31"/>
        <v>36.3125</v>
      </c>
      <c r="L136" s="674">
        <f t="shared" si="32"/>
        <v>7.5</v>
      </c>
      <c r="M136" s="720">
        <f t="shared" si="33"/>
        <v>1.92</v>
      </c>
      <c r="N136" s="687">
        <f t="shared" si="34"/>
        <v>0.1152</v>
      </c>
      <c r="O136" s="707">
        <f t="shared" si="35"/>
        <v>7.6799999999999993E-2</v>
      </c>
      <c r="P136" s="693">
        <f t="shared" si="36"/>
        <v>0.30557749073643903</v>
      </c>
      <c r="Q136" s="694">
        <f t="shared" si="37"/>
        <v>0.20371832715762603</v>
      </c>
      <c r="R136" s="693">
        <f t="shared" si="38"/>
        <v>10.825317547305483</v>
      </c>
      <c r="S136" s="687">
        <f t="shared" si="39"/>
        <v>2.25</v>
      </c>
      <c r="T136" s="647">
        <f t="shared" si="40"/>
        <v>414.46599763514405</v>
      </c>
      <c r="U136" s="707">
        <f t="shared" si="41"/>
        <v>138.15533254504803</v>
      </c>
      <c r="V136" s="489"/>
      <c r="W136" s="683">
        <f t="shared" si="42"/>
        <v>0</v>
      </c>
      <c r="X136" s="25">
        <f t="shared" si="43"/>
        <v>0</v>
      </c>
      <c r="Y136" s="1"/>
    </row>
    <row r="137" spans="1:25" ht="18">
      <c r="A137" s="98">
        <f t="shared" si="44"/>
        <v>60</v>
      </c>
      <c r="B137" s="99">
        <v>2.4</v>
      </c>
      <c r="C137" s="100">
        <f t="shared" si="45"/>
        <v>144</v>
      </c>
      <c r="D137" s="101">
        <v>40</v>
      </c>
      <c r="E137" s="100">
        <f t="shared" si="46"/>
        <v>120</v>
      </c>
      <c r="F137" s="102">
        <f t="shared" si="47"/>
        <v>40.895644067598489</v>
      </c>
      <c r="G137" s="103">
        <f t="shared" si="48"/>
        <v>10</v>
      </c>
      <c r="H137" s="296">
        <f t="shared" si="30"/>
        <v>67.795200000000008</v>
      </c>
      <c r="I137" s="104">
        <f t="shared" si="49"/>
        <v>117.42473090929356</v>
      </c>
      <c r="J137" s="180">
        <f t="shared" si="50"/>
        <v>25</v>
      </c>
      <c r="K137" s="104">
        <f t="shared" si="31"/>
        <v>41.5</v>
      </c>
      <c r="L137" s="675">
        <f t="shared" si="32"/>
        <v>8.5</v>
      </c>
      <c r="M137" s="720">
        <f t="shared" si="33"/>
        <v>1.6941176470588237</v>
      </c>
      <c r="N137" s="687">
        <f t="shared" si="34"/>
        <v>0.10164705882352942</v>
      </c>
      <c r="O137" s="707">
        <f t="shared" si="35"/>
        <v>6.7764705882352949E-2</v>
      </c>
      <c r="P137" s="693">
        <f t="shared" si="36"/>
        <v>0.26962719770862276</v>
      </c>
      <c r="Q137" s="694">
        <f t="shared" si="37"/>
        <v>0.1797514651390818</v>
      </c>
      <c r="R137" s="693">
        <f t="shared" si="38"/>
        <v>12.268693220279546</v>
      </c>
      <c r="S137" s="687">
        <f t="shared" si="39"/>
        <v>2.5499999999999994</v>
      </c>
      <c r="T137" s="647">
        <f t="shared" si="40"/>
        <v>469.72813065316325</v>
      </c>
      <c r="U137" s="707">
        <f t="shared" si="41"/>
        <v>156.57604355105443</v>
      </c>
      <c r="V137" s="691"/>
      <c r="W137" s="683">
        <f t="shared" si="42"/>
        <v>0</v>
      </c>
      <c r="X137" s="25">
        <f t="shared" si="43"/>
        <v>0</v>
      </c>
      <c r="Y137" s="1"/>
    </row>
    <row r="138" spans="1:25" s="650" customFormat="1" ht="18">
      <c r="A138" s="645">
        <v>24</v>
      </c>
      <c r="B138" s="646">
        <v>2.4</v>
      </c>
      <c r="C138" s="645">
        <f t="shared" si="45"/>
        <v>57.599999999999994</v>
      </c>
      <c r="D138" s="646">
        <v>175</v>
      </c>
      <c r="E138" s="645">
        <v>480</v>
      </c>
      <c r="F138" s="647">
        <f t="shared" si="47"/>
        <v>19.245008972987527</v>
      </c>
      <c r="G138" s="646">
        <f t="shared" si="48"/>
        <v>10</v>
      </c>
      <c r="H138" s="648">
        <f t="shared" si="30"/>
        <v>29.118079999999999</v>
      </c>
      <c r="I138" s="647">
        <f t="shared" si="49"/>
        <v>50.43399397885517</v>
      </c>
      <c r="J138" s="649">
        <f t="shared" si="50"/>
        <v>25</v>
      </c>
      <c r="K138" s="647">
        <f t="shared" si="31"/>
        <v>181.5625</v>
      </c>
      <c r="L138" s="676">
        <f t="shared" si="32"/>
        <v>16</v>
      </c>
      <c r="M138" s="720">
        <f>E138/F138/SQRT(3)</f>
        <v>14.4</v>
      </c>
      <c r="N138" s="687">
        <f>0.06*M138</f>
        <v>0.86399999999999999</v>
      </c>
      <c r="O138" s="707">
        <f>0.04*M138</f>
        <v>0.57600000000000007</v>
      </c>
      <c r="P138" s="693">
        <f>N138/2/PI()/60*1000</f>
        <v>2.2918311805232929</v>
      </c>
      <c r="Q138" s="694">
        <f>O138/2/PI()/60*1000</f>
        <v>1.5278874536821954</v>
      </c>
      <c r="R138" s="693">
        <f>F138*0.3</f>
        <v>5.7735026918962582</v>
      </c>
      <c r="S138" s="687">
        <f>R138*E138*SQRT(3)/1000</f>
        <v>4.8</v>
      </c>
      <c r="T138" s="647">
        <f>S138*1000/E138/E138/120/PI()*10^6</f>
        <v>55.262133018019206</v>
      </c>
      <c r="U138" s="707">
        <f>T138/3</f>
        <v>18.420711006006403</v>
      </c>
      <c r="V138" s="692">
        <f>0.12*F138</f>
        <v>2.3094010767585034</v>
      </c>
      <c r="W138" s="683">
        <f t="shared" si="42"/>
        <v>1.92</v>
      </c>
      <c r="X138" s="25">
        <f t="shared" si="43"/>
        <v>22.104853207207686</v>
      </c>
      <c r="Y138" s="23">
        <f>X138/3</f>
        <v>7.368284402402562</v>
      </c>
    </row>
    <row r="139" spans="1:25" ht="18">
      <c r="A139" s="72">
        <f t="shared" si="44"/>
        <v>60</v>
      </c>
      <c r="B139" s="15">
        <v>2.4</v>
      </c>
      <c r="C139" s="66">
        <f t="shared" si="45"/>
        <v>144</v>
      </c>
      <c r="D139" s="68">
        <v>60</v>
      </c>
      <c r="E139" s="66">
        <f t="shared" si="46"/>
        <v>208</v>
      </c>
      <c r="F139" s="45">
        <f t="shared" si="47"/>
        <v>36.084391824351613</v>
      </c>
      <c r="G139" s="94">
        <f t="shared" si="48"/>
        <v>10</v>
      </c>
      <c r="H139" s="295">
        <f t="shared" si="30"/>
        <v>67.795200000000008</v>
      </c>
      <c r="I139" s="25">
        <f t="shared" si="49"/>
        <v>117.42473090929356</v>
      </c>
      <c r="J139" s="52">
        <f t="shared" si="50"/>
        <v>25</v>
      </c>
      <c r="K139" s="25">
        <f t="shared" si="31"/>
        <v>62.25</v>
      </c>
      <c r="L139" s="674">
        <f t="shared" si="32"/>
        <v>13</v>
      </c>
      <c r="M139" s="720">
        <f t="shared" ref="M139:M158" si="51">E139/F139/SQRT(3)</f>
        <v>3.3279999999999998</v>
      </c>
      <c r="N139" s="687">
        <f t="shared" ref="N139:N158" si="52">0.06*M139</f>
        <v>0.19968</v>
      </c>
      <c r="O139" s="707">
        <f t="shared" ref="O139:O158" si="53">0.04*M139</f>
        <v>0.13311999999999999</v>
      </c>
      <c r="P139" s="693">
        <f t="shared" ref="P139:P158" si="54">N139/2/PI()/60*1000</f>
        <v>0.52966765060982768</v>
      </c>
      <c r="Q139" s="694">
        <f t="shared" ref="Q139:Q158" si="55">O139/2/PI()/60*1000</f>
        <v>0.3531117670732184</v>
      </c>
      <c r="R139" s="693">
        <f t="shared" ref="R139:R158" si="56">F139*0.3</f>
        <v>10.825317547305483</v>
      </c>
      <c r="S139" s="687">
        <f t="shared" ref="S139:S158" si="57">R139*E139*SQRT(3)/1000</f>
        <v>3.8999999999999995</v>
      </c>
      <c r="T139" s="647">
        <f t="shared" ref="T139:T158" si="58">S139*1000/E139/E139/120/PI()*10^6</f>
        <v>239.11499863566002</v>
      </c>
      <c r="U139" s="707">
        <f t="shared" ref="U139:U158" si="59">T139/3</f>
        <v>79.704999545220005</v>
      </c>
      <c r="V139" s="691"/>
      <c r="W139" s="683">
        <f t="shared" ref="W139:W158" si="60">V139*E139*SQRT(3)/1000</f>
        <v>0</v>
      </c>
      <c r="X139" s="25">
        <f t="shared" ref="X139:X158" si="61">W139*1000/E139/E139/120/PI()*10^6</f>
        <v>0</v>
      </c>
      <c r="Y139" s="1"/>
    </row>
    <row r="140" spans="1:25" ht="18">
      <c r="A140" s="98">
        <f t="shared" si="44"/>
        <v>60</v>
      </c>
      <c r="B140" s="99">
        <v>2.4</v>
      </c>
      <c r="C140" s="100">
        <f t="shared" si="45"/>
        <v>144</v>
      </c>
      <c r="D140" s="101">
        <v>75</v>
      </c>
      <c r="E140" s="100">
        <f t="shared" si="46"/>
        <v>240</v>
      </c>
      <c r="F140" s="102">
        <f t="shared" si="47"/>
        <v>38.490017945975055</v>
      </c>
      <c r="G140" s="103">
        <f t="shared" si="48"/>
        <v>10</v>
      </c>
      <c r="H140" s="296">
        <f t="shared" si="30"/>
        <v>67.795200000000008</v>
      </c>
      <c r="I140" s="104">
        <f t="shared" si="49"/>
        <v>117.42473090929356</v>
      </c>
      <c r="J140" s="180">
        <f t="shared" si="50"/>
        <v>25</v>
      </c>
      <c r="K140" s="104">
        <f t="shared" si="31"/>
        <v>77.8125</v>
      </c>
      <c r="L140" s="675">
        <f t="shared" si="32"/>
        <v>16</v>
      </c>
      <c r="M140" s="720">
        <f t="shared" si="51"/>
        <v>3.6</v>
      </c>
      <c r="N140" s="687">
        <f t="shared" si="52"/>
        <v>0.216</v>
      </c>
      <c r="O140" s="707">
        <f t="shared" si="53"/>
        <v>0.14400000000000002</v>
      </c>
      <c r="P140" s="693">
        <f t="shared" si="54"/>
        <v>0.57295779513082323</v>
      </c>
      <c r="Q140" s="694">
        <f t="shared" si="55"/>
        <v>0.38197186342054884</v>
      </c>
      <c r="R140" s="693">
        <f t="shared" si="56"/>
        <v>11.547005383792516</v>
      </c>
      <c r="S140" s="687">
        <f t="shared" si="57"/>
        <v>4.8</v>
      </c>
      <c r="T140" s="647">
        <f t="shared" si="58"/>
        <v>221.04853207207682</v>
      </c>
      <c r="U140" s="707">
        <f t="shared" si="59"/>
        <v>73.682844024025613</v>
      </c>
      <c r="V140" s="691"/>
      <c r="W140" s="683">
        <f t="shared" si="60"/>
        <v>0</v>
      </c>
      <c r="X140" s="25">
        <f t="shared" si="61"/>
        <v>0</v>
      </c>
      <c r="Y140" s="1"/>
    </row>
    <row r="141" spans="1:25" s="823" customFormat="1" ht="18">
      <c r="A141" s="813">
        <f t="shared" si="44"/>
        <v>60</v>
      </c>
      <c r="B141" s="814">
        <v>2.4</v>
      </c>
      <c r="C141" s="815">
        <f t="shared" si="45"/>
        <v>144</v>
      </c>
      <c r="D141" s="816">
        <v>100</v>
      </c>
      <c r="E141" s="815">
        <v>600</v>
      </c>
      <c r="F141" s="817">
        <f t="shared" si="47"/>
        <v>21.169509870286277</v>
      </c>
      <c r="G141" s="814">
        <f t="shared" si="48"/>
        <v>10</v>
      </c>
      <c r="H141" s="818">
        <f t="shared" si="30"/>
        <v>67.795200000000008</v>
      </c>
      <c r="I141" s="817">
        <f t="shared" si="49"/>
        <v>117.42473090929356</v>
      </c>
      <c r="J141" s="819">
        <f t="shared" si="50"/>
        <v>25</v>
      </c>
      <c r="K141" s="817">
        <f t="shared" si="31"/>
        <v>103.75</v>
      </c>
      <c r="L141" s="820">
        <f t="shared" si="32"/>
        <v>22</v>
      </c>
      <c r="M141" s="720">
        <f t="shared" si="51"/>
        <v>16.363636363636367</v>
      </c>
      <c r="N141" s="687">
        <f t="shared" si="52"/>
        <v>0.98181818181818192</v>
      </c>
      <c r="O141" s="707">
        <f t="shared" si="53"/>
        <v>0.65454545454545465</v>
      </c>
      <c r="P141" s="693">
        <f t="shared" si="54"/>
        <v>2.6043536142310151</v>
      </c>
      <c r="Q141" s="694">
        <f t="shared" si="55"/>
        <v>1.7362357428206767</v>
      </c>
      <c r="R141" s="693">
        <f t="shared" si="56"/>
        <v>6.3508529610858826</v>
      </c>
      <c r="S141" s="687">
        <f t="shared" si="57"/>
        <v>6.5999999999999988</v>
      </c>
      <c r="T141" s="647">
        <f t="shared" si="58"/>
        <v>48.6306770558569</v>
      </c>
      <c r="U141" s="707">
        <f t="shared" si="59"/>
        <v>16.210225685285632</v>
      </c>
      <c r="V141" s="821"/>
      <c r="W141" s="683">
        <f t="shared" si="60"/>
        <v>0</v>
      </c>
      <c r="X141" s="25">
        <f t="shared" si="61"/>
        <v>0</v>
      </c>
      <c r="Y141" s="822"/>
    </row>
    <row r="142" spans="1:25" ht="18">
      <c r="A142" s="72">
        <f t="shared" si="44"/>
        <v>60</v>
      </c>
      <c r="B142" s="15">
        <v>2.4</v>
      </c>
      <c r="C142" s="66">
        <f t="shared" si="45"/>
        <v>144</v>
      </c>
      <c r="D142" s="68">
        <v>125</v>
      </c>
      <c r="E142" s="66">
        <f t="shared" si="46"/>
        <v>480</v>
      </c>
      <c r="F142" s="45">
        <f t="shared" si="47"/>
        <v>32.47595264191645</v>
      </c>
      <c r="G142" s="94">
        <f t="shared" si="48"/>
        <v>10</v>
      </c>
      <c r="H142" s="295">
        <f t="shared" si="30"/>
        <v>67.795200000000008</v>
      </c>
      <c r="I142" s="25">
        <f t="shared" si="49"/>
        <v>117.42473090929356</v>
      </c>
      <c r="J142" s="52">
        <f t="shared" si="50"/>
        <v>25</v>
      </c>
      <c r="K142" s="25">
        <f t="shared" si="31"/>
        <v>129.6875</v>
      </c>
      <c r="L142" s="677">
        <f t="shared" si="32"/>
        <v>27</v>
      </c>
      <c r="M142" s="720">
        <f t="shared" si="51"/>
        <v>8.5333333333333332</v>
      </c>
      <c r="N142" s="687">
        <f t="shared" si="52"/>
        <v>0.51200000000000001</v>
      </c>
      <c r="O142" s="707">
        <f t="shared" si="53"/>
        <v>0.34133333333333332</v>
      </c>
      <c r="P142" s="693">
        <f t="shared" si="54"/>
        <v>1.3581221810508404</v>
      </c>
      <c r="Q142" s="694">
        <f t="shared" si="55"/>
        <v>0.90541478736722691</v>
      </c>
      <c r="R142" s="693">
        <f t="shared" si="56"/>
        <v>9.742785792574935</v>
      </c>
      <c r="S142" s="687">
        <f t="shared" si="57"/>
        <v>8.1000000000000014</v>
      </c>
      <c r="T142" s="647">
        <f t="shared" si="58"/>
        <v>93.254849467907448</v>
      </c>
      <c r="U142" s="707">
        <f t="shared" si="59"/>
        <v>31.084949822635817</v>
      </c>
      <c r="V142" s="691"/>
      <c r="W142" s="683">
        <f t="shared" si="60"/>
        <v>0</v>
      </c>
      <c r="X142" s="25">
        <f t="shared" si="61"/>
        <v>0</v>
      </c>
      <c r="Y142" s="1"/>
    </row>
    <row r="143" spans="1:25" ht="18">
      <c r="A143" s="98">
        <f t="shared" si="44"/>
        <v>60</v>
      </c>
      <c r="B143" s="99">
        <v>2.4</v>
      </c>
      <c r="C143" s="100">
        <f t="shared" si="45"/>
        <v>144</v>
      </c>
      <c r="D143" s="101">
        <v>150</v>
      </c>
      <c r="E143" s="100">
        <f t="shared" si="46"/>
        <v>480</v>
      </c>
      <c r="F143" s="102">
        <f t="shared" si="47"/>
        <v>38.490017945975055</v>
      </c>
      <c r="G143" s="103">
        <f t="shared" si="48"/>
        <v>10</v>
      </c>
      <c r="H143" s="296">
        <f t="shared" si="30"/>
        <v>67.795200000000008</v>
      </c>
      <c r="I143" s="104">
        <f t="shared" si="49"/>
        <v>117.42473090929356</v>
      </c>
      <c r="J143" s="180">
        <f t="shared" si="50"/>
        <v>25</v>
      </c>
      <c r="K143" s="104">
        <f t="shared" si="31"/>
        <v>155.625</v>
      </c>
      <c r="L143" s="678">
        <f t="shared" si="32"/>
        <v>32</v>
      </c>
      <c r="M143" s="720">
        <f t="shared" si="51"/>
        <v>7.2</v>
      </c>
      <c r="N143" s="687">
        <f t="shared" si="52"/>
        <v>0.432</v>
      </c>
      <c r="O143" s="707">
        <f t="shared" si="53"/>
        <v>0.28800000000000003</v>
      </c>
      <c r="P143" s="693">
        <f t="shared" si="54"/>
        <v>1.1459155902616465</v>
      </c>
      <c r="Q143" s="694">
        <f t="shared" si="55"/>
        <v>0.76394372684109768</v>
      </c>
      <c r="R143" s="693">
        <f t="shared" si="56"/>
        <v>11.547005383792516</v>
      </c>
      <c r="S143" s="687">
        <f t="shared" si="57"/>
        <v>9.6</v>
      </c>
      <c r="T143" s="647">
        <f t="shared" si="58"/>
        <v>110.52426603603841</v>
      </c>
      <c r="U143" s="707">
        <f t="shared" si="59"/>
        <v>36.841422012012806</v>
      </c>
      <c r="V143" s="691"/>
      <c r="W143" s="683">
        <f t="shared" si="60"/>
        <v>0</v>
      </c>
      <c r="X143" s="25">
        <f t="shared" si="61"/>
        <v>0</v>
      </c>
      <c r="Y143" s="1"/>
    </row>
    <row r="144" spans="1:25" ht="18">
      <c r="A144" s="72">
        <f t="shared" si="44"/>
        <v>60</v>
      </c>
      <c r="B144" s="15">
        <v>2.4</v>
      </c>
      <c r="C144" s="66">
        <f t="shared" si="45"/>
        <v>144</v>
      </c>
      <c r="D144" s="68">
        <v>175</v>
      </c>
      <c r="E144" s="66">
        <f t="shared" si="46"/>
        <v>480</v>
      </c>
      <c r="F144" s="45">
        <f t="shared" si="47"/>
        <v>44.504083250033652</v>
      </c>
      <c r="G144" s="94">
        <f t="shared" si="48"/>
        <v>10</v>
      </c>
      <c r="H144" s="295">
        <f t="shared" si="30"/>
        <v>67.795200000000008</v>
      </c>
      <c r="I144" s="25">
        <f t="shared" si="49"/>
        <v>117.42473090929356</v>
      </c>
      <c r="J144" s="52">
        <f t="shared" si="50"/>
        <v>25</v>
      </c>
      <c r="K144" s="25">
        <f t="shared" si="31"/>
        <v>181.5625</v>
      </c>
      <c r="L144" s="677">
        <f t="shared" si="32"/>
        <v>37</v>
      </c>
      <c r="M144" s="720">
        <f t="shared" si="51"/>
        <v>6.2270270270270274</v>
      </c>
      <c r="N144" s="687">
        <f t="shared" si="52"/>
        <v>0.3736216216216216</v>
      </c>
      <c r="O144" s="707">
        <f t="shared" si="53"/>
        <v>0.2490810810810811</v>
      </c>
      <c r="P144" s="693">
        <f t="shared" si="54"/>
        <v>0.99106213211818073</v>
      </c>
      <c r="Q144" s="694">
        <f t="shared" si="55"/>
        <v>0.66070808807878723</v>
      </c>
      <c r="R144" s="693">
        <f t="shared" si="56"/>
        <v>13.351224975010096</v>
      </c>
      <c r="S144" s="687">
        <f t="shared" si="57"/>
        <v>11.1</v>
      </c>
      <c r="T144" s="647">
        <f t="shared" si="58"/>
        <v>127.79368260416943</v>
      </c>
      <c r="U144" s="707">
        <f t="shared" si="59"/>
        <v>42.597894201389813</v>
      </c>
      <c r="V144" s="691"/>
      <c r="W144" s="683">
        <f t="shared" si="60"/>
        <v>0</v>
      </c>
      <c r="X144" s="25">
        <f t="shared" si="61"/>
        <v>0</v>
      </c>
      <c r="Y144" s="1"/>
    </row>
    <row r="145" spans="1:25" ht="18">
      <c r="A145" s="72">
        <f t="shared" si="44"/>
        <v>60</v>
      </c>
      <c r="B145" s="15">
        <v>2.4</v>
      </c>
      <c r="C145" s="66">
        <f t="shared" si="45"/>
        <v>144</v>
      </c>
      <c r="D145" s="68">
        <v>200</v>
      </c>
      <c r="E145" s="66">
        <f t="shared" si="46"/>
        <v>480</v>
      </c>
      <c r="F145" s="45">
        <f t="shared" si="47"/>
        <v>51.720961614903977</v>
      </c>
      <c r="G145" s="94">
        <f t="shared" si="48"/>
        <v>10</v>
      </c>
      <c r="H145" s="295">
        <f t="shared" si="30"/>
        <v>67.795200000000008</v>
      </c>
      <c r="I145" s="25">
        <f t="shared" si="49"/>
        <v>117.42473090929356</v>
      </c>
      <c r="J145" s="52">
        <f t="shared" si="50"/>
        <v>25</v>
      </c>
      <c r="K145" s="25">
        <f t="shared" si="31"/>
        <v>207.5</v>
      </c>
      <c r="L145" s="677">
        <f t="shared" si="32"/>
        <v>43</v>
      </c>
      <c r="M145" s="720">
        <f t="shared" si="51"/>
        <v>5.3581395348837209</v>
      </c>
      <c r="N145" s="687">
        <f t="shared" si="52"/>
        <v>0.32148837209302322</v>
      </c>
      <c r="O145" s="707">
        <f t="shared" si="53"/>
        <v>0.21432558139534885</v>
      </c>
      <c r="P145" s="693">
        <f t="shared" si="54"/>
        <v>0.85277439275285305</v>
      </c>
      <c r="Q145" s="694">
        <f t="shared" si="55"/>
        <v>0.56851626183523551</v>
      </c>
      <c r="R145" s="693">
        <f t="shared" si="56"/>
        <v>15.516288484471193</v>
      </c>
      <c r="S145" s="687">
        <f t="shared" si="57"/>
        <v>12.9</v>
      </c>
      <c r="T145" s="647">
        <f t="shared" si="58"/>
        <v>148.51698248592663</v>
      </c>
      <c r="U145" s="707">
        <f t="shared" si="59"/>
        <v>49.505660828642213</v>
      </c>
      <c r="V145" s="691"/>
      <c r="W145" s="683">
        <f t="shared" si="60"/>
        <v>0</v>
      </c>
      <c r="X145" s="25">
        <f t="shared" si="61"/>
        <v>0</v>
      </c>
      <c r="Y145" s="1"/>
    </row>
    <row r="146" spans="1:25" s="658" customFormat="1" ht="18">
      <c r="A146" s="651">
        <f t="shared" si="44"/>
        <v>60</v>
      </c>
      <c r="B146" s="652">
        <v>2.4</v>
      </c>
      <c r="C146" s="653">
        <f t="shared" si="45"/>
        <v>144</v>
      </c>
      <c r="D146" s="654">
        <v>250</v>
      </c>
      <c r="E146" s="653">
        <f t="shared" si="46"/>
        <v>480</v>
      </c>
      <c r="F146" s="655">
        <f t="shared" si="47"/>
        <v>63.749092223021186</v>
      </c>
      <c r="G146" s="652">
        <f t="shared" si="48"/>
        <v>10</v>
      </c>
      <c r="H146" s="656">
        <f t="shared" si="30"/>
        <v>67.795200000000008</v>
      </c>
      <c r="I146" s="655">
        <f t="shared" si="49"/>
        <v>117.42473090929356</v>
      </c>
      <c r="J146" s="657">
        <f t="shared" si="50"/>
        <v>25</v>
      </c>
      <c r="K146" s="655">
        <f t="shared" si="31"/>
        <v>259.375</v>
      </c>
      <c r="L146" s="679">
        <f t="shared" si="32"/>
        <v>53</v>
      </c>
      <c r="M146" s="720">
        <f t="shared" si="51"/>
        <v>4.3471698113207546</v>
      </c>
      <c r="N146" s="687">
        <f t="shared" si="52"/>
        <v>0.26083018867924529</v>
      </c>
      <c r="O146" s="707">
        <f t="shared" si="53"/>
        <v>0.1738867924528302</v>
      </c>
      <c r="P146" s="693">
        <f t="shared" si="54"/>
        <v>0.69187356393156019</v>
      </c>
      <c r="Q146" s="694">
        <f t="shared" si="55"/>
        <v>0.46124904262104011</v>
      </c>
      <c r="R146" s="693">
        <f t="shared" si="56"/>
        <v>19.124727666906356</v>
      </c>
      <c r="S146" s="687">
        <f t="shared" si="57"/>
        <v>15.9</v>
      </c>
      <c r="T146" s="647">
        <f t="shared" si="58"/>
        <v>183.05581562218865</v>
      </c>
      <c r="U146" s="707">
        <f t="shared" si="59"/>
        <v>61.018605207396213</v>
      </c>
      <c r="V146" s="692">
        <f>0.12*F146</f>
        <v>7.6498910667625424</v>
      </c>
      <c r="W146" s="683">
        <f t="shared" si="60"/>
        <v>6.3600000000000012</v>
      </c>
      <c r="X146" s="25">
        <f t="shared" si="61"/>
        <v>73.222326248875461</v>
      </c>
      <c r="Y146" s="23">
        <f>X146/3</f>
        <v>24.407442082958486</v>
      </c>
    </row>
    <row r="147" spans="1:25" ht="18">
      <c r="A147" s="72">
        <f t="shared" si="44"/>
        <v>60</v>
      </c>
      <c r="B147" s="15">
        <v>2.4</v>
      </c>
      <c r="C147" s="66">
        <f t="shared" si="45"/>
        <v>144</v>
      </c>
      <c r="D147" s="68">
        <v>300</v>
      </c>
      <c r="E147" s="66">
        <f t="shared" si="46"/>
        <v>480</v>
      </c>
      <c r="F147" s="45">
        <f t="shared" si="47"/>
        <v>76.980035891950109</v>
      </c>
      <c r="G147" s="94">
        <f t="shared" si="48"/>
        <v>10</v>
      </c>
      <c r="H147" s="295">
        <f t="shared" si="30"/>
        <v>67.795200000000008</v>
      </c>
      <c r="I147" s="25">
        <f t="shared" si="49"/>
        <v>117.42473090929356</v>
      </c>
      <c r="J147" s="52">
        <f t="shared" si="50"/>
        <v>25</v>
      </c>
      <c r="K147" s="25">
        <f t="shared" si="31"/>
        <v>311.25</v>
      </c>
      <c r="L147" s="677">
        <f t="shared" si="32"/>
        <v>64</v>
      </c>
      <c r="M147" s="720">
        <f t="shared" si="51"/>
        <v>3.6</v>
      </c>
      <c r="N147" s="687">
        <f t="shared" si="52"/>
        <v>0.216</v>
      </c>
      <c r="O147" s="707">
        <f t="shared" si="53"/>
        <v>0.14400000000000002</v>
      </c>
      <c r="P147" s="693">
        <f t="shared" si="54"/>
        <v>0.57295779513082323</v>
      </c>
      <c r="Q147" s="694">
        <f t="shared" si="55"/>
        <v>0.38197186342054884</v>
      </c>
      <c r="R147" s="693">
        <f t="shared" si="56"/>
        <v>23.094010767585033</v>
      </c>
      <c r="S147" s="687">
        <f t="shared" si="57"/>
        <v>19.2</v>
      </c>
      <c r="T147" s="647">
        <f t="shared" si="58"/>
        <v>221.04853207207682</v>
      </c>
      <c r="U147" s="707">
        <f t="shared" si="59"/>
        <v>73.682844024025613</v>
      </c>
      <c r="V147" s="691"/>
      <c r="W147" s="683">
        <f t="shared" si="60"/>
        <v>0</v>
      </c>
      <c r="X147" s="25">
        <f t="shared" si="61"/>
        <v>0</v>
      </c>
      <c r="Y147" s="1"/>
    </row>
    <row r="148" spans="1:25" s="658" customFormat="1" ht="18">
      <c r="A148" s="659">
        <f t="shared" si="44"/>
        <v>60</v>
      </c>
      <c r="B148" s="660">
        <v>2.4</v>
      </c>
      <c r="C148" s="661">
        <f t="shared" si="45"/>
        <v>144</v>
      </c>
      <c r="D148" s="662">
        <v>350</v>
      </c>
      <c r="E148" s="661">
        <f t="shared" si="46"/>
        <v>480</v>
      </c>
      <c r="F148" s="663">
        <f t="shared" si="47"/>
        <v>89.008166500067304</v>
      </c>
      <c r="G148" s="660">
        <f t="shared" si="48"/>
        <v>10</v>
      </c>
      <c r="H148" s="664">
        <f t="shared" si="30"/>
        <v>67.795200000000008</v>
      </c>
      <c r="I148" s="663">
        <f t="shared" si="49"/>
        <v>117.42473090929356</v>
      </c>
      <c r="J148" s="665">
        <f t="shared" si="50"/>
        <v>25</v>
      </c>
      <c r="K148" s="663">
        <f t="shared" si="31"/>
        <v>363.125</v>
      </c>
      <c r="L148" s="680">
        <f t="shared" si="32"/>
        <v>74</v>
      </c>
      <c r="M148" s="720">
        <f t="shared" si="51"/>
        <v>3.1135135135135137</v>
      </c>
      <c r="N148" s="687">
        <f t="shared" si="52"/>
        <v>0.1868108108108108</v>
      </c>
      <c r="O148" s="707">
        <f t="shared" si="53"/>
        <v>0.12454054054054055</v>
      </c>
      <c r="P148" s="693">
        <f t="shared" si="54"/>
        <v>0.49553106605909036</v>
      </c>
      <c r="Q148" s="694">
        <f t="shared" si="55"/>
        <v>0.33035404403939361</v>
      </c>
      <c r="R148" s="693">
        <f t="shared" si="56"/>
        <v>26.702449950020192</v>
      </c>
      <c r="S148" s="687">
        <f t="shared" si="57"/>
        <v>22.2</v>
      </c>
      <c r="T148" s="647">
        <f t="shared" si="58"/>
        <v>255.58736520833887</v>
      </c>
      <c r="U148" s="707">
        <f t="shared" si="59"/>
        <v>85.195788402779627</v>
      </c>
      <c r="V148" s="692">
        <f>0.12*F148</f>
        <v>10.680979980008075</v>
      </c>
      <c r="W148" s="683">
        <f t="shared" si="60"/>
        <v>8.879999999999999</v>
      </c>
      <c r="X148" s="25">
        <f t="shared" si="61"/>
        <v>102.23494608333553</v>
      </c>
      <c r="Y148" s="23">
        <f>X148/3</f>
        <v>34.078315361111841</v>
      </c>
    </row>
    <row r="149" spans="1:25" ht="18">
      <c r="A149" s="98">
        <f t="shared" si="44"/>
        <v>60</v>
      </c>
      <c r="B149" s="99">
        <v>2.4</v>
      </c>
      <c r="C149" s="100">
        <f t="shared" si="45"/>
        <v>144</v>
      </c>
      <c r="D149" s="101">
        <v>400</v>
      </c>
      <c r="E149" s="100">
        <f t="shared" si="46"/>
        <v>480</v>
      </c>
      <c r="F149" s="102">
        <f t="shared" si="47"/>
        <v>102.23911016899623</v>
      </c>
      <c r="G149" s="103">
        <f t="shared" si="48"/>
        <v>10</v>
      </c>
      <c r="H149" s="296">
        <f t="shared" si="30"/>
        <v>67.795200000000008</v>
      </c>
      <c r="I149" s="104">
        <f t="shared" si="49"/>
        <v>117.42473090929356</v>
      </c>
      <c r="J149" s="180">
        <f t="shared" si="50"/>
        <v>25</v>
      </c>
      <c r="K149" s="104">
        <f t="shared" si="31"/>
        <v>415</v>
      </c>
      <c r="L149" s="678">
        <f t="shared" si="32"/>
        <v>85</v>
      </c>
      <c r="M149" s="720">
        <f t="shared" si="51"/>
        <v>2.7105882352941175</v>
      </c>
      <c r="N149" s="687">
        <f t="shared" si="52"/>
        <v>0.16263529411764704</v>
      </c>
      <c r="O149" s="707">
        <f t="shared" si="53"/>
        <v>0.1084235294117647</v>
      </c>
      <c r="P149" s="693">
        <f t="shared" si="54"/>
        <v>0.43140351633379626</v>
      </c>
      <c r="Q149" s="694">
        <f t="shared" si="55"/>
        <v>0.28760234422253089</v>
      </c>
      <c r="R149" s="693">
        <f t="shared" si="56"/>
        <v>30.671733050698869</v>
      </c>
      <c r="S149" s="687">
        <f t="shared" si="57"/>
        <v>25.499999999999996</v>
      </c>
      <c r="T149" s="647">
        <f t="shared" si="58"/>
        <v>293.58008165822707</v>
      </c>
      <c r="U149" s="707">
        <f t="shared" si="59"/>
        <v>97.860027219409019</v>
      </c>
      <c r="V149" s="691"/>
      <c r="W149" s="683">
        <f t="shared" si="60"/>
        <v>0</v>
      </c>
      <c r="X149" s="25">
        <f t="shared" si="61"/>
        <v>0</v>
      </c>
      <c r="Y149" s="1"/>
    </row>
    <row r="150" spans="1:25" ht="18">
      <c r="A150" s="72">
        <f t="shared" si="44"/>
        <v>60</v>
      </c>
      <c r="B150" s="15">
        <v>2.4</v>
      </c>
      <c r="C150" s="66">
        <f t="shared" si="45"/>
        <v>144</v>
      </c>
      <c r="D150" s="68">
        <v>450</v>
      </c>
      <c r="E150" s="66">
        <f t="shared" si="46"/>
        <v>480</v>
      </c>
      <c r="F150" s="45">
        <f t="shared" si="47"/>
        <v>114.26724077711343</v>
      </c>
      <c r="G150" s="94">
        <f t="shared" si="48"/>
        <v>10</v>
      </c>
      <c r="H150" s="295">
        <f t="shared" si="30"/>
        <v>67.795200000000008</v>
      </c>
      <c r="I150" s="25">
        <f t="shared" si="49"/>
        <v>117.42473090929356</v>
      </c>
      <c r="J150" s="52">
        <f t="shared" si="50"/>
        <v>25</v>
      </c>
      <c r="K150" s="25">
        <f t="shared" si="31"/>
        <v>466.875</v>
      </c>
      <c r="L150" s="677">
        <f t="shared" si="32"/>
        <v>95</v>
      </c>
      <c r="M150" s="720">
        <f t="shared" si="51"/>
        <v>2.425263157894737</v>
      </c>
      <c r="N150" s="687">
        <f t="shared" si="52"/>
        <v>0.14551578947368421</v>
      </c>
      <c r="O150" s="707">
        <f t="shared" si="53"/>
        <v>9.7010526315789478E-2</v>
      </c>
      <c r="P150" s="693">
        <f t="shared" si="54"/>
        <v>0.38599261987760725</v>
      </c>
      <c r="Q150" s="694">
        <f t="shared" si="55"/>
        <v>0.25732841325173816</v>
      </c>
      <c r="R150" s="693">
        <f t="shared" si="56"/>
        <v>34.280172233134024</v>
      </c>
      <c r="S150" s="687">
        <f t="shared" si="57"/>
        <v>28.499999999999993</v>
      </c>
      <c r="T150" s="647">
        <f t="shared" si="58"/>
        <v>328.11891479448906</v>
      </c>
      <c r="U150" s="707">
        <f t="shared" si="59"/>
        <v>109.37297159816302</v>
      </c>
      <c r="V150" s="691"/>
      <c r="W150" s="683">
        <f t="shared" si="60"/>
        <v>0</v>
      </c>
      <c r="X150" s="25">
        <f t="shared" si="61"/>
        <v>0</v>
      </c>
      <c r="Y150" s="1"/>
    </row>
    <row r="151" spans="1:25" s="671" customFormat="1" ht="18">
      <c r="A151" s="666">
        <f t="shared" si="44"/>
        <v>60</v>
      </c>
      <c r="B151" s="667">
        <v>2.4</v>
      </c>
      <c r="C151" s="666">
        <f t="shared" si="45"/>
        <v>144</v>
      </c>
      <c r="D151" s="667">
        <v>500</v>
      </c>
      <c r="E151" s="666">
        <f t="shared" si="46"/>
        <v>480</v>
      </c>
      <c r="F151" s="668">
        <f t="shared" si="47"/>
        <v>127.49818444604237</v>
      </c>
      <c r="G151" s="667">
        <f t="shared" si="48"/>
        <v>10</v>
      </c>
      <c r="H151" s="669">
        <f t="shared" si="30"/>
        <v>67.795200000000008</v>
      </c>
      <c r="I151" s="668">
        <f t="shared" si="49"/>
        <v>117.42473090929356</v>
      </c>
      <c r="J151" s="670">
        <f t="shared" si="50"/>
        <v>25</v>
      </c>
      <c r="K151" s="668">
        <f t="shared" si="31"/>
        <v>518.75</v>
      </c>
      <c r="L151" s="681">
        <f t="shared" si="32"/>
        <v>106</v>
      </c>
      <c r="M151" s="720">
        <f t="shared" si="51"/>
        <v>2.1735849056603773</v>
      </c>
      <c r="N151" s="687">
        <f t="shared" si="52"/>
        <v>0.13041509433962264</v>
      </c>
      <c r="O151" s="707">
        <f t="shared" si="53"/>
        <v>8.6943396226415101E-2</v>
      </c>
      <c r="P151" s="693">
        <f t="shared" si="54"/>
        <v>0.34593678196578009</v>
      </c>
      <c r="Q151" s="694">
        <f t="shared" si="55"/>
        <v>0.23062452131052005</v>
      </c>
      <c r="R151" s="693">
        <f t="shared" si="56"/>
        <v>38.249455333812712</v>
      </c>
      <c r="S151" s="687">
        <f t="shared" si="57"/>
        <v>31.8</v>
      </c>
      <c r="T151" s="647">
        <f t="shared" si="58"/>
        <v>366.11163124437729</v>
      </c>
      <c r="U151" s="707">
        <f t="shared" si="59"/>
        <v>122.03721041479243</v>
      </c>
      <c r="V151" s="692">
        <f>0.12*F151</f>
        <v>15.299782133525085</v>
      </c>
      <c r="W151" s="683">
        <f t="shared" si="60"/>
        <v>12.720000000000002</v>
      </c>
      <c r="X151" s="25">
        <f t="shared" si="61"/>
        <v>146.44465249775092</v>
      </c>
      <c r="Y151" s="23">
        <f>X151/3</f>
        <v>48.814884165916972</v>
      </c>
    </row>
    <row r="152" spans="1:25" ht="18">
      <c r="A152" s="98">
        <f t="shared" si="44"/>
        <v>60</v>
      </c>
      <c r="B152" s="99">
        <v>2.4</v>
      </c>
      <c r="C152" s="100">
        <f t="shared" si="45"/>
        <v>144</v>
      </c>
      <c r="D152" s="101">
        <v>600</v>
      </c>
      <c r="E152" s="100">
        <f t="shared" si="46"/>
        <v>480</v>
      </c>
      <c r="F152" s="102">
        <f t="shared" si="47"/>
        <v>152.75725872308848</v>
      </c>
      <c r="G152" s="103">
        <f t="shared" si="48"/>
        <v>10</v>
      </c>
      <c r="H152" s="296">
        <f t="shared" si="30"/>
        <v>67.795200000000008</v>
      </c>
      <c r="I152" s="104">
        <f t="shared" si="49"/>
        <v>117.42473090929356</v>
      </c>
      <c r="J152" s="180">
        <f t="shared" si="50"/>
        <v>25</v>
      </c>
      <c r="K152" s="104">
        <f t="shared" si="31"/>
        <v>622.5</v>
      </c>
      <c r="L152" s="678">
        <f t="shared" si="32"/>
        <v>127</v>
      </c>
      <c r="M152" s="720">
        <f t="shared" si="51"/>
        <v>1.8141732283464567</v>
      </c>
      <c r="N152" s="687">
        <f t="shared" si="52"/>
        <v>0.10885039370078739</v>
      </c>
      <c r="O152" s="707">
        <f t="shared" si="53"/>
        <v>7.2566929133858274E-2</v>
      </c>
      <c r="P152" s="693">
        <f t="shared" si="54"/>
        <v>0.2887346369163204</v>
      </c>
      <c r="Q152" s="694">
        <f t="shared" si="55"/>
        <v>0.19248975794421358</v>
      </c>
      <c r="R152" s="693">
        <f t="shared" si="56"/>
        <v>45.827177616926541</v>
      </c>
      <c r="S152" s="687">
        <f t="shared" si="57"/>
        <v>38.099999999999994</v>
      </c>
      <c r="T152" s="647">
        <f t="shared" si="58"/>
        <v>438.64318083052746</v>
      </c>
      <c r="U152" s="707">
        <f t="shared" si="59"/>
        <v>146.21439361017582</v>
      </c>
      <c r="V152" s="691"/>
      <c r="W152" s="683">
        <f t="shared" si="60"/>
        <v>0</v>
      </c>
      <c r="X152" s="25">
        <f t="shared" si="61"/>
        <v>0</v>
      </c>
      <c r="Y152" s="1"/>
    </row>
    <row r="153" spans="1:25" ht="18">
      <c r="A153" s="72">
        <f t="shared" si="44"/>
        <v>60</v>
      </c>
      <c r="B153" s="15">
        <v>2.4</v>
      </c>
      <c r="C153" s="66">
        <f t="shared" si="45"/>
        <v>144</v>
      </c>
      <c r="D153" s="68">
        <v>700</v>
      </c>
      <c r="E153" s="66">
        <f t="shared" si="46"/>
        <v>480</v>
      </c>
      <c r="F153" s="45">
        <f t="shared" si="47"/>
        <v>178.01633300013461</v>
      </c>
      <c r="G153" s="94">
        <f t="shared" si="48"/>
        <v>10</v>
      </c>
      <c r="H153" s="295">
        <f t="shared" si="30"/>
        <v>67.795200000000008</v>
      </c>
      <c r="I153" s="25">
        <f t="shared" si="49"/>
        <v>117.42473090929356</v>
      </c>
      <c r="J153" s="52">
        <f t="shared" si="50"/>
        <v>25</v>
      </c>
      <c r="K153" s="25">
        <f t="shared" si="31"/>
        <v>726.25</v>
      </c>
      <c r="L153" s="677">
        <f t="shared" si="32"/>
        <v>148</v>
      </c>
      <c r="M153" s="720">
        <f t="shared" si="51"/>
        <v>1.5567567567567568</v>
      </c>
      <c r="N153" s="687">
        <f t="shared" si="52"/>
        <v>9.3405405405405401E-2</v>
      </c>
      <c r="O153" s="707">
        <f t="shared" si="53"/>
        <v>6.2270270270270274E-2</v>
      </c>
      <c r="P153" s="693">
        <f t="shared" si="54"/>
        <v>0.24776553302954518</v>
      </c>
      <c r="Q153" s="694">
        <f t="shared" si="55"/>
        <v>0.16517702201969681</v>
      </c>
      <c r="R153" s="693">
        <f t="shared" si="56"/>
        <v>53.404899900040384</v>
      </c>
      <c r="S153" s="687">
        <f t="shared" si="57"/>
        <v>44.4</v>
      </c>
      <c r="T153" s="647">
        <f t="shared" si="58"/>
        <v>511.17473041667773</v>
      </c>
      <c r="U153" s="707">
        <f t="shared" si="59"/>
        <v>170.39157680555925</v>
      </c>
      <c r="V153" s="691"/>
      <c r="W153" s="683">
        <f t="shared" si="60"/>
        <v>0</v>
      </c>
      <c r="X153" s="25">
        <f t="shared" si="61"/>
        <v>0</v>
      </c>
      <c r="Y153" s="1"/>
    </row>
    <row r="154" spans="1:25" ht="18">
      <c r="A154" s="72">
        <f t="shared" si="44"/>
        <v>60</v>
      </c>
      <c r="B154" s="15">
        <v>2.4</v>
      </c>
      <c r="C154" s="66">
        <f t="shared" si="45"/>
        <v>144</v>
      </c>
      <c r="D154" s="68">
        <v>800</v>
      </c>
      <c r="E154" s="66">
        <f t="shared" si="46"/>
        <v>480</v>
      </c>
      <c r="F154" s="45">
        <f t="shared" si="47"/>
        <v>203.27540727718073</v>
      </c>
      <c r="G154" s="94">
        <f t="shared" si="48"/>
        <v>10</v>
      </c>
      <c r="H154" s="295">
        <f t="shared" si="30"/>
        <v>67.795200000000008</v>
      </c>
      <c r="I154" s="25">
        <f t="shared" si="49"/>
        <v>117.42473090929356</v>
      </c>
      <c r="J154" s="52">
        <f t="shared" si="50"/>
        <v>25</v>
      </c>
      <c r="K154" s="25">
        <f t="shared" si="31"/>
        <v>830</v>
      </c>
      <c r="L154" s="677">
        <f t="shared" si="32"/>
        <v>169</v>
      </c>
      <c r="M154" s="720">
        <f t="shared" si="51"/>
        <v>1.3633136094674558</v>
      </c>
      <c r="N154" s="687">
        <f t="shared" si="52"/>
        <v>8.1798816568047342E-2</v>
      </c>
      <c r="O154" s="707">
        <f t="shared" si="53"/>
        <v>5.4532544378698235E-2</v>
      </c>
      <c r="P154" s="693">
        <f t="shared" si="54"/>
        <v>0.21697809993119932</v>
      </c>
      <c r="Q154" s="694">
        <f t="shared" si="55"/>
        <v>0.14465206662079957</v>
      </c>
      <c r="R154" s="693">
        <f t="shared" si="56"/>
        <v>60.98262218315422</v>
      </c>
      <c r="S154" s="687">
        <f t="shared" si="57"/>
        <v>50.699999999999996</v>
      </c>
      <c r="T154" s="647">
        <f t="shared" si="58"/>
        <v>583.70628000282795</v>
      </c>
      <c r="U154" s="707">
        <f t="shared" si="59"/>
        <v>194.56876000094266</v>
      </c>
      <c r="V154" s="691"/>
      <c r="W154" s="683">
        <f t="shared" si="60"/>
        <v>0</v>
      </c>
      <c r="X154" s="25">
        <f t="shared" si="61"/>
        <v>0</v>
      </c>
      <c r="Y154" s="1"/>
    </row>
    <row r="155" spans="1:25" ht="18">
      <c r="A155" s="98">
        <f t="shared" si="44"/>
        <v>60</v>
      </c>
      <c r="B155" s="99">
        <v>2.4</v>
      </c>
      <c r="C155" s="100">
        <f t="shared" si="45"/>
        <v>144</v>
      </c>
      <c r="D155" s="101">
        <v>900</v>
      </c>
      <c r="E155" s="100">
        <f t="shared" si="46"/>
        <v>480</v>
      </c>
      <c r="F155" s="102">
        <f t="shared" si="47"/>
        <v>228.53448155422686</v>
      </c>
      <c r="G155" s="103">
        <f t="shared" si="48"/>
        <v>10</v>
      </c>
      <c r="H155" s="296">
        <f t="shared" si="30"/>
        <v>67.795200000000008</v>
      </c>
      <c r="I155" s="104">
        <f t="shared" si="49"/>
        <v>117.42473090929356</v>
      </c>
      <c r="J155" s="180">
        <f t="shared" si="50"/>
        <v>25</v>
      </c>
      <c r="K155" s="104">
        <f t="shared" si="31"/>
        <v>933.75</v>
      </c>
      <c r="L155" s="678">
        <f t="shared" si="32"/>
        <v>190</v>
      </c>
      <c r="M155" s="720">
        <f t="shared" si="51"/>
        <v>1.2126315789473685</v>
      </c>
      <c r="N155" s="687">
        <f t="shared" si="52"/>
        <v>7.2757894736842105E-2</v>
      </c>
      <c r="O155" s="707">
        <f t="shared" si="53"/>
        <v>4.8505263157894739E-2</v>
      </c>
      <c r="P155" s="693">
        <f t="shared" si="54"/>
        <v>0.19299630993880362</v>
      </c>
      <c r="Q155" s="694">
        <f t="shared" si="55"/>
        <v>0.12866420662586908</v>
      </c>
      <c r="R155" s="693">
        <f t="shared" si="56"/>
        <v>68.560344466268049</v>
      </c>
      <c r="S155" s="687">
        <f t="shared" si="57"/>
        <v>56.999999999999986</v>
      </c>
      <c r="T155" s="647">
        <f t="shared" si="58"/>
        <v>656.23782958897812</v>
      </c>
      <c r="U155" s="707">
        <f t="shared" si="59"/>
        <v>218.74594319632604</v>
      </c>
      <c r="V155" s="691"/>
      <c r="W155" s="683">
        <f t="shared" si="60"/>
        <v>0</v>
      </c>
      <c r="X155" s="25">
        <f t="shared" si="61"/>
        <v>0</v>
      </c>
      <c r="Y155" s="1"/>
    </row>
    <row r="156" spans="1:25" ht="18">
      <c r="A156" s="72">
        <f t="shared" si="44"/>
        <v>60</v>
      </c>
      <c r="B156" s="15">
        <v>2.4</v>
      </c>
      <c r="C156" s="66">
        <f t="shared" si="45"/>
        <v>144</v>
      </c>
      <c r="D156" s="68">
        <v>1000</v>
      </c>
      <c r="E156" s="66">
        <f t="shared" si="46"/>
        <v>480</v>
      </c>
      <c r="F156" s="45">
        <f t="shared" si="47"/>
        <v>254.99636889208475</v>
      </c>
      <c r="G156" s="94">
        <f t="shared" si="48"/>
        <v>10</v>
      </c>
      <c r="H156" s="295">
        <f t="shared" si="30"/>
        <v>67.795200000000008</v>
      </c>
      <c r="I156" s="25">
        <f t="shared" si="49"/>
        <v>117.42473090929356</v>
      </c>
      <c r="J156" s="52">
        <f t="shared" si="50"/>
        <v>25</v>
      </c>
      <c r="K156" s="25">
        <f t="shared" si="31"/>
        <v>1037.5</v>
      </c>
      <c r="L156" s="677">
        <f t="shared" si="32"/>
        <v>212</v>
      </c>
      <c r="M156" s="720">
        <f t="shared" si="51"/>
        <v>1.0867924528301887</v>
      </c>
      <c r="N156" s="687">
        <f t="shared" si="52"/>
        <v>6.5207547169811322E-2</v>
      </c>
      <c r="O156" s="707">
        <f t="shared" si="53"/>
        <v>4.3471698113207551E-2</v>
      </c>
      <c r="P156" s="693">
        <f t="shared" si="54"/>
        <v>0.17296839098289005</v>
      </c>
      <c r="Q156" s="694">
        <f t="shared" si="55"/>
        <v>0.11531226065526003</v>
      </c>
      <c r="R156" s="693">
        <f t="shared" si="56"/>
        <v>76.498910667625424</v>
      </c>
      <c r="S156" s="687">
        <f t="shared" si="57"/>
        <v>63.6</v>
      </c>
      <c r="T156" s="647">
        <f t="shared" si="58"/>
        <v>732.22326248875459</v>
      </c>
      <c r="U156" s="707">
        <f t="shared" si="59"/>
        <v>244.07442082958485</v>
      </c>
      <c r="V156" s="691"/>
      <c r="W156" s="683">
        <f t="shared" si="60"/>
        <v>0</v>
      </c>
      <c r="X156" s="25">
        <f t="shared" si="61"/>
        <v>0</v>
      </c>
      <c r="Y156" s="1"/>
    </row>
    <row r="157" spans="1:25" ht="18">
      <c r="A157" s="72">
        <f t="shared" si="44"/>
        <v>60</v>
      </c>
      <c r="B157" s="15">
        <v>2.4</v>
      </c>
      <c r="C157" s="66">
        <f t="shared" si="45"/>
        <v>144</v>
      </c>
      <c r="D157" s="68">
        <v>1100</v>
      </c>
      <c r="E157" s="66">
        <f t="shared" si="46"/>
        <v>480</v>
      </c>
      <c r="F157" s="45">
        <f t="shared" si="47"/>
        <v>280.25544316913084</v>
      </c>
      <c r="G157" s="94">
        <f t="shared" si="48"/>
        <v>10</v>
      </c>
      <c r="H157" s="295">
        <f t="shared" si="30"/>
        <v>67.795200000000008</v>
      </c>
      <c r="I157" s="25">
        <f t="shared" si="49"/>
        <v>117.42473090929356</v>
      </c>
      <c r="J157" s="52">
        <f t="shared" si="50"/>
        <v>25</v>
      </c>
      <c r="K157" s="25">
        <f t="shared" si="31"/>
        <v>1141.25</v>
      </c>
      <c r="L157" s="677">
        <f t="shared" si="32"/>
        <v>233</v>
      </c>
      <c r="M157" s="720">
        <f t="shared" si="51"/>
        <v>0.98884120171673817</v>
      </c>
      <c r="N157" s="687">
        <f t="shared" si="52"/>
        <v>5.9330472103004288E-2</v>
      </c>
      <c r="O157" s="707">
        <f t="shared" si="53"/>
        <v>3.9553648068669525E-2</v>
      </c>
      <c r="P157" s="693">
        <f t="shared" si="54"/>
        <v>0.15737896518614886</v>
      </c>
      <c r="Q157" s="694">
        <f t="shared" si="55"/>
        <v>0.10491931012409925</v>
      </c>
      <c r="R157" s="693">
        <f t="shared" si="56"/>
        <v>84.076632950739253</v>
      </c>
      <c r="S157" s="687">
        <f t="shared" si="57"/>
        <v>69.900000000000006</v>
      </c>
      <c r="T157" s="647">
        <f t="shared" si="58"/>
        <v>804.75481207490486</v>
      </c>
      <c r="U157" s="707">
        <f t="shared" si="59"/>
        <v>268.25160402496829</v>
      </c>
      <c r="V157" s="691"/>
      <c r="W157" s="683">
        <f t="shared" si="60"/>
        <v>0</v>
      </c>
      <c r="X157" s="25">
        <f t="shared" si="61"/>
        <v>0</v>
      </c>
      <c r="Y157" s="1"/>
    </row>
    <row r="158" spans="1:25" ht="18.75" thickBot="1">
      <c r="A158" s="253">
        <f t="shared" si="44"/>
        <v>60</v>
      </c>
      <c r="B158" s="254">
        <v>2.4</v>
      </c>
      <c r="C158" s="258">
        <f t="shared" si="45"/>
        <v>144</v>
      </c>
      <c r="D158" s="259">
        <v>1200</v>
      </c>
      <c r="E158" s="258">
        <f t="shared" si="46"/>
        <v>480</v>
      </c>
      <c r="F158" s="260">
        <f t="shared" si="47"/>
        <v>305.51451744617697</v>
      </c>
      <c r="G158" s="261">
        <f t="shared" si="48"/>
        <v>10</v>
      </c>
      <c r="H158" s="297">
        <f t="shared" si="30"/>
        <v>67.795200000000008</v>
      </c>
      <c r="I158" s="264">
        <f t="shared" si="49"/>
        <v>117.42473090929356</v>
      </c>
      <c r="J158" s="265">
        <f t="shared" si="50"/>
        <v>25</v>
      </c>
      <c r="K158" s="264">
        <f t="shared" si="31"/>
        <v>1245</v>
      </c>
      <c r="L158" s="682">
        <f t="shared" si="32"/>
        <v>254</v>
      </c>
      <c r="M158" s="720">
        <f t="shared" si="51"/>
        <v>0.90708661417322833</v>
      </c>
      <c r="N158" s="687">
        <f t="shared" si="52"/>
        <v>5.4425196850393695E-2</v>
      </c>
      <c r="O158" s="707">
        <f t="shared" si="53"/>
        <v>3.6283464566929137E-2</v>
      </c>
      <c r="P158" s="693">
        <f t="shared" si="54"/>
        <v>0.1443673184581602</v>
      </c>
      <c r="Q158" s="694">
        <f t="shared" si="55"/>
        <v>9.624487897210679E-2</v>
      </c>
      <c r="R158" s="693">
        <f t="shared" si="56"/>
        <v>91.654355233853082</v>
      </c>
      <c r="S158" s="687">
        <f t="shared" si="57"/>
        <v>76.199999999999989</v>
      </c>
      <c r="T158" s="647">
        <f t="shared" si="58"/>
        <v>877.28636166105491</v>
      </c>
      <c r="U158" s="707">
        <f t="shared" si="59"/>
        <v>292.42878722035164</v>
      </c>
      <c r="V158" s="691"/>
      <c r="W158" s="683">
        <f t="shared" si="60"/>
        <v>0</v>
      </c>
      <c r="X158" s="25">
        <f t="shared" si="61"/>
        <v>0</v>
      </c>
      <c r="Y158" s="1"/>
    </row>
    <row r="159" spans="1:25">
      <c r="M159" s="628"/>
      <c r="N159" s="628"/>
      <c r="O159" s="628"/>
      <c r="P159" s="491"/>
    </row>
    <row r="160" spans="1:25" ht="18.75" thickBot="1">
      <c r="M160" s="628"/>
      <c r="N160" s="628"/>
      <c r="O160" s="628"/>
      <c r="P160" s="491"/>
      <c r="S160" s="671">
        <v>1.7</v>
      </c>
      <c r="T160" s="24">
        <f>S160*1000/480/480/120/PI()*10^6</f>
        <v>19.572005443881803</v>
      </c>
      <c r="U160" s="24">
        <f>T160/3</f>
        <v>6.524001814627268</v>
      </c>
    </row>
    <row r="161" spans="1:21" ht="16.5" thickBot="1">
      <c r="A161" s="95" t="s">
        <v>77</v>
      </c>
      <c r="B161" s="96"/>
      <c r="C161" s="44"/>
      <c r="D161" s="86"/>
      <c r="E161" s="86"/>
      <c r="F161" s="86"/>
      <c r="G161" s="87"/>
      <c r="H161" s="290" t="s">
        <v>102</v>
      </c>
      <c r="I161" s="42"/>
      <c r="J161" s="51"/>
      <c r="K161" s="42"/>
      <c r="L161" s="40"/>
      <c r="M161" s="628"/>
      <c r="N161" s="628"/>
      <c r="O161" s="628"/>
      <c r="P161" s="491"/>
    </row>
    <row r="162" spans="1:21" ht="13.5" thickBot="1">
      <c r="A162" s="97" t="s">
        <v>23</v>
      </c>
      <c r="B162" s="48"/>
      <c r="C162" s="189" t="s">
        <v>76</v>
      </c>
      <c r="D162" s="190"/>
      <c r="E162" s="189" t="s">
        <v>57</v>
      </c>
      <c r="F162" s="191"/>
      <c r="G162" s="192"/>
      <c r="H162" s="76"/>
      <c r="I162" s="90"/>
      <c r="J162" s="175"/>
      <c r="K162" s="90"/>
      <c r="L162" s="49"/>
      <c r="M162" s="628"/>
      <c r="N162" s="628"/>
      <c r="O162" s="628"/>
      <c r="P162" s="491"/>
    </row>
    <row r="163" spans="1:21" ht="15">
      <c r="A163" s="65">
        <v>72</v>
      </c>
      <c r="B163" s="67" t="s">
        <v>92</v>
      </c>
      <c r="C163" s="65" t="s">
        <v>93</v>
      </c>
      <c r="D163" s="67" t="s">
        <v>16</v>
      </c>
      <c r="E163" s="65" t="s">
        <v>54</v>
      </c>
      <c r="F163" s="18" t="s">
        <v>58</v>
      </c>
      <c r="G163" s="314" t="s">
        <v>55</v>
      </c>
      <c r="H163" s="65" t="s">
        <v>50</v>
      </c>
      <c r="I163" s="18" t="s">
        <v>51</v>
      </c>
      <c r="J163" s="73" t="s">
        <v>56</v>
      </c>
      <c r="K163" s="18" t="s">
        <v>28</v>
      </c>
      <c r="L163" s="156" t="s">
        <v>29</v>
      </c>
      <c r="N163" s="629">
        <v>0.05</v>
      </c>
      <c r="O163" s="629">
        <v>0.04</v>
      </c>
      <c r="P163" s="4" t="s">
        <v>254</v>
      </c>
      <c r="Q163" s="4" t="s">
        <v>255</v>
      </c>
      <c r="R163" s="455" t="s">
        <v>263</v>
      </c>
      <c r="S163" s="583" t="s">
        <v>261</v>
      </c>
    </row>
    <row r="164" spans="1:21" ht="16.5" thickBot="1">
      <c r="A164" s="187" t="s">
        <v>24</v>
      </c>
      <c r="B164" s="188" t="s">
        <v>53</v>
      </c>
      <c r="C164" s="306" t="s">
        <v>53</v>
      </c>
      <c r="D164" s="255" t="s">
        <v>22</v>
      </c>
      <c r="E164" s="187" t="s">
        <v>53</v>
      </c>
      <c r="F164" s="16" t="s">
        <v>22</v>
      </c>
      <c r="G164" s="194">
        <v>10</v>
      </c>
      <c r="H164" s="187" t="s">
        <v>42</v>
      </c>
      <c r="I164" s="16" t="s">
        <v>42</v>
      </c>
      <c r="J164" s="196">
        <v>25</v>
      </c>
      <c r="K164" s="16" t="s">
        <v>43</v>
      </c>
      <c r="L164" s="195" t="s">
        <v>44</v>
      </c>
      <c r="M164" s="625" t="s">
        <v>253</v>
      </c>
      <c r="N164" s="625" t="s">
        <v>253</v>
      </c>
      <c r="O164" s="625" t="s">
        <v>253</v>
      </c>
      <c r="P164" s="630" t="s">
        <v>256</v>
      </c>
      <c r="Q164" s="630" t="s">
        <v>256</v>
      </c>
      <c r="R164" s="641" t="s">
        <v>22</v>
      </c>
      <c r="S164" s="641" t="s">
        <v>262</v>
      </c>
    </row>
    <row r="165" spans="1:21">
      <c r="A165" s="70"/>
      <c r="B165" s="19"/>
      <c r="C165" s="65"/>
      <c r="D165" s="67"/>
      <c r="E165" s="65"/>
      <c r="F165" s="18"/>
      <c r="G165" s="19"/>
      <c r="H165" s="65"/>
      <c r="I165" s="18"/>
      <c r="J165" s="73"/>
      <c r="K165" s="18"/>
      <c r="L165" s="156"/>
    </row>
    <row r="166" spans="1:21">
      <c r="A166" s="72">
        <f>A$163/2</f>
        <v>36</v>
      </c>
      <c r="B166" s="15">
        <v>2.4</v>
      </c>
      <c r="C166" s="66">
        <f>A166*B166</f>
        <v>86.399999999999991</v>
      </c>
      <c r="D166" s="68">
        <v>5</v>
      </c>
      <c r="E166" s="66">
        <f>IF(L166*1000/120/SQRT(3)*1.5&lt;65,120,IF(L166*1000/208/SQRT(3)*1.5&lt;65,208,IF(L166*1000/240/SQRT(3)*1.5&lt;65,240,480)))</f>
        <v>120</v>
      </c>
      <c r="F166" s="45">
        <f>L166*1000/E166/SQRT(3)</f>
        <v>3.6084391824351614</v>
      </c>
      <c r="G166" s="94">
        <f>G$164</f>
        <v>10</v>
      </c>
      <c r="H166" s="295">
        <f>IF(C166&lt;87,0.428*(1+G166/100)*C166+2,0.428*(1+G166/100)*C166)</f>
        <v>42.677120000000002</v>
      </c>
      <c r="I166" s="25">
        <f>SQRT(3)*H166</f>
        <v>73.918940160713888</v>
      </c>
      <c r="J166" s="52">
        <f>J$164</f>
        <v>25</v>
      </c>
      <c r="K166" s="25">
        <f t="shared" ref="K166:K194" si="62">(1+J166/100)*D166*0.83</f>
        <v>5.1875</v>
      </c>
      <c r="L166" s="427">
        <f t="shared" ref="L166:L194" si="63">IF(CEILING(I166*K166*SQRT(3)/1000,0.25)&lt;10,CEILING(I166*K166*SQRT(3)/1000,0.25),IF(CEILING(I166*K166*SQRT(3)/1000,0.25)&lt;20,CEILING(I166*K166*SQRT(3)/1000,0.5),CEILING(I166*K166*SQRT(3)/1000,1)))</f>
        <v>0.75</v>
      </c>
      <c r="M166" s="628"/>
      <c r="N166" s="628"/>
      <c r="O166" s="628"/>
      <c r="P166" s="491"/>
      <c r="Q166" s="491"/>
      <c r="R166" s="491"/>
      <c r="S166" s="628"/>
      <c r="T166" s="24"/>
      <c r="U166" s="24"/>
    </row>
    <row r="167" spans="1:21">
      <c r="A167" s="98">
        <f t="shared" ref="A167:A194" si="64">A$163/2</f>
        <v>36</v>
      </c>
      <c r="B167" s="99">
        <v>2.4</v>
      </c>
      <c r="C167" s="100">
        <f t="shared" ref="C167:C194" si="65">A167*B167</f>
        <v>86.399999999999991</v>
      </c>
      <c r="D167" s="101">
        <v>10</v>
      </c>
      <c r="E167" s="100">
        <f t="shared" ref="E167:E194" si="66">IF(L167*1000/120/SQRT(3)*1.5&lt;65,120,IF(L167*1000/208/SQRT(3)*1.5&lt;65,208,IF(L167*1000/240/SQRT(3)*1.5&lt;65,240,480)))</f>
        <v>120</v>
      </c>
      <c r="F167" s="102">
        <f t="shared" ref="F167:F194" si="67">L167*1000/E167/SQRT(3)</f>
        <v>7.2168783648703227</v>
      </c>
      <c r="G167" s="103">
        <f t="shared" ref="G167:G194" si="68">G$164</f>
        <v>10</v>
      </c>
      <c r="H167" s="296">
        <f t="shared" ref="H167:H194" si="69">IF(C167&lt;87,0.428*(1+G167/100)*C167+2,0.428*(1+G167/100)*C167)</f>
        <v>42.677120000000002</v>
      </c>
      <c r="I167" s="104">
        <f t="shared" ref="I167:I194" si="70">SQRT(3)*H167</f>
        <v>73.918940160713888</v>
      </c>
      <c r="J167" s="180">
        <f t="shared" ref="J167:J194" si="71">J$164</f>
        <v>25</v>
      </c>
      <c r="K167" s="104">
        <f t="shared" si="62"/>
        <v>10.375</v>
      </c>
      <c r="L167" s="428">
        <f t="shared" si="63"/>
        <v>1.5</v>
      </c>
      <c r="M167" s="628"/>
      <c r="N167" s="628"/>
      <c r="O167" s="628"/>
      <c r="P167" s="491"/>
      <c r="Q167" s="491"/>
      <c r="R167" s="491"/>
      <c r="S167" s="628"/>
      <c r="T167" s="24"/>
      <c r="U167" s="24"/>
    </row>
    <row r="168" spans="1:21">
      <c r="A168" s="72">
        <f t="shared" si="64"/>
        <v>36</v>
      </c>
      <c r="B168" s="15">
        <v>2.4</v>
      </c>
      <c r="C168" s="66">
        <f t="shared" si="65"/>
        <v>86.399999999999991</v>
      </c>
      <c r="D168" s="68">
        <v>15</v>
      </c>
      <c r="E168" s="66">
        <f t="shared" si="66"/>
        <v>120</v>
      </c>
      <c r="F168" s="45">
        <f t="shared" si="67"/>
        <v>9.6225044864937637</v>
      </c>
      <c r="G168" s="94">
        <f t="shared" si="68"/>
        <v>10</v>
      </c>
      <c r="H168" s="295">
        <f t="shared" si="69"/>
        <v>42.677120000000002</v>
      </c>
      <c r="I168" s="25">
        <f t="shared" si="70"/>
        <v>73.918940160713888</v>
      </c>
      <c r="J168" s="52">
        <f t="shared" si="71"/>
        <v>25</v>
      </c>
      <c r="K168" s="25">
        <f t="shared" si="62"/>
        <v>15.5625</v>
      </c>
      <c r="L168" s="427">
        <f t="shared" si="63"/>
        <v>2</v>
      </c>
      <c r="M168" s="628"/>
      <c r="N168" s="628"/>
      <c r="O168" s="628"/>
      <c r="P168" s="491"/>
      <c r="Q168" s="491"/>
      <c r="R168" s="491"/>
      <c r="S168" s="628"/>
      <c r="T168" s="24"/>
      <c r="U168" s="24"/>
    </row>
    <row r="169" spans="1:21">
      <c r="A169" s="72">
        <f t="shared" si="64"/>
        <v>36</v>
      </c>
      <c r="B169" s="15">
        <v>2.4</v>
      </c>
      <c r="C169" s="66">
        <f t="shared" si="65"/>
        <v>86.399999999999991</v>
      </c>
      <c r="D169" s="68">
        <v>20</v>
      </c>
      <c r="E169" s="66">
        <f t="shared" si="66"/>
        <v>120</v>
      </c>
      <c r="F169" s="45">
        <f t="shared" si="67"/>
        <v>13.230943668928925</v>
      </c>
      <c r="G169" s="94">
        <f t="shared" si="68"/>
        <v>10</v>
      </c>
      <c r="H169" s="295">
        <f t="shared" si="69"/>
        <v>42.677120000000002</v>
      </c>
      <c r="I169" s="25">
        <f t="shared" si="70"/>
        <v>73.918940160713888</v>
      </c>
      <c r="J169" s="52">
        <f t="shared" si="71"/>
        <v>25</v>
      </c>
      <c r="K169" s="25">
        <f t="shared" si="62"/>
        <v>20.75</v>
      </c>
      <c r="L169" s="427">
        <f t="shared" si="63"/>
        <v>2.75</v>
      </c>
      <c r="M169" s="628"/>
      <c r="N169" s="628"/>
      <c r="O169" s="628"/>
      <c r="P169" s="491"/>
      <c r="Q169" s="491"/>
      <c r="R169" s="491"/>
      <c r="S169" s="628"/>
      <c r="T169" s="24"/>
      <c r="U169" s="24"/>
    </row>
    <row r="170" spans="1:21">
      <c r="A170" s="98">
        <f t="shared" si="64"/>
        <v>36</v>
      </c>
      <c r="B170" s="99">
        <v>2.4</v>
      </c>
      <c r="C170" s="100">
        <f t="shared" si="65"/>
        <v>86.399999999999991</v>
      </c>
      <c r="D170" s="101">
        <v>25</v>
      </c>
      <c r="E170" s="100">
        <f t="shared" si="66"/>
        <v>120</v>
      </c>
      <c r="F170" s="102">
        <f t="shared" si="67"/>
        <v>16.839382851364086</v>
      </c>
      <c r="G170" s="103">
        <f t="shared" si="68"/>
        <v>10</v>
      </c>
      <c r="H170" s="296">
        <f t="shared" si="69"/>
        <v>42.677120000000002</v>
      </c>
      <c r="I170" s="104">
        <f t="shared" si="70"/>
        <v>73.918940160713888</v>
      </c>
      <c r="J170" s="180">
        <f t="shared" si="71"/>
        <v>25</v>
      </c>
      <c r="K170" s="104">
        <f t="shared" si="62"/>
        <v>25.9375</v>
      </c>
      <c r="L170" s="428">
        <f t="shared" si="63"/>
        <v>3.5</v>
      </c>
      <c r="M170" s="628"/>
      <c r="N170" s="628"/>
      <c r="O170" s="628"/>
      <c r="P170" s="491"/>
      <c r="Q170" s="491"/>
      <c r="R170" s="491"/>
      <c r="S170" s="628"/>
      <c r="T170" s="24"/>
      <c r="U170" s="24"/>
    </row>
    <row r="171" spans="1:21">
      <c r="A171" s="72">
        <f t="shared" si="64"/>
        <v>36</v>
      </c>
      <c r="B171" s="15">
        <v>2.4</v>
      </c>
      <c r="C171" s="66">
        <f t="shared" si="65"/>
        <v>86.399999999999991</v>
      </c>
      <c r="D171" s="68">
        <v>30</v>
      </c>
      <c r="E171" s="66">
        <f t="shared" si="66"/>
        <v>120</v>
      </c>
      <c r="F171" s="45">
        <f t="shared" si="67"/>
        <v>19.245008972987527</v>
      </c>
      <c r="G171" s="94">
        <f t="shared" si="68"/>
        <v>10</v>
      </c>
      <c r="H171" s="295">
        <f t="shared" si="69"/>
        <v>42.677120000000002</v>
      </c>
      <c r="I171" s="25">
        <f t="shared" si="70"/>
        <v>73.918940160713888</v>
      </c>
      <c r="J171" s="52">
        <f t="shared" si="71"/>
        <v>25</v>
      </c>
      <c r="K171" s="25">
        <f t="shared" si="62"/>
        <v>31.125</v>
      </c>
      <c r="L171" s="427">
        <f t="shared" si="63"/>
        <v>4</v>
      </c>
      <c r="M171" s="628"/>
      <c r="N171" s="628"/>
      <c r="O171" s="628"/>
      <c r="P171" s="491"/>
      <c r="Q171" s="491"/>
      <c r="R171" s="491"/>
      <c r="S171" s="628"/>
      <c r="T171" s="24"/>
      <c r="U171" s="24"/>
    </row>
    <row r="172" spans="1:21">
      <c r="A172" s="72">
        <f t="shared" si="64"/>
        <v>36</v>
      </c>
      <c r="B172" s="15">
        <v>2.4</v>
      </c>
      <c r="C172" s="66">
        <f t="shared" si="65"/>
        <v>86.399999999999991</v>
      </c>
      <c r="D172" s="68">
        <v>35</v>
      </c>
      <c r="E172" s="66">
        <f t="shared" si="66"/>
        <v>120</v>
      </c>
      <c r="F172" s="45">
        <f t="shared" si="67"/>
        <v>22.85344815542269</v>
      </c>
      <c r="G172" s="94">
        <f t="shared" si="68"/>
        <v>10</v>
      </c>
      <c r="H172" s="295">
        <f t="shared" si="69"/>
        <v>42.677120000000002</v>
      </c>
      <c r="I172" s="25">
        <f t="shared" si="70"/>
        <v>73.918940160713888</v>
      </c>
      <c r="J172" s="52">
        <f t="shared" si="71"/>
        <v>25</v>
      </c>
      <c r="K172" s="25">
        <f t="shared" si="62"/>
        <v>36.3125</v>
      </c>
      <c r="L172" s="427">
        <f t="shared" si="63"/>
        <v>4.75</v>
      </c>
      <c r="M172" s="628"/>
      <c r="N172" s="628"/>
      <c r="O172" s="628"/>
      <c r="P172" s="491"/>
      <c r="Q172" s="491"/>
      <c r="R172" s="491"/>
      <c r="S172" s="628"/>
      <c r="T172" s="24"/>
      <c r="U172" s="24"/>
    </row>
    <row r="173" spans="1:21">
      <c r="A173" s="98">
        <f t="shared" si="64"/>
        <v>36</v>
      </c>
      <c r="B173" s="99">
        <v>2.4</v>
      </c>
      <c r="C173" s="100">
        <f t="shared" si="65"/>
        <v>86.399999999999991</v>
      </c>
      <c r="D173" s="101">
        <v>40</v>
      </c>
      <c r="E173" s="100">
        <f t="shared" si="66"/>
        <v>120</v>
      </c>
      <c r="F173" s="102">
        <f t="shared" si="67"/>
        <v>26.461887337857849</v>
      </c>
      <c r="G173" s="103">
        <f t="shared" si="68"/>
        <v>10</v>
      </c>
      <c r="H173" s="296">
        <f t="shared" si="69"/>
        <v>42.677120000000002</v>
      </c>
      <c r="I173" s="104">
        <f t="shared" si="70"/>
        <v>73.918940160713888</v>
      </c>
      <c r="J173" s="180">
        <f t="shared" si="71"/>
        <v>25</v>
      </c>
      <c r="K173" s="104">
        <f t="shared" si="62"/>
        <v>41.5</v>
      </c>
      <c r="L173" s="428">
        <f t="shared" si="63"/>
        <v>5.5</v>
      </c>
      <c r="M173" s="628"/>
      <c r="N173" s="628"/>
      <c r="O173" s="628"/>
      <c r="P173" s="491"/>
      <c r="Q173" s="491"/>
      <c r="R173" s="491"/>
      <c r="S173" s="628"/>
      <c r="T173" s="24"/>
      <c r="U173" s="24"/>
    </row>
    <row r="174" spans="1:21">
      <c r="A174" s="72">
        <f t="shared" si="64"/>
        <v>36</v>
      </c>
      <c r="B174" s="15">
        <v>2.4</v>
      </c>
      <c r="C174" s="66">
        <f t="shared" si="65"/>
        <v>86.399999999999991</v>
      </c>
      <c r="D174" s="68">
        <v>50</v>
      </c>
      <c r="E174" s="66">
        <f t="shared" si="66"/>
        <v>120</v>
      </c>
      <c r="F174" s="45">
        <f t="shared" si="67"/>
        <v>32.47595264191645</v>
      </c>
      <c r="G174" s="94">
        <f t="shared" si="68"/>
        <v>10</v>
      </c>
      <c r="H174" s="295">
        <f t="shared" si="69"/>
        <v>42.677120000000002</v>
      </c>
      <c r="I174" s="25">
        <f t="shared" si="70"/>
        <v>73.918940160713888</v>
      </c>
      <c r="J174" s="52">
        <f t="shared" si="71"/>
        <v>25</v>
      </c>
      <c r="K174" s="25">
        <f t="shared" si="62"/>
        <v>51.875</v>
      </c>
      <c r="L174" s="427">
        <f t="shared" si="63"/>
        <v>6.75</v>
      </c>
      <c r="M174" s="628"/>
      <c r="N174" s="628"/>
      <c r="O174" s="628"/>
      <c r="P174" s="491"/>
      <c r="Q174" s="491"/>
      <c r="R174" s="491"/>
      <c r="S174" s="628"/>
      <c r="T174" s="24"/>
      <c r="U174" s="24"/>
    </row>
    <row r="175" spans="1:21">
      <c r="A175" s="72">
        <f t="shared" si="64"/>
        <v>36</v>
      </c>
      <c r="B175" s="15">
        <v>2.4</v>
      </c>
      <c r="C175" s="66">
        <f t="shared" si="65"/>
        <v>86.399999999999991</v>
      </c>
      <c r="D175" s="68">
        <v>60</v>
      </c>
      <c r="E175" s="66">
        <f t="shared" si="66"/>
        <v>120</v>
      </c>
      <c r="F175" s="45">
        <f t="shared" si="67"/>
        <v>38.490017945975055</v>
      </c>
      <c r="G175" s="94">
        <f t="shared" si="68"/>
        <v>10</v>
      </c>
      <c r="H175" s="295">
        <f t="shared" si="69"/>
        <v>42.677120000000002</v>
      </c>
      <c r="I175" s="25">
        <f t="shared" si="70"/>
        <v>73.918940160713888</v>
      </c>
      <c r="J175" s="52">
        <f t="shared" si="71"/>
        <v>25</v>
      </c>
      <c r="K175" s="25">
        <f t="shared" si="62"/>
        <v>62.25</v>
      </c>
      <c r="L175" s="427">
        <f t="shared" si="63"/>
        <v>8</v>
      </c>
      <c r="M175" s="628"/>
      <c r="N175" s="628"/>
      <c r="O175" s="628"/>
      <c r="P175" s="491"/>
      <c r="Q175" s="491"/>
      <c r="R175" s="491"/>
      <c r="S175" s="628"/>
      <c r="T175" s="24"/>
      <c r="U175" s="24"/>
    </row>
    <row r="176" spans="1:21">
      <c r="A176" s="98">
        <f t="shared" si="64"/>
        <v>36</v>
      </c>
      <c r="B176" s="99">
        <v>2.4</v>
      </c>
      <c r="C176" s="100">
        <f t="shared" si="65"/>
        <v>86.399999999999991</v>
      </c>
      <c r="D176" s="101">
        <v>75</v>
      </c>
      <c r="E176" s="100">
        <f t="shared" si="66"/>
        <v>208</v>
      </c>
      <c r="F176" s="102">
        <f t="shared" si="67"/>
        <v>27.757224480270473</v>
      </c>
      <c r="G176" s="103">
        <f t="shared" si="68"/>
        <v>10</v>
      </c>
      <c r="H176" s="296">
        <f t="shared" si="69"/>
        <v>42.677120000000002</v>
      </c>
      <c r="I176" s="104">
        <f t="shared" si="70"/>
        <v>73.918940160713888</v>
      </c>
      <c r="J176" s="180">
        <f t="shared" si="71"/>
        <v>25</v>
      </c>
      <c r="K176" s="104">
        <f t="shared" si="62"/>
        <v>77.8125</v>
      </c>
      <c r="L176" s="428">
        <f t="shared" si="63"/>
        <v>10</v>
      </c>
      <c r="M176" s="628"/>
      <c r="N176" s="628"/>
      <c r="O176" s="628"/>
      <c r="P176" s="491"/>
      <c r="Q176" s="491"/>
      <c r="R176" s="491"/>
      <c r="S176" s="628"/>
      <c r="T176" s="24"/>
      <c r="U176" s="24"/>
    </row>
    <row r="177" spans="1:21">
      <c r="A177" s="72">
        <f t="shared" si="64"/>
        <v>36</v>
      </c>
      <c r="B177" s="15">
        <v>2.4</v>
      </c>
      <c r="C177" s="66">
        <f t="shared" si="65"/>
        <v>86.399999999999991</v>
      </c>
      <c r="D177" s="68">
        <v>100</v>
      </c>
      <c r="E177" s="66">
        <f t="shared" si="66"/>
        <v>208</v>
      </c>
      <c r="F177" s="45">
        <f t="shared" si="67"/>
        <v>37.47225304836514</v>
      </c>
      <c r="G177" s="94">
        <f t="shared" si="68"/>
        <v>10</v>
      </c>
      <c r="H177" s="295">
        <f t="shared" si="69"/>
        <v>42.677120000000002</v>
      </c>
      <c r="I177" s="25">
        <f t="shared" si="70"/>
        <v>73.918940160713888</v>
      </c>
      <c r="J177" s="52">
        <f t="shared" si="71"/>
        <v>25</v>
      </c>
      <c r="K177" s="25">
        <f t="shared" si="62"/>
        <v>103.75</v>
      </c>
      <c r="L177" s="157">
        <f t="shared" si="63"/>
        <v>13.5</v>
      </c>
      <c r="M177" s="628"/>
      <c r="N177" s="628"/>
      <c r="O177" s="628"/>
      <c r="P177" s="491"/>
      <c r="Q177" s="491"/>
      <c r="R177" s="491"/>
      <c r="S177" s="628"/>
      <c r="T177" s="24"/>
      <c r="U177" s="24"/>
    </row>
    <row r="178" spans="1:21">
      <c r="A178" s="72">
        <f t="shared" si="64"/>
        <v>36</v>
      </c>
      <c r="B178" s="15">
        <v>2.4</v>
      </c>
      <c r="C178" s="66">
        <f t="shared" si="65"/>
        <v>86.399999999999991</v>
      </c>
      <c r="D178" s="68">
        <v>125</v>
      </c>
      <c r="E178" s="66">
        <f t="shared" si="66"/>
        <v>240</v>
      </c>
      <c r="F178" s="45">
        <f t="shared" si="67"/>
        <v>40.895644067598489</v>
      </c>
      <c r="G178" s="94">
        <f t="shared" si="68"/>
        <v>10</v>
      </c>
      <c r="H178" s="295">
        <f t="shared" si="69"/>
        <v>42.677120000000002</v>
      </c>
      <c r="I178" s="25">
        <f t="shared" si="70"/>
        <v>73.918940160713888</v>
      </c>
      <c r="J178" s="52">
        <f t="shared" si="71"/>
        <v>25</v>
      </c>
      <c r="K178" s="25">
        <f t="shared" si="62"/>
        <v>129.6875</v>
      </c>
      <c r="L178" s="157">
        <f t="shared" si="63"/>
        <v>17</v>
      </c>
      <c r="M178" s="628"/>
      <c r="N178" s="628"/>
      <c r="O178" s="628"/>
      <c r="P178" s="491"/>
      <c r="Q178" s="491"/>
      <c r="R178" s="491"/>
      <c r="S178" s="628"/>
      <c r="T178" s="24"/>
      <c r="U178" s="24"/>
    </row>
    <row r="179" spans="1:21">
      <c r="A179" s="98">
        <f t="shared" si="64"/>
        <v>36</v>
      </c>
      <c r="B179" s="99">
        <v>2.4</v>
      </c>
      <c r="C179" s="100">
        <f t="shared" si="65"/>
        <v>86.399999999999991</v>
      </c>
      <c r="D179" s="101">
        <v>150</v>
      </c>
      <c r="E179" s="100">
        <f t="shared" si="66"/>
        <v>480</v>
      </c>
      <c r="F179" s="102">
        <f t="shared" si="67"/>
        <v>24.056261216234407</v>
      </c>
      <c r="G179" s="103">
        <f t="shared" si="68"/>
        <v>10</v>
      </c>
      <c r="H179" s="296">
        <f t="shared" si="69"/>
        <v>42.677120000000002</v>
      </c>
      <c r="I179" s="104">
        <f t="shared" si="70"/>
        <v>73.918940160713888</v>
      </c>
      <c r="J179" s="180">
        <f t="shared" si="71"/>
        <v>25</v>
      </c>
      <c r="K179" s="104">
        <f t="shared" si="62"/>
        <v>155.625</v>
      </c>
      <c r="L179" s="263">
        <f t="shared" si="63"/>
        <v>20</v>
      </c>
      <c r="M179" s="628"/>
      <c r="N179" s="628"/>
      <c r="O179" s="628"/>
      <c r="P179" s="491"/>
      <c r="Q179" s="491"/>
      <c r="R179" s="491"/>
      <c r="S179" s="628"/>
      <c r="T179" s="24"/>
      <c r="U179" s="24"/>
    </row>
    <row r="180" spans="1:21">
      <c r="A180" s="72">
        <f t="shared" si="64"/>
        <v>36</v>
      </c>
      <c r="B180" s="15">
        <v>2.4</v>
      </c>
      <c r="C180" s="66">
        <f t="shared" si="65"/>
        <v>86.399999999999991</v>
      </c>
      <c r="D180" s="68">
        <v>175</v>
      </c>
      <c r="E180" s="66">
        <f t="shared" si="66"/>
        <v>480</v>
      </c>
      <c r="F180" s="45">
        <f t="shared" si="67"/>
        <v>28.867513459481291</v>
      </c>
      <c r="G180" s="94">
        <f t="shared" si="68"/>
        <v>10</v>
      </c>
      <c r="H180" s="295">
        <f t="shared" si="69"/>
        <v>42.677120000000002</v>
      </c>
      <c r="I180" s="25">
        <f t="shared" si="70"/>
        <v>73.918940160713888</v>
      </c>
      <c r="J180" s="52">
        <f t="shared" si="71"/>
        <v>25</v>
      </c>
      <c r="K180" s="25">
        <f t="shared" si="62"/>
        <v>181.5625</v>
      </c>
      <c r="L180" s="157">
        <f t="shared" si="63"/>
        <v>24</v>
      </c>
      <c r="M180" s="628"/>
      <c r="N180" s="628"/>
      <c r="O180" s="628"/>
      <c r="P180" s="491"/>
      <c r="Q180" s="491"/>
      <c r="R180" s="491"/>
      <c r="S180" s="628"/>
      <c r="T180" s="24"/>
      <c r="U180" s="24"/>
    </row>
    <row r="181" spans="1:21">
      <c r="A181" s="72">
        <f t="shared" si="64"/>
        <v>36</v>
      </c>
      <c r="B181" s="15">
        <v>2.4</v>
      </c>
      <c r="C181" s="66">
        <f t="shared" si="65"/>
        <v>86.399999999999991</v>
      </c>
      <c r="D181" s="68">
        <v>200</v>
      </c>
      <c r="E181" s="66">
        <f t="shared" si="66"/>
        <v>480</v>
      </c>
      <c r="F181" s="45">
        <f t="shared" si="67"/>
        <v>32.47595264191645</v>
      </c>
      <c r="G181" s="94">
        <f t="shared" si="68"/>
        <v>10</v>
      </c>
      <c r="H181" s="295">
        <f t="shared" si="69"/>
        <v>42.677120000000002</v>
      </c>
      <c r="I181" s="25">
        <f t="shared" si="70"/>
        <v>73.918940160713888</v>
      </c>
      <c r="J181" s="52">
        <f t="shared" si="71"/>
        <v>25</v>
      </c>
      <c r="K181" s="25">
        <f t="shared" si="62"/>
        <v>207.5</v>
      </c>
      <c r="L181" s="157">
        <f t="shared" si="63"/>
        <v>27</v>
      </c>
      <c r="M181" s="628"/>
      <c r="N181" s="628"/>
      <c r="O181" s="628"/>
      <c r="P181" s="491"/>
      <c r="Q181" s="491"/>
      <c r="R181" s="491"/>
      <c r="S181" s="628"/>
      <c r="T181" s="24"/>
      <c r="U181" s="24"/>
    </row>
    <row r="182" spans="1:21">
      <c r="A182" s="98">
        <f t="shared" si="64"/>
        <v>36</v>
      </c>
      <c r="B182" s="99">
        <v>2.4</v>
      </c>
      <c r="C182" s="100">
        <f t="shared" si="65"/>
        <v>86.399999999999991</v>
      </c>
      <c r="D182" s="101">
        <v>250</v>
      </c>
      <c r="E182" s="100">
        <f t="shared" si="66"/>
        <v>480</v>
      </c>
      <c r="F182" s="102">
        <f t="shared" si="67"/>
        <v>40.895644067598489</v>
      </c>
      <c r="G182" s="103">
        <f t="shared" si="68"/>
        <v>10</v>
      </c>
      <c r="H182" s="296">
        <f t="shared" si="69"/>
        <v>42.677120000000002</v>
      </c>
      <c r="I182" s="104">
        <f t="shared" si="70"/>
        <v>73.918940160713888</v>
      </c>
      <c r="J182" s="180">
        <f t="shared" si="71"/>
        <v>25</v>
      </c>
      <c r="K182" s="104">
        <f t="shared" si="62"/>
        <v>259.375</v>
      </c>
      <c r="L182" s="263">
        <f t="shared" si="63"/>
        <v>34</v>
      </c>
      <c r="M182" s="628"/>
      <c r="N182" s="628"/>
      <c r="O182" s="628"/>
      <c r="P182" s="491"/>
      <c r="Q182" s="491"/>
      <c r="R182" s="491"/>
      <c r="S182" s="628"/>
      <c r="T182" s="24"/>
      <c r="U182" s="24"/>
    </row>
    <row r="183" spans="1:21">
      <c r="A183" s="72">
        <f t="shared" si="64"/>
        <v>36</v>
      </c>
      <c r="B183" s="15">
        <v>2.4</v>
      </c>
      <c r="C183" s="66">
        <f t="shared" si="65"/>
        <v>86.399999999999991</v>
      </c>
      <c r="D183" s="68">
        <v>300</v>
      </c>
      <c r="E183" s="66">
        <f t="shared" si="66"/>
        <v>480</v>
      </c>
      <c r="F183" s="45">
        <f t="shared" si="67"/>
        <v>48.112522432468815</v>
      </c>
      <c r="G183" s="94">
        <f t="shared" si="68"/>
        <v>10</v>
      </c>
      <c r="H183" s="295">
        <f t="shared" si="69"/>
        <v>42.677120000000002</v>
      </c>
      <c r="I183" s="25">
        <f t="shared" si="70"/>
        <v>73.918940160713888</v>
      </c>
      <c r="J183" s="52">
        <f t="shared" si="71"/>
        <v>25</v>
      </c>
      <c r="K183" s="25">
        <f t="shared" si="62"/>
        <v>311.25</v>
      </c>
      <c r="L183" s="157">
        <f t="shared" si="63"/>
        <v>40</v>
      </c>
      <c r="M183" s="628"/>
      <c r="N183" s="628"/>
      <c r="O183" s="628"/>
      <c r="P183" s="491"/>
      <c r="Q183" s="491"/>
      <c r="R183" s="491"/>
      <c r="S183" s="628"/>
      <c r="T183" s="24"/>
      <c r="U183" s="24"/>
    </row>
    <row r="184" spans="1:21">
      <c r="A184" s="72">
        <f t="shared" si="64"/>
        <v>36</v>
      </c>
      <c r="B184" s="15">
        <v>2.4</v>
      </c>
      <c r="C184" s="66">
        <f t="shared" si="65"/>
        <v>86.399999999999991</v>
      </c>
      <c r="D184" s="68">
        <v>350</v>
      </c>
      <c r="E184" s="66">
        <f t="shared" si="66"/>
        <v>480</v>
      </c>
      <c r="F184" s="45">
        <f t="shared" si="67"/>
        <v>56.532213858150861</v>
      </c>
      <c r="G184" s="94">
        <f t="shared" si="68"/>
        <v>10</v>
      </c>
      <c r="H184" s="295">
        <f t="shared" si="69"/>
        <v>42.677120000000002</v>
      </c>
      <c r="I184" s="25">
        <f t="shared" si="70"/>
        <v>73.918940160713888</v>
      </c>
      <c r="J184" s="52">
        <f t="shared" si="71"/>
        <v>25</v>
      </c>
      <c r="K184" s="25">
        <f t="shared" si="62"/>
        <v>363.125</v>
      </c>
      <c r="L184" s="157">
        <f t="shared" si="63"/>
        <v>47</v>
      </c>
      <c r="M184" s="628"/>
      <c r="N184" s="628"/>
      <c r="O184" s="628"/>
      <c r="P184" s="491"/>
      <c r="Q184" s="491"/>
      <c r="R184" s="491"/>
      <c r="S184" s="628"/>
      <c r="T184" s="24"/>
      <c r="U184" s="24"/>
    </row>
    <row r="185" spans="1:21">
      <c r="A185" s="98">
        <f t="shared" si="64"/>
        <v>36</v>
      </c>
      <c r="B185" s="99">
        <v>2.4</v>
      </c>
      <c r="C185" s="100">
        <f t="shared" si="65"/>
        <v>86.399999999999991</v>
      </c>
      <c r="D185" s="101">
        <v>400</v>
      </c>
      <c r="E185" s="100">
        <f t="shared" si="66"/>
        <v>480</v>
      </c>
      <c r="F185" s="102">
        <f t="shared" si="67"/>
        <v>64.9519052838329</v>
      </c>
      <c r="G185" s="103">
        <f t="shared" si="68"/>
        <v>10</v>
      </c>
      <c r="H185" s="296">
        <f t="shared" si="69"/>
        <v>42.677120000000002</v>
      </c>
      <c r="I185" s="104">
        <f t="shared" si="70"/>
        <v>73.918940160713888</v>
      </c>
      <c r="J185" s="180">
        <f t="shared" si="71"/>
        <v>25</v>
      </c>
      <c r="K185" s="104">
        <f t="shared" si="62"/>
        <v>415</v>
      </c>
      <c r="L185" s="263">
        <f t="shared" si="63"/>
        <v>54</v>
      </c>
      <c r="M185" s="628"/>
      <c r="N185" s="628"/>
      <c r="O185" s="628"/>
      <c r="P185" s="491"/>
      <c r="Q185" s="491"/>
      <c r="R185" s="491"/>
      <c r="S185" s="628"/>
      <c r="T185" s="24"/>
      <c r="U185" s="24"/>
    </row>
    <row r="186" spans="1:21">
      <c r="A186" s="72">
        <f t="shared" si="64"/>
        <v>36</v>
      </c>
      <c r="B186" s="15">
        <v>2.4</v>
      </c>
      <c r="C186" s="66">
        <f t="shared" si="65"/>
        <v>86.399999999999991</v>
      </c>
      <c r="D186" s="68">
        <v>450</v>
      </c>
      <c r="E186" s="66">
        <f t="shared" si="66"/>
        <v>480</v>
      </c>
      <c r="F186" s="45">
        <f t="shared" si="67"/>
        <v>72.168783648703226</v>
      </c>
      <c r="G186" s="94">
        <f t="shared" si="68"/>
        <v>10</v>
      </c>
      <c r="H186" s="295">
        <f t="shared" si="69"/>
        <v>42.677120000000002</v>
      </c>
      <c r="I186" s="25">
        <f t="shared" si="70"/>
        <v>73.918940160713888</v>
      </c>
      <c r="J186" s="52">
        <f t="shared" si="71"/>
        <v>25</v>
      </c>
      <c r="K186" s="25">
        <f t="shared" si="62"/>
        <v>466.875</v>
      </c>
      <c r="L186" s="157">
        <f t="shared" si="63"/>
        <v>60</v>
      </c>
      <c r="M186" s="628"/>
      <c r="N186" s="628"/>
      <c r="O186" s="628"/>
      <c r="P186" s="491"/>
      <c r="Q186" s="491"/>
      <c r="R186" s="491"/>
      <c r="S186" s="628"/>
      <c r="T186" s="24"/>
      <c r="U186" s="24"/>
    </row>
    <row r="187" spans="1:21">
      <c r="A187" s="72">
        <f t="shared" si="64"/>
        <v>36</v>
      </c>
      <c r="B187" s="15">
        <v>2.4</v>
      </c>
      <c r="C187" s="66">
        <f t="shared" si="65"/>
        <v>86.399999999999991</v>
      </c>
      <c r="D187" s="68">
        <v>500</v>
      </c>
      <c r="E187" s="66">
        <f t="shared" si="66"/>
        <v>480</v>
      </c>
      <c r="F187" s="45">
        <f t="shared" si="67"/>
        <v>80.588475074385272</v>
      </c>
      <c r="G187" s="94">
        <f t="shared" si="68"/>
        <v>10</v>
      </c>
      <c r="H187" s="295">
        <f t="shared" si="69"/>
        <v>42.677120000000002</v>
      </c>
      <c r="I187" s="25">
        <f t="shared" si="70"/>
        <v>73.918940160713888</v>
      </c>
      <c r="J187" s="52">
        <f t="shared" si="71"/>
        <v>25</v>
      </c>
      <c r="K187" s="25">
        <f t="shared" si="62"/>
        <v>518.75</v>
      </c>
      <c r="L187" s="157">
        <f t="shared" si="63"/>
        <v>67</v>
      </c>
      <c r="M187" s="628"/>
      <c r="N187" s="628"/>
      <c r="O187" s="628"/>
      <c r="P187" s="491"/>
      <c r="Q187" s="491"/>
      <c r="R187" s="491"/>
      <c r="S187" s="628"/>
      <c r="T187" s="24"/>
      <c r="U187" s="24"/>
    </row>
    <row r="188" spans="1:21">
      <c r="A188" s="98">
        <f t="shared" si="64"/>
        <v>36</v>
      </c>
      <c r="B188" s="99">
        <v>2.4</v>
      </c>
      <c r="C188" s="100">
        <f t="shared" si="65"/>
        <v>86.399999999999991</v>
      </c>
      <c r="D188" s="101">
        <v>600</v>
      </c>
      <c r="E188" s="100">
        <f t="shared" si="66"/>
        <v>480</v>
      </c>
      <c r="F188" s="102">
        <f t="shared" si="67"/>
        <v>96.22504486493763</v>
      </c>
      <c r="G188" s="103">
        <f t="shared" si="68"/>
        <v>10</v>
      </c>
      <c r="H188" s="296">
        <f t="shared" si="69"/>
        <v>42.677120000000002</v>
      </c>
      <c r="I188" s="104">
        <f t="shared" si="70"/>
        <v>73.918940160713888</v>
      </c>
      <c r="J188" s="180">
        <f t="shared" si="71"/>
        <v>25</v>
      </c>
      <c r="K188" s="104">
        <f t="shared" si="62"/>
        <v>622.5</v>
      </c>
      <c r="L188" s="263">
        <f t="shared" si="63"/>
        <v>80</v>
      </c>
      <c r="M188" s="628"/>
      <c r="N188" s="628"/>
      <c r="O188" s="628"/>
      <c r="P188" s="491"/>
      <c r="Q188" s="491"/>
      <c r="R188" s="491"/>
      <c r="S188" s="628"/>
      <c r="T188" s="24"/>
      <c r="U188" s="24"/>
    </row>
    <row r="189" spans="1:21">
      <c r="A189" s="72">
        <f t="shared" si="64"/>
        <v>36</v>
      </c>
      <c r="B189" s="15">
        <v>2.4</v>
      </c>
      <c r="C189" s="66">
        <f t="shared" si="65"/>
        <v>86.399999999999991</v>
      </c>
      <c r="D189" s="68">
        <v>700</v>
      </c>
      <c r="E189" s="66">
        <f t="shared" si="66"/>
        <v>480</v>
      </c>
      <c r="F189" s="45">
        <f t="shared" si="67"/>
        <v>111.86161465549</v>
      </c>
      <c r="G189" s="94">
        <f t="shared" si="68"/>
        <v>10</v>
      </c>
      <c r="H189" s="295">
        <f t="shared" si="69"/>
        <v>42.677120000000002</v>
      </c>
      <c r="I189" s="25">
        <f t="shared" si="70"/>
        <v>73.918940160713888</v>
      </c>
      <c r="J189" s="52">
        <f t="shared" si="71"/>
        <v>25</v>
      </c>
      <c r="K189" s="25">
        <f t="shared" si="62"/>
        <v>726.25</v>
      </c>
      <c r="L189" s="157">
        <f t="shared" si="63"/>
        <v>93</v>
      </c>
      <c r="M189" s="628"/>
      <c r="N189" s="628"/>
      <c r="O189" s="628"/>
      <c r="P189" s="491"/>
      <c r="Q189" s="491"/>
      <c r="R189" s="491"/>
      <c r="S189" s="628"/>
      <c r="T189" s="24"/>
      <c r="U189" s="24"/>
    </row>
    <row r="190" spans="1:21">
      <c r="A190" s="72">
        <f t="shared" si="64"/>
        <v>36</v>
      </c>
      <c r="B190" s="15">
        <v>2.4</v>
      </c>
      <c r="C190" s="66">
        <f t="shared" si="65"/>
        <v>86.399999999999991</v>
      </c>
      <c r="D190" s="68">
        <v>800</v>
      </c>
      <c r="E190" s="66">
        <f t="shared" si="66"/>
        <v>480</v>
      </c>
      <c r="F190" s="45">
        <f t="shared" si="67"/>
        <v>128.70099750685407</v>
      </c>
      <c r="G190" s="94">
        <f t="shared" si="68"/>
        <v>10</v>
      </c>
      <c r="H190" s="295">
        <f t="shared" si="69"/>
        <v>42.677120000000002</v>
      </c>
      <c r="I190" s="25">
        <f t="shared" si="70"/>
        <v>73.918940160713888</v>
      </c>
      <c r="J190" s="52">
        <f t="shared" si="71"/>
        <v>25</v>
      </c>
      <c r="K190" s="25">
        <f t="shared" si="62"/>
        <v>830</v>
      </c>
      <c r="L190" s="157">
        <f t="shared" si="63"/>
        <v>107</v>
      </c>
      <c r="M190" s="628"/>
      <c r="N190" s="628"/>
      <c r="O190" s="628"/>
      <c r="P190" s="491"/>
      <c r="Q190" s="491"/>
      <c r="R190" s="491"/>
      <c r="S190" s="628"/>
      <c r="T190" s="24"/>
      <c r="U190" s="24"/>
    </row>
    <row r="191" spans="1:21">
      <c r="A191" s="98">
        <f t="shared" si="64"/>
        <v>36</v>
      </c>
      <c r="B191" s="99">
        <v>2.4</v>
      </c>
      <c r="C191" s="100">
        <f t="shared" si="65"/>
        <v>86.399999999999991</v>
      </c>
      <c r="D191" s="101">
        <v>900</v>
      </c>
      <c r="E191" s="100">
        <f t="shared" si="66"/>
        <v>480</v>
      </c>
      <c r="F191" s="102">
        <f t="shared" si="67"/>
        <v>144.33756729740645</v>
      </c>
      <c r="G191" s="103">
        <f t="shared" si="68"/>
        <v>10</v>
      </c>
      <c r="H191" s="296">
        <f t="shared" si="69"/>
        <v>42.677120000000002</v>
      </c>
      <c r="I191" s="104">
        <f t="shared" si="70"/>
        <v>73.918940160713888</v>
      </c>
      <c r="J191" s="180">
        <f t="shared" si="71"/>
        <v>25</v>
      </c>
      <c r="K191" s="104">
        <f t="shared" si="62"/>
        <v>933.75</v>
      </c>
      <c r="L191" s="263">
        <f t="shared" si="63"/>
        <v>120</v>
      </c>
      <c r="M191" s="628"/>
      <c r="N191" s="628"/>
      <c r="O191" s="628"/>
      <c r="P191" s="491"/>
      <c r="Q191" s="491"/>
      <c r="R191" s="491"/>
      <c r="S191" s="628"/>
      <c r="T191" s="24"/>
      <c r="U191" s="24"/>
    </row>
    <row r="192" spans="1:21">
      <c r="A192" s="72">
        <f t="shared" si="64"/>
        <v>36</v>
      </c>
      <c r="B192" s="15">
        <v>2.4</v>
      </c>
      <c r="C192" s="66">
        <f t="shared" si="65"/>
        <v>86.399999999999991</v>
      </c>
      <c r="D192" s="68">
        <v>1000</v>
      </c>
      <c r="E192" s="66">
        <f t="shared" si="66"/>
        <v>480</v>
      </c>
      <c r="F192" s="45">
        <f t="shared" si="67"/>
        <v>159.97413708795881</v>
      </c>
      <c r="G192" s="94">
        <f t="shared" si="68"/>
        <v>10</v>
      </c>
      <c r="H192" s="295">
        <f t="shared" si="69"/>
        <v>42.677120000000002</v>
      </c>
      <c r="I192" s="25">
        <f t="shared" si="70"/>
        <v>73.918940160713888</v>
      </c>
      <c r="J192" s="52">
        <f t="shared" si="71"/>
        <v>25</v>
      </c>
      <c r="K192" s="25">
        <f t="shared" si="62"/>
        <v>1037.5</v>
      </c>
      <c r="L192" s="157">
        <f t="shared" si="63"/>
        <v>133</v>
      </c>
      <c r="M192" s="628"/>
      <c r="N192" s="628"/>
      <c r="O192" s="628"/>
      <c r="P192" s="491"/>
      <c r="Q192" s="491"/>
      <c r="R192" s="491"/>
      <c r="S192" s="628"/>
      <c r="T192" s="24"/>
      <c r="U192" s="24"/>
    </row>
    <row r="193" spans="1:21">
      <c r="A193" s="72">
        <f t="shared" si="64"/>
        <v>36</v>
      </c>
      <c r="B193" s="15">
        <v>2.4</v>
      </c>
      <c r="C193" s="66">
        <f t="shared" si="65"/>
        <v>86.399999999999991</v>
      </c>
      <c r="D193" s="68">
        <v>1100</v>
      </c>
      <c r="E193" s="66">
        <f t="shared" si="66"/>
        <v>480</v>
      </c>
      <c r="F193" s="45">
        <f t="shared" si="67"/>
        <v>176.8135199393229</v>
      </c>
      <c r="G193" s="94">
        <f t="shared" si="68"/>
        <v>10</v>
      </c>
      <c r="H193" s="295">
        <f t="shared" si="69"/>
        <v>42.677120000000002</v>
      </c>
      <c r="I193" s="25">
        <f t="shared" si="70"/>
        <v>73.918940160713888</v>
      </c>
      <c r="J193" s="52">
        <f t="shared" si="71"/>
        <v>25</v>
      </c>
      <c r="K193" s="25">
        <f t="shared" si="62"/>
        <v>1141.25</v>
      </c>
      <c r="L193" s="157">
        <f t="shared" si="63"/>
        <v>147</v>
      </c>
      <c r="M193" s="628"/>
      <c r="N193" s="628"/>
      <c r="O193" s="628"/>
      <c r="P193" s="491"/>
      <c r="Q193" s="491"/>
      <c r="R193" s="491"/>
      <c r="S193" s="628"/>
      <c r="T193" s="24"/>
      <c r="U193" s="24"/>
    </row>
    <row r="194" spans="1:21" ht="13.5" thickBot="1">
      <c r="A194" s="253">
        <f t="shared" si="64"/>
        <v>36</v>
      </c>
      <c r="B194" s="254">
        <v>2.4</v>
      </c>
      <c r="C194" s="258">
        <f t="shared" si="65"/>
        <v>86.399999999999991</v>
      </c>
      <c r="D194" s="259">
        <v>1200</v>
      </c>
      <c r="E194" s="258">
        <f t="shared" si="66"/>
        <v>480</v>
      </c>
      <c r="F194" s="260">
        <f t="shared" si="67"/>
        <v>192.45008972987526</v>
      </c>
      <c r="G194" s="261">
        <f t="shared" si="68"/>
        <v>10</v>
      </c>
      <c r="H194" s="297">
        <f t="shared" si="69"/>
        <v>42.677120000000002</v>
      </c>
      <c r="I194" s="264">
        <f t="shared" si="70"/>
        <v>73.918940160713888</v>
      </c>
      <c r="J194" s="265">
        <f t="shared" si="71"/>
        <v>25</v>
      </c>
      <c r="K194" s="264">
        <f t="shared" si="62"/>
        <v>1245</v>
      </c>
      <c r="L194" s="266">
        <f t="shared" si="63"/>
        <v>160</v>
      </c>
      <c r="M194" s="628"/>
      <c r="N194" s="628"/>
      <c r="O194" s="628"/>
      <c r="P194" s="491"/>
      <c r="Q194" s="491"/>
      <c r="R194" s="491"/>
      <c r="S194" s="628"/>
      <c r="T194" s="24"/>
      <c r="U194" s="24"/>
    </row>
    <row r="195" spans="1:21">
      <c r="M195" s="628"/>
      <c r="N195" s="628"/>
      <c r="O195" s="628"/>
      <c r="P195" s="491"/>
    </row>
    <row r="196" spans="1:21" ht="13.5" thickBot="1">
      <c r="M196" s="628"/>
      <c r="N196" s="628"/>
      <c r="O196" s="628"/>
      <c r="P196" s="491"/>
    </row>
    <row r="197" spans="1:21" ht="16.5" thickBot="1">
      <c r="A197" s="95" t="s">
        <v>77</v>
      </c>
      <c r="B197" s="96"/>
      <c r="C197" s="44"/>
      <c r="D197" s="86"/>
      <c r="E197" s="86"/>
      <c r="F197" s="86"/>
      <c r="G197" s="87"/>
      <c r="H197" s="290" t="s">
        <v>102</v>
      </c>
      <c r="I197" s="42"/>
      <c r="J197" s="51"/>
      <c r="K197" s="42"/>
      <c r="L197" s="40"/>
      <c r="M197" s="628"/>
      <c r="N197" s="628"/>
      <c r="O197" s="628"/>
      <c r="P197" s="491"/>
    </row>
    <row r="198" spans="1:21" ht="13.5" thickBot="1">
      <c r="A198" s="97" t="s">
        <v>23</v>
      </c>
      <c r="B198" s="48"/>
      <c r="C198" s="189" t="s">
        <v>76</v>
      </c>
      <c r="D198" s="190"/>
      <c r="E198" s="189" t="s">
        <v>57</v>
      </c>
      <c r="F198" s="191"/>
      <c r="G198" s="192"/>
      <c r="H198" s="76"/>
      <c r="I198" s="90"/>
      <c r="J198" s="175"/>
      <c r="K198" s="90"/>
      <c r="L198" s="49"/>
      <c r="M198" s="628"/>
      <c r="N198" s="628"/>
      <c r="O198" s="628"/>
      <c r="P198" s="491"/>
    </row>
    <row r="199" spans="1:21" ht="15">
      <c r="A199" s="65">
        <v>120</v>
      </c>
      <c r="B199" s="67" t="s">
        <v>92</v>
      </c>
      <c r="C199" s="65" t="s">
        <v>93</v>
      </c>
      <c r="D199" s="67" t="s">
        <v>16</v>
      </c>
      <c r="E199" s="65" t="s">
        <v>54</v>
      </c>
      <c r="F199" s="18" t="s">
        <v>58</v>
      </c>
      <c r="G199" s="314" t="s">
        <v>55</v>
      </c>
      <c r="H199" s="65" t="s">
        <v>50</v>
      </c>
      <c r="I199" s="18" t="s">
        <v>51</v>
      </c>
      <c r="J199" s="73" t="s">
        <v>56</v>
      </c>
      <c r="K199" s="18" t="s">
        <v>28</v>
      </c>
      <c r="L199" s="156" t="s">
        <v>29</v>
      </c>
      <c r="N199" s="629">
        <v>0.05</v>
      </c>
      <c r="O199" s="629">
        <v>0.04</v>
      </c>
      <c r="P199" s="4" t="s">
        <v>254</v>
      </c>
      <c r="Q199" s="4" t="s">
        <v>255</v>
      </c>
      <c r="R199" s="455" t="s">
        <v>263</v>
      </c>
      <c r="S199" s="583" t="s">
        <v>261</v>
      </c>
    </row>
    <row r="200" spans="1:21" ht="16.5" thickBot="1">
      <c r="A200" s="187" t="s">
        <v>24</v>
      </c>
      <c r="B200" s="188" t="s">
        <v>53</v>
      </c>
      <c r="C200" s="306" t="s">
        <v>53</v>
      </c>
      <c r="D200" s="255" t="s">
        <v>22</v>
      </c>
      <c r="E200" s="187" t="s">
        <v>53</v>
      </c>
      <c r="F200" s="16" t="s">
        <v>22</v>
      </c>
      <c r="G200" s="194">
        <v>10</v>
      </c>
      <c r="H200" s="187" t="s">
        <v>42</v>
      </c>
      <c r="I200" s="16" t="s">
        <v>42</v>
      </c>
      <c r="J200" s="196">
        <v>25</v>
      </c>
      <c r="K200" s="16" t="s">
        <v>43</v>
      </c>
      <c r="L200" s="195" t="s">
        <v>44</v>
      </c>
      <c r="M200" s="625" t="s">
        <v>253</v>
      </c>
      <c r="N200" s="625" t="s">
        <v>253</v>
      </c>
      <c r="O200" s="625" t="s">
        <v>253</v>
      </c>
      <c r="P200" s="630" t="s">
        <v>256</v>
      </c>
      <c r="Q200" s="630" t="s">
        <v>256</v>
      </c>
      <c r="R200" s="641" t="s">
        <v>22</v>
      </c>
      <c r="S200" s="641" t="s">
        <v>262</v>
      </c>
    </row>
    <row r="201" spans="1:21">
      <c r="A201" s="70"/>
      <c r="B201" s="19"/>
      <c r="C201" s="65"/>
      <c r="D201" s="67"/>
      <c r="E201" s="65"/>
      <c r="F201" s="18"/>
      <c r="G201" s="19"/>
      <c r="H201" s="65"/>
      <c r="I201" s="18"/>
      <c r="J201" s="73"/>
      <c r="K201" s="18"/>
      <c r="L201" s="156"/>
    </row>
    <row r="202" spans="1:21">
      <c r="A202" s="72">
        <f>A$199/2</f>
        <v>60</v>
      </c>
      <c r="B202" s="15">
        <v>2.4</v>
      </c>
      <c r="C202" s="66">
        <f>A202*B202</f>
        <v>144</v>
      </c>
      <c r="D202" s="68">
        <v>5</v>
      </c>
      <c r="E202" s="66">
        <f>IF(L202*1000/120/SQRT(3)*1.5&lt;65,120,IF(L202*1000/208/SQRT(3)*1.5&lt;65,208,IF(L202*1000/240/SQRT(3)*1.5&lt;65,240,480)))</f>
        <v>120</v>
      </c>
      <c r="F202" s="45">
        <f>L202*1000/E202/SQRT(3)</f>
        <v>6.0140653040586018</v>
      </c>
      <c r="G202" s="94">
        <f>G$200</f>
        <v>10</v>
      </c>
      <c r="H202" s="295">
        <f t="shared" ref="H202:H230" si="72">IF(C202&lt;87,0.428*(1+G202/100)*C202+2,0.428*(1+G202/100)*C202)</f>
        <v>67.795200000000008</v>
      </c>
      <c r="I202" s="25">
        <f>SQRT(3)*H202</f>
        <v>117.42473090929356</v>
      </c>
      <c r="J202" s="52">
        <f>J$200</f>
        <v>25</v>
      </c>
      <c r="K202" s="25">
        <f t="shared" ref="K202:K230" si="73">(1+J202/100)*D202*0.83</f>
        <v>5.1875</v>
      </c>
      <c r="L202" s="427">
        <f t="shared" ref="L202:L230" si="74">IF(CEILING(I202*K202*SQRT(3)/1000,0.25)&lt;10,CEILING(I202*K202*SQRT(3)/1000,0.25),IF(CEILING(I202*K202*SQRT(3)/1000,0.25)&lt;20,CEILING(I202*K202*SQRT(3)/1000,0.5),CEILING(I202*K202*SQRT(3)/1000,1)))</f>
        <v>1.25</v>
      </c>
      <c r="M202" s="628"/>
      <c r="N202" s="628"/>
      <c r="O202" s="628"/>
      <c r="P202" s="491"/>
      <c r="Q202" s="491"/>
      <c r="R202" s="491"/>
      <c r="S202" s="628"/>
      <c r="T202" s="24"/>
      <c r="U202" s="24"/>
    </row>
    <row r="203" spans="1:21">
      <c r="A203" s="98">
        <f t="shared" ref="A203:A230" si="75">A$199/2</f>
        <v>60</v>
      </c>
      <c r="B203" s="99">
        <v>2.4</v>
      </c>
      <c r="C203" s="100">
        <f t="shared" ref="C203:C230" si="76">A203*B203</f>
        <v>144</v>
      </c>
      <c r="D203" s="101">
        <v>10</v>
      </c>
      <c r="E203" s="100">
        <f t="shared" ref="E203:E230" si="77">IF(L203*1000/120/SQRT(3)*1.5&lt;65,120,IF(L203*1000/208/SQRT(3)*1.5&lt;65,208,IF(L203*1000/240/SQRT(3)*1.5&lt;65,240,480)))</f>
        <v>120</v>
      </c>
      <c r="F203" s="102">
        <f t="shared" ref="F203:F230" si="78">L203*1000/E203/SQRT(3)</f>
        <v>10.825317547305485</v>
      </c>
      <c r="G203" s="103">
        <f t="shared" ref="G203:G230" si="79">G$200</f>
        <v>10</v>
      </c>
      <c r="H203" s="296">
        <f t="shared" si="72"/>
        <v>67.795200000000008</v>
      </c>
      <c r="I203" s="104">
        <f t="shared" ref="I203:I230" si="80">SQRT(3)*H203</f>
        <v>117.42473090929356</v>
      </c>
      <c r="J203" s="180">
        <f t="shared" ref="J203:J230" si="81">J$200</f>
        <v>25</v>
      </c>
      <c r="K203" s="104">
        <f t="shared" si="73"/>
        <v>10.375</v>
      </c>
      <c r="L203" s="428">
        <f t="shared" si="74"/>
        <v>2.25</v>
      </c>
      <c r="M203" s="628"/>
      <c r="N203" s="628"/>
      <c r="O203" s="628"/>
      <c r="P203" s="491"/>
      <c r="Q203" s="491"/>
      <c r="R203" s="491"/>
      <c r="S203" s="628"/>
      <c r="T203" s="24"/>
      <c r="U203" s="24"/>
    </row>
    <row r="204" spans="1:21">
      <c r="A204" s="72">
        <f t="shared" si="75"/>
        <v>60</v>
      </c>
      <c r="B204" s="15">
        <v>2.4</v>
      </c>
      <c r="C204" s="66">
        <f t="shared" si="76"/>
        <v>144</v>
      </c>
      <c r="D204" s="68">
        <v>15</v>
      </c>
      <c r="E204" s="66">
        <f t="shared" si="77"/>
        <v>120</v>
      </c>
      <c r="F204" s="45">
        <f t="shared" si="78"/>
        <v>15.636569790552365</v>
      </c>
      <c r="G204" s="94">
        <f t="shared" si="79"/>
        <v>10</v>
      </c>
      <c r="H204" s="295">
        <f t="shared" si="72"/>
        <v>67.795200000000008</v>
      </c>
      <c r="I204" s="25">
        <f t="shared" si="80"/>
        <v>117.42473090929356</v>
      </c>
      <c r="J204" s="52">
        <f t="shared" si="81"/>
        <v>25</v>
      </c>
      <c r="K204" s="25">
        <f t="shared" si="73"/>
        <v>15.5625</v>
      </c>
      <c r="L204" s="427">
        <f t="shared" si="74"/>
        <v>3.25</v>
      </c>
      <c r="M204" s="628"/>
      <c r="N204" s="628"/>
      <c r="O204" s="628"/>
      <c r="P204" s="491"/>
      <c r="Q204" s="491"/>
      <c r="R204" s="491"/>
      <c r="S204" s="628"/>
      <c r="T204" s="24"/>
      <c r="U204" s="24"/>
    </row>
    <row r="205" spans="1:21">
      <c r="A205" s="72">
        <f t="shared" si="75"/>
        <v>60</v>
      </c>
      <c r="B205" s="15">
        <v>2.4</v>
      </c>
      <c r="C205" s="66">
        <f t="shared" si="76"/>
        <v>144</v>
      </c>
      <c r="D205" s="68">
        <v>20</v>
      </c>
      <c r="E205" s="66">
        <f t="shared" si="77"/>
        <v>120</v>
      </c>
      <c r="F205" s="45">
        <f t="shared" si="78"/>
        <v>20.447822033799245</v>
      </c>
      <c r="G205" s="94">
        <f t="shared" si="79"/>
        <v>10</v>
      </c>
      <c r="H205" s="295">
        <f t="shared" si="72"/>
        <v>67.795200000000008</v>
      </c>
      <c r="I205" s="25">
        <f t="shared" si="80"/>
        <v>117.42473090929356</v>
      </c>
      <c r="J205" s="52">
        <f t="shared" si="81"/>
        <v>25</v>
      </c>
      <c r="K205" s="25">
        <f t="shared" si="73"/>
        <v>20.75</v>
      </c>
      <c r="L205" s="427">
        <f t="shared" si="74"/>
        <v>4.25</v>
      </c>
      <c r="M205" s="628"/>
      <c r="N205" s="628"/>
      <c r="O205" s="628"/>
      <c r="P205" s="491"/>
      <c r="Q205" s="491"/>
      <c r="R205" s="491"/>
      <c r="S205" s="628"/>
      <c r="T205" s="24"/>
      <c r="U205" s="24"/>
    </row>
    <row r="206" spans="1:21">
      <c r="A206" s="98">
        <f t="shared" si="75"/>
        <v>60</v>
      </c>
      <c r="B206" s="99">
        <v>2.4</v>
      </c>
      <c r="C206" s="100">
        <f t="shared" si="76"/>
        <v>144</v>
      </c>
      <c r="D206" s="101">
        <v>25</v>
      </c>
      <c r="E206" s="100">
        <f t="shared" si="77"/>
        <v>120</v>
      </c>
      <c r="F206" s="102">
        <f t="shared" si="78"/>
        <v>26.461887337857849</v>
      </c>
      <c r="G206" s="103">
        <f t="shared" si="79"/>
        <v>10</v>
      </c>
      <c r="H206" s="296">
        <f t="shared" si="72"/>
        <v>67.795200000000008</v>
      </c>
      <c r="I206" s="104">
        <f t="shared" si="80"/>
        <v>117.42473090929356</v>
      </c>
      <c r="J206" s="180">
        <f t="shared" si="81"/>
        <v>25</v>
      </c>
      <c r="K206" s="104">
        <f t="shared" si="73"/>
        <v>25.9375</v>
      </c>
      <c r="L206" s="428">
        <f t="shared" si="74"/>
        <v>5.5</v>
      </c>
      <c r="M206" s="628"/>
      <c r="N206" s="628"/>
      <c r="O206" s="628"/>
      <c r="P206" s="491"/>
      <c r="Q206" s="491"/>
      <c r="R206" s="491"/>
      <c r="S206" s="628"/>
      <c r="T206" s="24"/>
      <c r="U206" s="24"/>
    </row>
    <row r="207" spans="1:21">
      <c r="A207" s="72">
        <f t="shared" si="75"/>
        <v>60</v>
      </c>
      <c r="B207" s="15">
        <v>2.4</v>
      </c>
      <c r="C207" s="66">
        <f t="shared" si="76"/>
        <v>144</v>
      </c>
      <c r="D207" s="68">
        <v>30</v>
      </c>
      <c r="E207" s="66">
        <f t="shared" si="77"/>
        <v>120</v>
      </c>
      <c r="F207" s="45">
        <f t="shared" si="78"/>
        <v>31.273139581104729</v>
      </c>
      <c r="G207" s="94">
        <f t="shared" si="79"/>
        <v>10</v>
      </c>
      <c r="H207" s="295">
        <f t="shared" si="72"/>
        <v>67.795200000000008</v>
      </c>
      <c r="I207" s="25">
        <f t="shared" si="80"/>
        <v>117.42473090929356</v>
      </c>
      <c r="J207" s="52">
        <f t="shared" si="81"/>
        <v>25</v>
      </c>
      <c r="K207" s="25">
        <f t="shared" si="73"/>
        <v>31.125</v>
      </c>
      <c r="L207" s="427">
        <f t="shared" si="74"/>
        <v>6.5</v>
      </c>
      <c r="M207" s="628"/>
      <c r="N207" s="628"/>
      <c r="O207" s="628"/>
      <c r="P207" s="491"/>
      <c r="Q207" s="491"/>
      <c r="R207" s="491"/>
      <c r="S207" s="628"/>
      <c r="T207" s="24"/>
      <c r="U207" s="24"/>
    </row>
    <row r="208" spans="1:21">
      <c r="A208" s="72">
        <f t="shared" si="75"/>
        <v>60</v>
      </c>
      <c r="B208" s="15">
        <v>2.4</v>
      </c>
      <c r="C208" s="66">
        <f t="shared" si="76"/>
        <v>144</v>
      </c>
      <c r="D208" s="68">
        <v>35</v>
      </c>
      <c r="E208" s="66">
        <f t="shared" si="77"/>
        <v>120</v>
      </c>
      <c r="F208" s="45">
        <f t="shared" si="78"/>
        <v>36.084391824351613</v>
      </c>
      <c r="G208" s="94">
        <f t="shared" si="79"/>
        <v>10</v>
      </c>
      <c r="H208" s="295">
        <f t="shared" si="72"/>
        <v>67.795200000000008</v>
      </c>
      <c r="I208" s="25">
        <f t="shared" si="80"/>
        <v>117.42473090929356</v>
      </c>
      <c r="J208" s="52">
        <f t="shared" si="81"/>
        <v>25</v>
      </c>
      <c r="K208" s="25">
        <f t="shared" si="73"/>
        <v>36.3125</v>
      </c>
      <c r="L208" s="427">
        <f t="shared" si="74"/>
        <v>7.5</v>
      </c>
      <c r="M208" s="628"/>
      <c r="N208" s="628"/>
      <c r="O208" s="628"/>
      <c r="P208" s="491"/>
      <c r="Q208" s="491"/>
      <c r="R208" s="491"/>
      <c r="S208" s="628"/>
      <c r="T208" s="24"/>
      <c r="U208" s="24"/>
    </row>
    <row r="209" spans="1:21">
      <c r="A209" s="98">
        <f t="shared" si="75"/>
        <v>60</v>
      </c>
      <c r="B209" s="99">
        <v>2.4</v>
      </c>
      <c r="C209" s="100">
        <f t="shared" si="76"/>
        <v>144</v>
      </c>
      <c r="D209" s="101">
        <v>40</v>
      </c>
      <c r="E209" s="100">
        <f t="shared" si="77"/>
        <v>120</v>
      </c>
      <c r="F209" s="102">
        <f t="shared" si="78"/>
        <v>40.895644067598489</v>
      </c>
      <c r="G209" s="103">
        <f t="shared" si="79"/>
        <v>10</v>
      </c>
      <c r="H209" s="296">
        <f t="shared" si="72"/>
        <v>67.795200000000008</v>
      </c>
      <c r="I209" s="104">
        <f t="shared" si="80"/>
        <v>117.42473090929356</v>
      </c>
      <c r="J209" s="180">
        <f t="shared" si="81"/>
        <v>25</v>
      </c>
      <c r="K209" s="104">
        <f t="shared" si="73"/>
        <v>41.5</v>
      </c>
      <c r="L209" s="428">
        <f t="shared" si="74"/>
        <v>8.5</v>
      </c>
      <c r="M209" s="628"/>
      <c r="N209" s="628"/>
      <c r="O209" s="628"/>
      <c r="P209" s="491"/>
      <c r="Q209" s="491"/>
      <c r="R209" s="491"/>
      <c r="S209" s="628"/>
      <c r="T209" s="24"/>
      <c r="U209" s="24"/>
    </row>
    <row r="210" spans="1:21">
      <c r="A210" s="72">
        <f t="shared" si="75"/>
        <v>60</v>
      </c>
      <c r="B210" s="15">
        <v>2.4</v>
      </c>
      <c r="C210" s="66">
        <f t="shared" si="76"/>
        <v>144</v>
      </c>
      <c r="D210" s="68">
        <v>50</v>
      </c>
      <c r="E210" s="66">
        <f t="shared" si="77"/>
        <v>208</v>
      </c>
      <c r="F210" s="45">
        <f t="shared" si="78"/>
        <v>30.53294692829752</v>
      </c>
      <c r="G210" s="94">
        <f t="shared" si="79"/>
        <v>10</v>
      </c>
      <c r="H210" s="295">
        <f t="shared" si="72"/>
        <v>67.795200000000008</v>
      </c>
      <c r="I210" s="25">
        <f t="shared" si="80"/>
        <v>117.42473090929356</v>
      </c>
      <c r="J210" s="52">
        <f t="shared" si="81"/>
        <v>25</v>
      </c>
      <c r="K210" s="25">
        <f t="shared" si="73"/>
        <v>51.875</v>
      </c>
      <c r="L210" s="157">
        <f t="shared" si="74"/>
        <v>11</v>
      </c>
      <c r="M210" s="628"/>
      <c r="N210" s="628"/>
      <c r="O210" s="628"/>
      <c r="P210" s="491"/>
      <c r="Q210" s="491"/>
      <c r="R210" s="491"/>
      <c r="S210" s="628"/>
      <c r="T210" s="24"/>
      <c r="U210" s="24"/>
    </row>
    <row r="211" spans="1:21">
      <c r="A211" s="72">
        <f t="shared" si="75"/>
        <v>60</v>
      </c>
      <c r="B211" s="15">
        <v>2.4</v>
      </c>
      <c r="C211" s="66">
        <f t="shared" si="76"/>
        <v>144</v>
      </c>
      <c r="D211" s="68">
        <v>60</v>
      </c>
      <c r="E211" s="66">
        <f t="shared" si="77"/>
        <v>208</v>
      </c>
      <c r="F211" s="45">
        <f t="shared" si="78"/>
        <v>36.084391824351613</v>
      </c>
      <c r="G211" s="94">
        <f t="shared" si="79"/>
        <v>10</v>
      </c>
      <c r="H211" s="295">
        <f t="shared" si="72"/>
        <v>67.795200000000008</v>
      </c>
      <c r="I211" s="25">
        <f t="shared" si="80"/>
        <v>117.42473090929356</v>
      </c>
      <c r="J211" s="52">
        <f t="shared" si="81"/>
        <v>25</v>
      </c>
      <c r="K211" s="25">
        <f t="shared" si="73"/>
        <v>62.25</v>
      </c>
      <c r="L211" s="157">
        <f t="shared" si="74"/>
        <v>13</v>
      </c>
      <c r="M211" s="628"/>
      <c r="N211" s="628"/>
      <c r="O211" s="628"/>
      <c r="P211" s="491"/>
      <c r="Q211" s="491"/>
      <c r="R211" s="491"/>
      <c r="S211" s="628"/>
      <c r="T211" s="24"/>
      <c r="U211" s="24"/>
    </row>
    <row r="212" spans="1:21">
      <c r="A212" s="98">
        <f t="shared" si="75"/>
        <v>60</v>
      </c>
      <c r="B212" s="99">
        <v>2.4</v>
      </c>
      <c r="C212" s="100">
        <f t="shared" si="76"/>
        <v>144</v>
      </c>
      <c r="D212" s="101">
        <v>75</v>
      </c>
      <c r="E212" s="100">
        <f t="shared" si="77"/>
        <v>240</v>
      </c>
      <c r="F212" s="102">
        <f t="shared" si="78"/>
        <v>38.490017945975055</v>
      </c>
      <c r="G212" s="103">
        <f t="shared" si="79"/>
        <v>10</v>
      </c>
      <c r="H212" s="296">
        <f t="shared" si="72"/>
        <v>67.795200000000008</v>
      </c>
      <c r="I212" s="104">
        <f t="shared" si="80"/>
        <v>117.42473090929356</v>
      </c>
      <c r="J212" s="180">
        <f t="shared" si="81"/>
        <v>25</v>
      </c>
      <c r="K212" s="104">
        <f t="shared" si="73"/>
        <v>77.8125</v>
      </c>
      <c r="L212" s="263">
        <f t="shared" si="74"/>
        <v>16</v>
      </c>
      <c r="M212" s="628"/>
      <c r="N212" s="628"/>
      <c r="O212" s="628"/>
      <c r="P212" s="491"/>
      <c r="Q212" s="491"/>
      <c r="R212" s="491"/>
      <c r="S212" s="628"/>
      <c r="T212" s="24"/>
      <c r="U212" s="24"/>
    </row>
    <row r="213" spans="1:21">
      <c r="A213" s="72">
        <f t="shared" si="75"/>
        <v>60</v>
      </c>
      <c r="B213" s="15">
        <v>2.4</v>
      </c>
      <c r="C213" s="66">
        <f t="shared" si="76"/>
        <v>144</v>
      </c>
      <c r="D213" s="68">
        <v>100</v>
      </c>
      <c r="E213" s="66">
        <f t="shared" si="77"/>
        <v>480</v>
      </c>
      <c r="F213" s="45">
        <f t="shared" si="78"/>
        <v>26.461887337857849</v>
      </c>
      <c r="G213" s="94">
        <f t="shared" si="79"/>
        <v>10</v>
      </c>
      <c r="H213" s="295">
        <f t="shared" si="72"/>
        <v>67.795200000000008</v>
      </c>
      <c r="I213" s="25">
        <f t="shared" si="80"/>
        <v>117.42473090929356</v>
      </c>
      <c r="J213" s="52">
        <f t="shared" si="81"/>
        <v>25</v>
      </c>
      <c r="K213" s="25">
        <f t="shared" si="73"/>
        <v>103.75</v>
      </c>
      <c r="L213" s="157">
        <f t="shared" si="74"/>
        <v>22</v>
      </c>
      <c r="M213" s="628"/>
      <c r="N213" s="628"/>
      <c r="O213" s="628"/>
      <c r="P213" s="491"/>
      <c r="Q213" s="491"/>
      <c r="R213" s="491"/>
      <c r="S213" s="628"/>
      <c r="T213" s="24"/>
      <c r="U213" s="24"/>
    </row>
    <row r="214" spans="1:21">
      <c r="A214" s="72">
        <f t="shared" si="75"/>
        <v>60</v>
      </c>
      <c r="B214" s="15">
        <v>2.4</v>
      </c>
      <c r="C214" s="66">
        <f t="shared" si="76"/>
        <v>144</v>
      </c>
      <c r="D214" s="68">
        <v>125</v>
      </c>
      <c r="E214" s="66">
        <f t="shared" si="77"/>
        <v>480</v>
      </c>
      <c r="F214" s="45">
        <f t="shared" si="78"/>
        <v>32.47595264191645</v>
      </c>
      <c r="G214" s="94">
        <f t="shared" si="79"/>
        <v>10</v>
      </c>
      <c r="H214" s="295">
        <f t="shared" si="72"/>
        <v>67.795200000000008</v>
      </c>
      <c r="I214" s="25">
        <f t="shared" si="80"/>
        <v>117.42473090929356</v>
      </c>
      <c r="J214" s="52">
        <f t="shared" si="81"/>
        <v>25</v>
      </c>
      <c r="K214" s="25">
        <f t="shared" si="73"/>
        <v>129.6875</v>
      </c>
      <c r="L214" s="158">
        <f t="shared" si="74"/>
        <v>27</v>
      </c>
      <c r="M214" s="628"/>
      <c r="N214" s="628"/>
      <c r="O214" s="628"/>
      <c r="P214" s="491"/>
      <c r="Q214" s="491"/>
      <c r="R214" s="491"/>
      <c r="S214" s="628"/>
      <c r="T214" s="24"/>
      <c r="U214" s="24"/>
    </row>
    <row r="215" spans="1:21">
      <c r="A215" s="98">
        <f t="shared" si="75"/>
        <v>60</v>
      </c>
      <c r="B215" s="99">
        <v>2.4</v>
      </c>
      <c r="C215" s="100">
        <f t="shared" si="76"/>
        <v>144</v>
      </c>
      <c r="D215" s="101">
        <v>150</v>
      </c>
      <c r="E215" s="100">
        <f t="shared" si="77"/>
        <v>480</v>
      </c>
      <c r="F215" s="102">
        <f t="shared" si="78"/>
        <v>38.490017945975055</v>
      </c>
      <c r="G215" s="103">
        <f t="shared" si="79"/>
        <v>10</v>
      </c>
      <c r="H215" s="296">
        <f t="shared" si="72"/>
        <v>67.795200000000008</v>
      </c>
      <c r="I215" s="104">
        <f t="shared" si="80"/>
        <v>117.42473090929356</v>
      </c>
      <c r="J215" s="180">
        <f t="shared" si="81"/>
        <v>25</v>
      </c>
      <c r="K215" s="104">
        <f t="shared" si="73"/>
        <v>155.625</v>
      </c>
      <c r="L215" s="477">
        <f t="shared" si="74"/>
        <v>32</v>
      </c>
      <c r="M215" s="628"/>
      <c r="N215" s="628"/>
      <c r="O215" s="628"/>
      <c r="P215" s="491"/>
      <c r="Q215" s="491"/>
      <c r="R215" s="491"/>
      <c r="S215" s="628"/>
      <c r="T215" s="24"/>
      <c r="U215" s="24"/>
    </row>
    <row r="216" spans="1:21">
      <c r="A216" s="72">
        <f t="shared" si="75"/>
        <v>60</v>
      </c>
      <c r="B216" s="15">
        <v>2.4</v>
      </c>
      <c r="C216" s="66">
        <f t="shared" si="76"/>
        <v>144</v>
      </c>
      <c r="D216" s="68">
        <v>175</v>
      </c>
      <c r="E216" s="66">
        <f t="shared" si="77"/>
        <v>480</v>
      </c>
      <c r="F216" s="45">
        <f t="shared" si="78"/>
        <v>44.504083250033652</v>
      </c>
      <c r="G216" s="94">
        <f t="shared" si="79"/>
        <v>10</v>
      </c>
      <c r="H216" s="295">
        <f t="shared" si="72"/>
        <v>67.795200000000008</v>
      </c>
      <c r="I216" s="25">
        <f t="shared" si="80"/>
        <v>117.42473090929356</v>
      </c>
      <c r="J216" s="52">
        <f t="shared" si="81"/>
        <v>25</v>
      </c>
      <c r="K216" s="25">
        <f t="shared" si="73"/>
        <v>181.5625</v>
      </c>
      <c r="L216" s="158">
        <f t="shared" si="74"/>
        <v>37</v>
      </c>
      <c r="M216" s="628"/>
      <c r="N216" s="628"/>
      <c r="O216" s="628"/>
      <c r="P216" s="491"/>
      <c r="Q216" s="491"/>
      <c r="R216" s="491"/>
      <c r="S216" s="628"/>
      <c r="T216" s="24"/>
      <c r="U216" s="24"/>
    </row>
    <row r="217" spans="1:21">
      <c r="A217" s="72">
        <f t="shared" si="75"/>
        <v>60</v>
      </c>
      <c r="B217" s="15">
        <v>2.4</v>
      </c>
      <c r="C217" s="66">
        <f t="shared" si="76"/>
        <v>144</v>
      </c>
      <c r="D217" s="68">
        <v>200</v>
      </c>
      <c r="E217" s="66">
        <f t="shared" si="77"/>
        <v>480</v>
      </c>
      <c r="F217" s="45">
        <f t="shared" si="78"/>
        <v>51.720961614903977</v>
      </c>
      <c r="G217" s="94">
        <f t="shared" si="79"/>
        <v>10</v>
      </c>
      <c r="H217" s="295">
        <f t="shared" si="72"/>
        <v>67.795200000000008</v>
      </c>
      <c r="I217" s="25">
        <f t="shared" si="80"/>
        <v>117.42473090929356</v>
      </c>
      <c r="J217" s="52">
        <f t="shared" si="81"/>
        <v>25</v>
      </c>
      <c r="K217" s="25">
        <f t="shared" si="73"/>
        <v>207.5</v>
      </c>
      <c r="L217" s="158">
        <f t="shared" si="74"/>
        <v>43</v>
      </c>
      <c r="M217" s="628"/>
      <c r="N217" s="628"/>
      <c r="O217" s="628"/>
      <c r="P217" s="491"/>
      <c r="Q217" s="491"/>
      <c r="R217" s="491"/>
      <c r="S217" s="628"/>
      <c r="T217" s="24"/>
      <c r="U217" s="24"/>
    </row>
    <row r="218" spans="1:21">
      <c r="A218" s="98">
        <f t="shared" si="75"/>
        <v>60</v>
      </c>
      <c r="B218" s="99">
        <v>2.4</v>
      </c>
      <c r="C218" s="100">
        <f t="shared" si="76"/>
        <v>144</v>
      </c>
      <c r="D218" s="101">
        <v>250</v>
      </c>
      <c r="E218" s="100">
        <f t="shared" si="77"/>
        <v>480</v>
      </c>
      <c r="F218" s="102">
        <f t="shared" si="78"/>
        <v>63.749092223021186</v>
      </c>
      <c r="G218" s="103">
        <f t="shared" si="79"/>
        <v>10</v>
      </c>
      <c r="H218" s="296">
        <f t="shared" si="72"/>
        <v>67.795200000000008</v>
      </c>
      <c r="I218" s="104">
        <f t="shared" si="80"/>
        <v>117.42473090929356</v>
      </c>
      <c r="J218" s="180">
        <f t="shared" si="81"/>
        <v>25</v>
      </c>
      <c r="K218" s="104">
        <f t="shared" si="73"/>
        <v>259.375</v>
      </c>
      <c r="L218" s="477">
        <f t="shared" si="74"/>
        <v>53</v>
      </c>
      <c r="M218" s="628"/>
      <c r="N218" s="628"/>
      <c r="O218" s="628"/>
      <c r="P218" s="491"/>
      <c r="Q218" s="491"/>
      <c r="R218" s="491"/>
      <c r="S218" s="628"/>
      <c r="T218" s="24"/>
      <c r="U218" s="24"/>
    </row>
    <row r="219" spans="1:21">
      <c r="A219" s="72">
        <f t="shared" si="75"/>
        <v>60</v>
      </c>
      <c r="B219" s="15">
        <v>2.4</v>
      </c>
      <c r="C219" s="66">
        <f t="shared" si="76"/>
        <v>144</v>
      </c>
      <c r="D219" s="68">
        <v>300</v>
      </c>
      <c r="E219" s="66">
        <f t="shared" si="77"/>
        <v>480</v>
      </c>
      <c r="F219" s="45">
        <f t="shared" si="78"/>
        <v>76.980035891950109</v>
      </c>
      <c r="G219" s="94">
        <f t="shared" si="79"/>
        <v>10</v>
      </c>
      <c r="H219" s="295">
        <f t="shared" si="72"/>
        <v>67.795200000000008</v>
      </c>
      <c r="I219" s="25">
        <f t="shared" si="80"/>
        <v>117.42473090929356</v>
      </c>
      <c r="J219" s="52">
        <f t="shared" si="81"/>
        <v>25</v>
      </c>
      <c r="K219" s="25">
        <f t="shared" si="73"/>
        <v>311.25</v>
      </c>
      <c r="L219" s="158">
        <f t="shared" si="74"/>
        <v>64</v>
      </c>
      <c r="M219" s="628"/>
      <c r="N219" s="628"/>
      <c r="O219" s="628"/>
      <c r="P219" s="491"/>
      <c r="Q219" s="491"/>
      <c r="R219" s="491"/>
      <c r="S219" s="628"/>
      <c r="T219" s="24"/>
      <c r="U219" s="24"/>
    </row>
    <row r="220" spans="1:21">
      <c r="A220" s="72">
        <f t="shared" si="75"/>
        <v>60</v>
      </c>
      <c r="B220" s="15">
        <v>2.4</v>
      </c>
      <c r="C220" s="66">
        <f t="shared" si="76"/>
        <v>144</v>
      </c>
      <c r="D220" s="68">
        <v>350</v>
      </c>
      <c r="E220" s="66">
        <f t="shared" si="77"/>
        <v>480</v>
      </c>
      <c r="F220" s="45">
        <f t="shared" si="78"/>
        <v>89.008166500067304</v>
      </c>
      <c r="G220" s="94">
        <f t="shared" si="79"/>
        <v>10</v>
      </c>
      <c r="H220" s="295">
        <f t="shared" si="72"/>
        <v>67.795200000000008</v>
      </c>
      <c r="I220" s="25">
        <f t="shared" si="80"/>
        <v>117.42473090929356</v>
      </c>
      <c r="J220" s="52">
        <f t="shared" si="81"/>
        <v>25</v>
      </c>
      <c r="K220" s="25">
        <f t="shared" si="73"/>
        <v>363.125</v>
      </c>
      <c r="L220" s="158">
        <f t="shared" si="74"/>
        <v>74</v>
      </c>
      <c r="M220" s="628"/>
      <c r="N220" s="628"/>
      <c r="O220" s="628"/>
      <c r="P220" s="491"/>
      <c r="Q220" s="491"/>
      <c r="R220" s="491"/>
      <c r="S220" s="628"/>
      <c r="T220" s="24"/>
      <c r="U220" s="24"/>
    </row>
    <row r="221" spans="1:21">
      <c r="A221" s="98">
        <f t="shared" si="75"/>
        <v>60</v>
      </c>
      <c r="B221" s="99">
        <v>2.4</v>
      </c>
      <c r="C221" s="100">
        <f t="shared" si="76"/>
        <v>144</v>
      </c>
      <c r="D221" s="101">
        <v>400</v>
      </c>
      <c r="E221" s="100">
        <f t="shared" si="77"/>
        <v>480</v>
      </c>
      <c r="F221" s="102">
        <f t="shared" si="78"/>
        <v>102.23911016899623</v>
      </c>
      <c r="G221" s="103">
        <f t="shared" si="79"/>
        <v>10</v>
      </c>
      <c r="H221" s="296">
        <f t="shared" si="72"/>
        <v>67.795200000000008</v>
      </c>
      <c r="I221" s="104">
        <f t="shared" si="80"/>
        <v>117.42473090929356</v>
      </c>
      <c r="J221" s="180">
        <f t="shared" si="81"/>
        <v>25</v>
      </c>
      <c r="K221" s="104">
        <f t="shared" si="73"/>
        <v>415</v>
      </c>
      <c r="L221" s="477">
        <f t="shared" si="74"/>
        <v>85</v>
      </c>
      <c r="M221" s="628"/>
      <c r="N221" s="628"/>
      <c r="O221" s="628"/>
      <c r="P221" s="491"/>
      <c r="Q221" s="491"/>
      <c r="R221" s="491"/>
      <c r="S221" s="628"/>
      <c r="T221" s="24"/>
      <c r="U221" s="24"/>
    </row>
    <row r="222" spans="1:21">
      <c r="A222" s="72">
        <f t="shared" si="75"/>
        <v>60</v>
      </c>
      <c r="B222" s="15">
        <v>2.4</v>
      </c>
      <c r="C222" s="66">
        <f t="shared" si="76"/>
        <v>144</v>
      </c>
      <c r="D222" s="68">
        <v>450</v>
      </c>
      <c r="E222" s="66">
        <f t="shared" si="77"/>
        <v>480</v>
      </c>
      <c r="F222" s="45">
        <f t="shared" si="78"/>
        <v>114.26724077711343</v>
      </c>
      <c r="G222" s="94">
        <f t="shared" si="79"/>
        <v>10</v>
      </c>
      <c r="H222" s="295">
        <f t="shared" si="72"/>
        <v>67.795200000000008</v>
      </c>
      <c r="I222" s="25">
        <f t="shared" si="80"/>
        <v>117.42473090929356</v>
      </c>
      <c r="J222" s="52">
        <f t="shared" si="81"/>
        <v>25</v>
      </c>
      <c r="K222" s="25">
        <f t="shared" si="73"/>
        <v>466.875</v>
      </c>
      <c r="L222" s="158">
        <f t="shared" si="74"/>
        <v>95</v>
      </c>
      <c r="M222" s="628"/>
      <c r="N222" s="628"/>
      <c r="O222" s="628"/>
      <c r="P222" s="491"/>
      <c r="Q222" s="491"/>
      <c r="R222" s="491"/>
      <c r="S222" s="628"/>
      <c r="T222" s="24"/>
      <c r="U222" s="24"/>
    </row>
    <row r="223" spans="1:21">
      <c r="A223" s="72">
        <f t="shared" si="75"/>
        <v>60</v>
      </c>
      <c r="B223" s="15">
        <v>2.4</v>
      </c>
      <c r="C223" s="66">
        <f t="shared" si="76"/>
        <v>144</v>
      </c>
      <c r="D223" s="68">
        <v>500</v>
      </c>
      <c r="E223" s="66">
        <f t="shared" si="77"/>
        <v>480</v>
      </c>
      <c r="F223" s="45">
        <f t="shared" si="78"/>
        <v>127.49818444604237</v>
      </c>
      <c r="G223" s="94">
        <f t="shared" si="79"/>
        <v>10</v>
      </c>
      <c r="H223" s="295">
        <f t="shared" si="72"/>
        <v>67.795200000000008</v>
      </c>
      <c r="I223" s="25">
        <f t="shared" si="80"/>
        <v>117.42473090929356</v>
      </c>
      <c r="J223" s="52">
        <f t="shared" si="81"/>
        <v>25</v>
      </c>
      <c r="K223" s="25">
        <f t="shared" si="73"/>
        <v>518.75</v>
      </c>
      <c r="L223" s="158">
        <f t="shared" si="74"/>
        <v>106</v>
      </c>
      <c r="M223" s="628"/>
      <c r="N223" s="628"/>
      <c r="O223" s="628"/>
      <c r="P223" s="491"/>
      <c r="Q223" s="491"/>
      <c r="R223" s="491"/>
      <c r="S223" s="628"/>
      <c r="T223" s="24"/>
      <c r="U223" s="24"/>
    </row>
    <row r="224" spans="1:21">
      <c r="A224" s="98">
        <f t="shared" si="75"/>
        <v>60</v>
      </c>
      <c r="B224" s="99">
        <v>2.4</v>
      </c>
      <c r="C224" s="100">
        <f t="shared" si="76"/>
        <v>144</v>
      </c>
      <c r="D224" s="101">
        <v>600</v>
      </c>
      <c r="E224" s="100">
        <f t="shared" si="77"/>
        <v>480</v>
      </c>
      <c r="F224" s="102">
        <f t="shared" si="78"/>
        <v>152.75725872308848</v>
      </c>
      <c r="G224" s="103">
        <f t="shared" si="79"/>
        <v>10</v>
      </c>
      <c r="H224" s="296">
        <f t="shared" si="72"/>
        <v>67.795200000000008</v>
      </c>
      <c r="I224" s="104">
        <f t="shared" si="80"/>
        <v>117.42473090929356</v>
      </c>
      <c r="J224" s="180">
        <f t="shared" si="81"/>
        <v>25</v>
      </c>
      <c r="K224" s="104">
        <f t="shared" si="73"/>
        <v>622.5</v>
      </c>
      <c r="L224" s="477">
        <f t="shared" si="74"/>
        <v>127</v>
      </c>
      <c r="M224" s="628"/>
      <c r="N224" s="628"/>
      <c r="O224" s="628"/>
      <c r="P224" s="491"/>
      <c r="Q224" s="491"/>
      <c r="R224" s="491"/>
      <c r="S224" s="628"/>
      <c r="T224" s="24"/>
      <c r="U224" s="24"/>
    </row>
    <row r="225" spans="1:21">
      <c r="A225" s="72">
        <f t="shared" si="75"/>
        <v>60</v>
      </c>
      <c r="B225" s="15">
        <v>2.4</v>
      </c>
      <c r="C225" s="66">
        <f t="shared" si="76"/>
        <v>144</v>
      </c>
      <c r="D225" s="68">
        <v>700</v>
      </c>
      <c r="E225" s="66">
        <f t="shared" si="77"/>
        <v>480</v>
      </c>
      <c r="F225" s="45">
        <f t="shared" si="78"/>
        <v>178.01633300013461</v>
      </c>
      <c r="G225" s="94">
        <f t="shared" si="79"/>
        <v>10</v>
      </c>
      <c r="H225" s="295">
        <f t="shared" si="72"/>
        <v>67.795200000000008</v>
      </c>
      <c r="I225" s="25">
        <f t="shared" si="80"/>
        <v>117.42473090929356</v>
      </c>
      <c r="J225" s="52">
        <f t="shared" si="81"/>
        <v>25</v>
      </c>
      <c r="K225" s="25">
        <f t="shared" si="73"/>
        <v>726.25</v>
      </c>
      <c r="L225" s="158">
        <f t="shared" si="74"/>
        <v>148</v>
      </c>
      <c r="M225" s="628"/>
      <c r="N225" s="628"/>
      <c r="O225" s="628"/>
      <c r="P225" s="491"/>
      <c r="Q225" s="491"/>
      <c r="R225" s="491"/>
      <c r="S225" s="628"/>
      <c r="T225" s="24"/>
      <c r="U225" s="24"/>
    </row>
    <row r="226" spans="1:21">
      <c r="A226" s="72">
        <f t="shared" si="75"/>
        <v>60</v>
      </c>
      <c r="B226" s="15">
        <v>2.4</v>
      </c>
      <c r="C226" s="66">
        <f t="shared" si="76"/>
        <v>144</v>
      </c>
      <c r="D226" s="68">
        <v>800</v>
      </c>
      <c r="E226" s="66">
        <f t="shared" si="77"/>
        <v>480</v>
      </c>
      <c r="F226" s="45">
        <f t="shared" si="78"/>
        <v>203.27540727718073</v>
      </c>
      <c r="G226" s="94">
        <f t="shared" si="79"/>
        <v>10</v>
      </c>
      <c r="H226" s="295">
        <f t="shared" si="72"/>
        <v>67.795200000000008</v>
      </c>
      <c r="I226" s="25">
        <f t="shared" si="80"/>
        <v>117.42473090929356</v>
      </c>
      <c r="J226" s="52">
        <f t="shared" si="81"/>
        <v>25</v>
      </c>
      <c r="K226" s="25">
        <f t="shared" si="73"/>
        <v>830</v>
      </c>
      <c r="L226" s="158">
        <f t="shared" si="74"/>
        <v>169</v>
      </c>
      <c r="M226" s="628"/>
      <c r="N226" s="628"/>
      <c r="O226" s="628"/>
      <c r="P226" s="491"/>
      <c r="Q226" s="491"/>
      <c r="R226" s="491"/>
      <c r="S226" s="628"/>
      <c r="T226" s="24"/>
      <c r="U226" s="24"/>
    </row>
    <row r="227" spans="1:21">
      <c r="A227" s="98">
        <f t="shared" si="75"/>
        <v>60</v>
      </c>
      <c r="B227" s="99">
        <v>2.4</v>
      </c>
      <c r="C227" s="100">
        <f t="shared" si="76"/>
        <v>144</v>
      </c>
      <c r="D227" s="101">
        <v>900</v>
      </c>
      <c r="E227" s="100">
        <f t="shared" si="77"/>
        <v>480</v>
      </c>
      <c r="F227" s="102">
        <f t="shared" si="78"/>
        <v>228.53448155422686</v>
      </c>
      <c r="G227" s="103">
        <f t="shared" si="79"/>
        <v>10</v>
      </c>
      <c r="H227" s="296">
        <f t="shared" si="72"/>
        <v>67.795200000000008</v>
      </c>
      <c r="I227" s="104">
        <f t="shared" si="80"/>
        <v>117.42473090929356</v>
      </c>
      <c r="J227" s="180">
        <f t="shared" si="81"/>
        <v>25</v>
      </c>
      <c r="K227" s="104">
        <f t="shared" si="73"/>
        <v>933.75</v>
      </c>
      <c r="L227" s="477">
        <f t="shared" si="74"/>
        <v>190</v>
      </c>
      <c r="M227" s="628"/>
      <c r="N227" s="628"/>
      <c r="O227" s="628"/>
      <c r="P227" s="491"/>
      <c r="Q227" s="491"/>
      <c r="R227" s="491"/>
      <c r="S227" s="628"/>
      <c r="T227" s="24"/>
      <c r="U227" s="24"/>
    </row>
    <row r="228" spans="1:21">
      <c r="A228" s="72">
        <f t="shared" si="75"/>
        <v>60</v>
      </c>
      <c r="B228" s="15">
        <v>2.4</v>
      </c>
      <c r="C228" s="66">
        <f t="shared" si="76"/>
        <v>144</v>
      </c>
      <c r="D228" s="68">
        <v>1000</v>
      </c>
      <c r="E228" s="66">
        <f t="shared" si="77"/>
        <v>480</v>
      </c>
      <c r="F228" s="45">
        <f t="shared" si="78"/>
        <v>254.99636889208475</v>
      </c>
      <c r="G228" s="94">
        <f t="shared" si="79"/>
        <v>10</v>
      </c>
      <c r="H228" s="295">
        <f t="shared" si="72"/>
        <v>67.795200000000008</v>
      </c>
      <c r="I228" s="25">
        <f t="shared" si="80"/>
        <v>117.42473090929356</v>
      </c>
      <c r="J228" s="52">
        <f t="shared" si="81"/>
        <v>25</v>
      </c>
      <c r="K228" s="25">
        <f t="shared" si="73"/>
        <v>1037.5</v>
      </c>
      <c r="L228" s="158">
        <f t="shared" si="74"/>
        <v>212</v>
      </c>
      <c r="M228" s="628"/>
      <c r="N228" s="628"/>
      <c r="O228" s="628"/>
      <c r="P228" s="491"/>
      <c r="Q228" s="491"/>
      <c r="R228" s="491"/>
      <c r="S228" s="628"/>
      <c r="T228" s="24"/>
      <c r="U228" s="24"/>
    </row>
    <row r="229" spans="1:21">
      <c r="A229" s="72">
        <f t="shared" si="75"/>
        <v>60</v>
      </c>
      <c r="B229" s="15">
        <v>2.4</v>
      </c>
      <c r="C229" s="66">
        <f t="shared" si="76"/>
        <v>144</v>
      </c>
      <c r="D229" s="68">
        <v>1100</v>
      </c>
      <c r="E229" s="66">
        <f t="shared" si="77"/>
        <v>480</v>
      </c>
      <c r="F229" s="45">
        <f t="shared" si="78"/>
        <v>280.25544316913084</v>
      </c>
      <c r="G229" s="94">
        <f t="shared" si="79"/>
        <v>10</v>
      </c>
      <c r="H229" s="295">
        <f t="shared" si="72"/>
        <v>67.795200000000008</v>
      </c>
      <c r="I229" s="25">
        <f t="shared" si="80"/>
        <v>117.42473090929356</v>
      </c>
      <c r="J229" s="52">
        <f t="shared" si="81"/>
        <v>25</v>
      </c>
      <c r="K229" s="25">
        <f t="shared" si="73"/>
        <v>1141.25</v>
      </c>
      <c r="L229" s="158">
        <f t="shared" si="74"/>
        <v>233</v>
      </c>
      <c r="M229" s="628"/>
      <c r="N229" s="628"/>
      <c r="O229" s="628"/>
      <c r="P229" s="491"/>
      <c r="Q229" s="491"/>
      <c r="R229" s="491"/>
      <c r="S229" s="628"/>
      <c r="T229" s="24"/>
      <c r="U229" s="24"/>
    </row>
    <row r="230" spans="1:21" ht="13.5" thickBot="1">
      <c r="A230" s="253">
        <f t="shared" si="75"/>
        <v>60</v>
      </c>
      <c r="B230" s="254">
        <v>2.4</v>
      </c>
      <c r="C230" s="258">
        <f t="shared" si="76"/>
        <v>144</v>
      </c>
      <c r="D230" s="259">
        <v>1200</v>
      </c>
      <c r="E230" s="258">
        <f t="shared" si="77"/>
        <v>480</v>
      </c>
      <c r="F230" s="260">
        <f t="shared" si="78"/>
        <v>305.51451744617697</v>
      </c>
      <c r="G230" s="261">
        <f t="shared" si="79"/>
        <v>10</v>
      </c>
      <c r="H230" s="297">
        <f t="shared" si="72"/>
        <v>67.795200000000008</v>
      </c>
      <c r="I230" s="264">
        <f t="shared" si="80"/>
        <v>117.42473090929356</v>
      </c>
      <c r="J230" s="265">
        <f t="shared" si="81"/>
        <v>25</v>
      </c>
      <c r="K230" s="264">
        <f t="shared" si="73"/>
        <v>1245</v>
      </c>
      <c r="L230" s="478">
        <f t="shared" si="74"/>
        <v>254</v>
      </c>
      <c r="M230" s="628"/>
      <c r="N230" s="628"/>
      <c r="O230" s="628"/>
      <c r="P230" s="491"/>
      <c r="Q230" s="491"/>
      <c r="R230" s="491"/>
      <c r="S230" s="628"/>
      <c r="T230" s="24"/>
      <c r="U230" s="24"/>
    </row>
    <row r="231" spans="1:21">
      <c r="M231" s="628"/>
      <c r="N231" s="628"/>
      <c r="O231" s="628"/>
      <c r="P231" s="491"/>
    </row>
    <row r="232" spans="1:21" ht="13.5" thickBot="1">
      <c r="M232" s="628"/>
      <c r="N232" s="628"/>
      <c r="O232" s="628"/>
      <c r="P232" s="491"/>
    </row>
    <row r="233" spans="1:21" ht="16.5" thickBot="1">
      <c r="A233" s="95" t="s">
        <v>77</v>
      </c>
      <c r="B233" s="96"/>
      <c r="C233" s="44"/>
      <c r="D233" s="86"/>
      <c r="E233" s="86"/>
      <c r="F233" s="86"/>
      <c r="G233" s="87"/>
      <c r="H233" s="290" t="s">
        <v>102</v>
      </c>
      <c r="I233" s="42"/>
      <c r="J233" s="51"/>
      <c r="K233" s="42"/>
      <c r="L233" s="40"/>
      <c r="M233" s="628"/>
      <c r="N233" s="628"/>
      <c r="O233" s="628"/>
      <c r="P233" s="491"/>
    </row>
    <row r="234" spans="1:21" ht="13.5" thickBot="1">
      <c r="A234" s="97" t="s">
        <v>23</v>
      </c>
      <c r="B234" s="48"/>
      <c r="C234" s="189" t="s">
        <v>76</v>
      </c>
      <c r="D234" s="190"/>
      <c r="E234" s="189" t="s">
        <v>57</v>
      </c>
      <c r="F234" s="191"/>
      <c r="G234" s="192"/>
      <c r="H234" s="76"/>
      <c r="I234" s="90"/>
      <c r="J234" s="175"/>
      <c r="K234" s="90"/>
      <c r="L234" s="49"/>
      <c r="M234" s="628"/>
      <c r="N234" s="628"/>
      <c r="O234" s="628"/>
      <c r="P234" s="491"/>
    </row>
    <row r="235" spans="1:21" ht="15">
      <c r="A235" s="65">
        <v>240</v>
      </c>
      <c r="B235" s="67" t="s">
        <v>92</v>
      </c>
      <c r="C235" s="65" t="s">
        <v>93</v>
      </c>
      <c r="D235" s="67" t="s">
        <v>16</v>
      </c>
      <c r="E235" s="65" t="s">
        <v>54</v>
      </c>
      <c r="F235" s="18" t="s">
        <v>58</v>
      </c>
      <c r="G235" s="198" t="s">
        <v>55</v>
      </c>
      <c r="H235" s="65" t="s">
        <v>50</v>
      </c>
      <c r="I235" s="18" t="s">
        <v>51</v>
      </c>
      <c r="J235" s="73" t="s">
        <v>56</v>
      </c>
      <c r="K235" s="18" t="s">
        <v>28</v>
      </c>
      <c r="L235" s="156" t="s">
        <v>29</v>
      </c>
      <c r="N235" s="629">
        <v>0.05</v>
      </c>
      <c r="O235" s="629">
        <v>0.04</v>
      </c>
      <c r="P235" s="4" t="s">
        <v>254</v>
      </c>
      <c r="Q235" s="4" t="s">
        <v>255</v>
      </c>
      <c r="R235" s="455" t="s">
        <v>263</v>
      </c>
      <c r="S235" s="583" t="s">
        <v>261</v>
      </c>
    </row>
    <row r="236" spans="1:21" ht="16.5" thickBot="1">
      <c r="A236" s="187" t="s">
        <v>24</v>
      </c>
      <c r="B236" s="188" t="s">
        <v>53</v>
      </c>
      <c r="C236" s="306" t="s">
        <v>53</v>
      </c>
      <c r="D236" s="255" t="s">
        <v>22</v>
      </c>
      <c r="E236" s="187" t="s">
        <v>53</v>
      </c>
      <c r="F236" s="16" t="s">
        <v>22</v>
      </c>
      <c r="G236" s="194">
        <v>10</v>
      </c>
      <c r="H236" s="187" t="s">
        <v>42</v>
      </c>
      <c r="I236" s="16" t="s">
        <v>42</v>
      </c>
      <c r="J236" s="196">
        <v>25</v>
      </c>
      <c r="K236" s="16" t="s">
        <v>43</v>
      </c>
      <c r="L236" s="195" t="s">
        <v>44</v>
      </c>
      <c r="M236" s="625" t="s">
        <v>253</v>
      </c>
      <c r="N236" s="625" t="s">
        <v>253</v>
      </c>
      <c r="O236" s="625" t="s">
        <v>253</v>
      </c>
      <c r="P236" s="630" t="s">
        <v>256</v>
      </c>
      <c r="Q236" s="630" t="s">
        <v>256</v>
      </c>
      <c r="R236" s="641" t="s">
        <v>22</v>
      </c>
      <c r="S236" s="641" t="s">
        <v>262</v>
      </c>
    </row>
    <row r="237" spans="1:21">
      <c r="A237" s="70"/>
      <c r="B237" s="19"/>
      <c r="C237" s="65"/>
      <c r="D237" s="67"/>
      <c r="E237" s="65"/>
      <c r="F237" s="18"/>
      <c r="G237" s="19"/>
      <c r="H237" s="65"/>
      <c r="I237" s="18"/>
      <c r="J237" s="73"/>
      <c r="K237" s="18"/>
      <c r="L237" s="156"/>
    </row>
    <row r="238" spans="1:21">
      <c r="A238" s="72">
        <f>A$235/2</f>
        <v>120</v>
      </c>
      <c r="B238" s="15">
        <v>2.4</v>
      </c>
      <c r="C238" s="66">
        <f>A238*B238</f>
        <v>288</v>
      </c>
      <c r="D238" s="68">
        <v>5</v>
      </c>
      <c r="E238" s="66">
        <f>IF(L238*1000/120/SQRT(3)*1.5&lt;65,120,IF(L238*1000/208/SQRT(3)*1.5&lt;65,208,IF(L238*1000/240/SQRT(3)*1.5&lt;65,240,480)))</f>
        <v>120</v>
      </c>
      <c r="F238" s="45">
        <f>L238*1000/E238/SQRT(3)</f>
        <v>10.825317547305485</v>
      </c>
      <c r="G238" s="94">
        <f>G$236</f>
        <v>10</v>
      </c>
      <c r="H238" s="295">
        <f t="shared" ref="H238:H266" si="82">IF(C238&lt;87,0.428*(1+G238/100)*C238+2,0.428*(1+G238/100)*C238)</f>
        <v>135.59040000000002</v>
      </c>
      <c r="I238" s="25">
        <f>SQRT(3)*H238</f>
        <v>234.84946181858712</v>
      </c>
      <c r="J238" s="52">
        <f>J$236</f>
        <v>25</v>
      </c>
      <c r="K238" s="25">
        <f t="shared" ref="K238:K266" si="83">(1+J238/100)*D238*0.83</f>
        <v>5.1875</v>
      </c>
      <c r="L238" s="427">
        <f t="shared" ref="L238:L266" si="84">IF(CEILING(I238*K238*SQRT(3)/1000,0.25)&lt;10,CEILING(I238*K238*SQRT(3)/1000,0.25),IF(CEILING(I238*K238*SQRT(3)/1000,0.25)&lt;20,CEILING(I238*K238*SQRT(3)/1000,0.5),CEILING(I238*K238*SQRT(3)/1000,1)))</f>
        <v>2.25</v>
      </c>
      <c r="M238" s="628"/>
      <c r="N238" s="628"/>
      <c r="O238" s="628"/>
      <c r="P238" s="491"/>
      <c r="Q238" s="491"/>
      <c r="R238" s="491"/>
      <c r="S238" s="628"/>
      <c r="T238" s="24"/>
      <c r="U238" s="24"/>
    </row>
    <row r="239" spans="1:21">
      <c r="A239" s="98">
        <f t="shared" ref="A239:A266" si="85">A$235/2</f>
        <v>120</v>
      </c>
      <c r="B239" s="99">
        <v>2.4</v>
      </c>
      <c r="C239" s="100">
        <f t="shared" ref="C239:C266" si="86">A239*B239</f>
        <v>288</v>
      </c>
      <c r="D239" s="101">
        <v>10</v>
      </c>
      <c r="E239" s="100">
        <f t="shared" ref="E239:E266" si="87">IF(L239*1000/120/SQRT(3)*1.5&lt;65,120,IF(L239*1000/208/SQRT(3)*1.5&lt;65,208,IF(L239*1000/240/SQRT(3)*1.5&lt;65,240,480)))</f>
        <v>120</v>
      </c>
      <c r="F239" s="102">
        <f t="shared" ref="F239:F266" si="88">L239*1000/E239/SQRT(3)</f>
        <v>20.447822033799245</v>
      </c>
      <c r="G239" s="103">
        <f t="shared" ref="G239:G266" si="89">G$236</f>
        <v>10</v>
      </c>
      <c r="H239" s="296">
        <f t="shared" si="82"/>
        <v>135.59040000000002</v>
      </c>
      <c r="I239" s="104">
        <f t="shared" ref="I239:I266" si="90">SQRT(3)*H239</f>
        <v>234.84946181858712</v>
      </c>
      <c r="J239" s="180">
        <f t="shared" ref="J239:J266" si="91">J$236</f>
        <v>25</v>
      </c>
      <c r="K239" s="104">
        <f t="shared" si="83"/>
        <v>10.375</v>
      </c>
      <c r="L239" s="428">
        <f t="shared" si="84"/>
        <v>4.25</v>
      </c>
      <c r="M239" s="628"/>
      <c r="N239" s="628"/>
      <c r="O239" s="628"/>
      <c r="P239" s="491"/>
      <c r="Q239" s="491"/>
      <c r="R239" s="491"/>
      <c r="S239" s="628"/>
      <c r="T239" s="24"/>
      <c r="U239" s="24"/>
    </row>
    <row r="240" spans="1:21">
      <c r="A240" s="72">
        <f t="shared" si="85"/>
        <v>120</v>
      </c>
      <c r="B240" s="15">
        <v>2.4</v>
      </c>
      <c r="C240" s="66">
        <f t="shared" si="86"/>
        <v>288</v>
      </c>
      <c r="D240" s="68">
        <v>15</v>
      </c>
      <c r="E240" s="66">
        <f t="shared" si="87"/>
        <v>120</v>
      </c>
      <c r="F240" s="45">
        <f t="shared" si="88"/>
        <v>31.273139581104729</v>
      </c>
      <c r="G240" s="94">
        <f t="shared" si="89"/>
        <v>10</v>
      </c>
      <c r="H240" s="295">
        <f t="shared" si="82"/>
        <v>135.59040000000002</v>
      </c>
      <c r="I240" s="25">
        <f t="shared" si="90"/>
        <v>234.84946181858712</v>
      </c>
      <c r="J240" s="52">
        <f t="shared" si="91"/>
        <v>25</v>
      </c>
      <c r="K240" s="25">
        <f t="shared" si="83"/>
        <v>15.5625</v>
      </c>
      <c r="L240" s="427">
        <f t="shared" si="84"/>
        <v>6.5</v>
      </c>
      <c r="M240" s="628"/>
      <c r="N240" s="628"/>
      <c r="O240" s="628"/>
      <c r="P240" s="491"/>
      <c r="Q240" s="491"/>
      <c r="R240" s="491"/>
      <c r="S240" s="628"/>
      <c r="T240" s="24"/>
      <c r="U240" s="24"/>
    </row>
    <row r="241" spans="1:21">
      <c r="A241" s="72">
        <f t="shared" si="85"/>
        <v>120</v>
      </c>
      <c r="B241" s="15">
        <v>2.4</v>
      </c>
      <c r="C241" s="66">
        <f t="shared" si="86"/>
        <v>288</v>
      </c>
      <c r="D241" s="68">
        <v>20</v>
      </c>
      <c r="E241" s="66">
        <f t="shared" si="87"/>
        <v>120</v>
      </c>
      <c r="F241" s="45">
        <f t="shared" si="88"/>
        <v>40.895644067598489</v>
      </c>
      <c r="G241" s="94">
        <f t="shared" si="89"/>
        <v>10</v>
      </c>
      <c r="H241" s="295">
        <f t="shared" si="82"/>
        <v>135.59040000000002</v>
      </c>
      <c r="I241" s="25">
        <f t="shared" si="90"/>
        <v>234.84946181858712</v>
      </c>
      <c r="J241" s="52">
        <f t="shared" si="91"/>
        <v>25</v>
      </c>
      <c r="K241" s="25">
        <f t="shared" si="83"/>
        <v>20.75</v>
      </c>
      <c r="L241" s="427">
        <f t="shared" si="84"/>
        <v>8.5</v>
      </c>
      <c r="M241" s="628"/>
      <c r="N241" s="628"/>
      <c r="O241" s="628"/>
      <c r="P241" s="491"/>
      <c r="Q241" s="491"/>
      <c r="R241" s="491"/>
      <c r="S241" s="628"/>
      <c r="T241" s="24"/>
      <c r="U241" s="24"/>
    </row>
    <row r="242" spans="1:21">
      <c r="A242" s="98">
        <f t="shared" si="85"/>
        <v>120</v>
      </c>
      <c r="B242" s="99">
        <v>2.4</v>
      </c>
      <c r="C242" s="100">
        <f t="shared" si="86"/>
        <v>288</v>
      </c>
      <c r="D242" s="101">
        <v>25</v>
      </c>
      <c r="E242" s="100">
        <f t="shared" si="87"/>
        <v>208</v>
      </c>
      <c r="F242" s="102">
        <f t="shared" si="88"/>
        <v>30.53294692829752</v>
      </c>
      <c r="G242" s="103">
        <f t="shared" si="89"/>
        <v>10</v>
      </c>
      <c r="H242" s="296">
        <f t="shared" si="82"/>
        <v>135.59040000000002</v>
      </c>
      <c r="I242" s="104">
        <f t="shared" si="90"/>
        <v>234.84946181858712</v>
      </c>
      <c r="J242" s="180">
        <f t="shared" si="91"/>
        <v>25</v>
      </c>
      <c r="K242" s="104">
        <f t="shared" si="83"/>
        <v>25.9375</v>
      </c>
      <c r="L242" s="263">
        <f t="shared" si="84"/>
        <v>11</v>
      </c>
      <c r="M242" s="628"/>
      <c r="N242" s="628"/>
      <c r="O242" s="628"/>
      <c r="P242" s="491"/>
      <c r="Q242" s="491"/>
      <c r="R242" s="491"/>
      <c r="S242" s="628"/>
      <c r="T242" s="24"/>
      <c r="U242" s="24"/>
    </row>
    <row r="243" spans="1:21">
      <c r="A243" s="72">
        <f t="shared" si="85"/>
        <v>120</v>
      </c>
      <c r="B243" s="15">
        <v>2.4</v>
      </c>
      <c r="C243" s="66">
        <f t="shared" si="86"/>
        <v>288</v>
      </c>
      <c r="D243" s="68">
        <v>30</v>
      </c>
      <c r="E243" s="66">
        <f t="shared" si="87"/>
        <v>208</v>
      </c>
      <c r="F243" s="45">
        <f t="shared" si="88"/>
        <v>36.084391824351613</v>
      </c>
      <c r="G243" s="94">
        <f t="shared" si="89"/>
        <v>10</v>
      </c>
      <c r="H243" s="295">
        <f t="shared" si="82"/>
        <v>135.59040000000002</v>
      </c>
      <c r="I243" s="25">
        <f t="shared" si="90"/>
        <v>234.84946181858712</v>
      </c>
      <c r="J243" s="52">
        <f t="shared" si="91"/>
        <v>25</v>
      </c>
      <c r="K243" s="25">
        <f t="shared" si="83"/>
        <v>31.125</v>
      </c>
      <c r="L243" s="157">
        <f t="shared" si="84"/>
        <v>13</v>
      </c>
      <c r="M243" s="628"/>
      <c r="N243" s="628"/>
      <c r="O243" s="628"/>
      <c r="P243" s="491"/>
      <c r="Q243" s="491"/>
      <c r="R243" s="491"/>
      <c r="S243" s="628"/>
      <c r="T243" s="24"/>
      <c r="U243" s="24"/>
    </row>
    <row r="244" spans="1:21">
      <c r="A244" s="72">
        <f t="shared" si="85"/>
        <v>120</v>
      </c>
      <c r="B244" s="15">
        <v>2.4</v>
      </c>
      <c r="C244" s="66">
        <f t="shared" si="86"/>
        <v>288</v>
      </c>
      <c r="D244" s="68">
        <v>35</v>
      </c>
      <c r="E244" s="66">
        <f t="shared" si="87"/>
        <v>208</v>
      </c>
      <c r="F244" s="45">
        <f t="shared" si="88"/>
        <v>41.635836720405706</v>
      </c>
      <c r="G244" s="94">
        <f t="shared" si="89"/>
        <v>10</v>
      </c>
      <c r="H244" s="295">
        <f t="shared" si="82"/>
        <v>135.59040000000002</v>
      </c>
      <c r="I244" s="25">
        <f t="shared" si="90"/>
        <v>234.84946181858712</v>
      </c>
      <c r="J244" s="52">
        <f t="shared" si="91"/>
        <v>25</v>
      </c>
      <c r="K244" s="25">
        <f t="shared" si="83"/>
        <v>36.3125</v>
      </c>
      <c r="L244" s="157">
        <f t="shared" si="84"/>
        <v>15</v>
      </c>
      <c r="M244" s="628"/>
      <c r="N244" s="628"/>
      <c r="O244" s="628"/>
      <c r="P244" s="491"/>
      <c r="Q244" s="491"/>
      <c r="R244" s="491"/>
      <c r="S244" s="628"/>
      <c r="T244" s="24"/>
      <c r="U244" s="24"/>
    </row>
    <row r="245" spans="1:21">
      <c r="A245" s="98">
        <f t="shared" si="85"/>
        <v>120</v>
      </c>
      <c r="B245" s="99">
        <v>2.4</v>
      </c>
      <c r="C245" s="100">
        <f t="shared" si="86"/>
        <v>288</v>
      </c>
      <c r="D245" s="101">
        <v>40</v>
      </c>
      <c r="E245" s="100">
        <f t="shared" si="87"/>
        <v>240</v>
      </c>
      <c r="F245" s="102">
        <f t="shared" si="88"/>
        <v>40.895644067598489</v>
      </c>
      <c r="G245" s="103">
        <f t="shared" si="89"/>
        <v>10</v>
      </c>
      <c r="H245" s="296">
        <f t="shared" si="82"/>
        <v>135.59040000000002</v>
      </c>
      <c r="I245" s="104">
        <f t="shared" si="90"/>
        <v>234.84946181858712</v>
      </c>
      <c r="J245" s="180">
        <f t="shared" si="91"/>
        <v>25</v>
      </c>
      <c r="K245" s="104">
        <f t="shared" si="83"/>
        <v>41.5</v>
      </c>
      <c r="L245" s="263">
        <f t="shared" si="84"/>
        <v>17</v>
      </c>
      <c r="M245" s="628"/>
      <c r="N245" s="628"/>
      <c r="O245" s="628"/>
      <c r="P245" s="491"/>
      <c r="Q245" s="491"/>
      <c r="R245" s="491"/>
      <c r="S245" s="628"/>
      <c r="T245" s="24"/>
      <c r="U245" s="24"/>
    </row>
    <row r="246" spans="1:21">
      <c r="A246" s="72">
        <f t="shared" si="85"/>
        <v>120</v>
      </c>
      <c r="B246" s="15">
        <v>2.4</v>
      </c>
      <c r="C246" s="66">
        <f t="shared" si="86"/>
        <v>288</v>
      </c>
      <c r="D246" s="68">
        <v>50</v>
      </c>
      <c r="E246" s="66">
        <f t="shared" si="87"/>
        <v>480</v>
      </c>
      <c r="F246" s="45">
        <f t="shared" si="88"/>
        <v>26.461887337857849</v>
      </c>
      <c r="G246" s="94">
        <f t="shared" si="89"/>
        <v>10</v>
      </c>
      <c r="H246" s="295">
        <f t="shared" si="82"/>
        <v>135.59040000000002</v>
      </c>
      <c r="I246" s="25">
        <f t="shared" si="90"/>
        <v>234.84946181858712</v>
      </c>
      <c r="J246" s="52">
        <f t="shared" si="91"/>
        <v>25</v>
      </c>
      <c r="K246" s="25">
        <f t="shared" si="83"/>
        <v>51.875</v>
      </c>
      <c r="L246" s="157">
        <f t="shared" si="84"/>
        <v>22</v>
      </c>
      <c r="M246" s="628"/>
      <c r="N246" s="628"/>
      <c r="O246" s="628"/>
      <c r="P246" s="491"/>
      <c r="Q246" s="491"/>
      <c r="R246" s="491"/>
      <c r="S246" s="628"/>
      <c r="T246" s="24"/>
      <c r="U246" s="24"/>
    </row>
    <row r="247" spans="1:21">
      <c r="A247" s="72">
        <f t="shared" si="85"/>
        <v>120</v>
      </c>
      <c r="B247" s="15">
        <v>2.4</v>
      </c>
      <c r="C247" s="66">
        <f t="shared" si="86"/>
        <v>288</v>
      </c>
      <c r="D247" s="68">
        <v>60</v>
      </c>
      <c r="E247" s="66">
        <f t="shared" si="87"/>
        <v>480</v>
      </c>
      <c r="F247" s="45">
        <f t="shared" si="88"/>
        <v>31.273139581104729</v>
      </c>
      <c r="G247" s="94">
        <f t="shared" si="89"/>
        <v>10</v>
      </c>
      <c r="H247" s="295">
        <f t="shared" si="82"/>
        <v>135.59040000000002</v>
      </c>
      <c r="I247" s="25">
        <f t="shared" si="90"/>
        <v>234.84946181858712</v>
      </c>
      <c r="J247" s="52">
        <f t="shared" si="91"/>
        <v>25</v>
      </c>
      <c r="K247" s="25">
        <f t="shared" si="83"/>
        <v>62.25</v>
      </c>
      <c r="L247" s="157">
        <f t="shared" si="84"/>
        <v>26</v>
      </c>
      <c r="M247" s="628"/>
      <c r="N247" s="628"/>
      <c r="O247" s="628"/>
      <c r="P247" s="491"/>
      <c r="Q247" s="491"/>
      <c r="R247" s="491"/>
      <c r="S247" s="628"/>
      <c r="T247" s="24"/>
      <c r="U247" s="24"/>
    </row>
    <row r="248" spans="1:21">
      <c r="A248" s="98">
        <f t="shared" si="85"/>
        <v>120</v>
      </c>
      <c r="B248" s="99">
        <v>2.4</v>
      </c>
      <c r="C248" s="100">
        <f t="shared" si="86"/>
        <v>288</v>
      </c>
      <c r="D248" s="101">
        <v>75</v>
      </c>
      <c r="E248" s="100">
        <f t="shared" si="87"/>
        <v>480</v>
      </c>
      <c r="F248" s="102">
        <f t="shared" si="88"/>
        <v>38.490017945975055</v>
      </c>
      <c r="G248" s="103">
        <f t="shared" si="89"/>
        <v>10</v>
      </c>
      <c r="H248" s="296">
        <f t="shared" si="82"/>
        <v>135.59040000000002</v>
      </c>
      <c r="I248" s="104">
        <f t="shared" si="90"/>
        <v>234.84946181858712</v>
      </c>
      <c r="J248" s="180">
        <f t="shared" si="91"/>
        <v>25</v>
      </c>
      <c r="K248" s="104">
        <f t="shared" si="83"/>
        <v>77.8125</v>
      </c>
      <c r="L248" s="263">
        <f t="shared" si="84"/>
        <v>32</v>
      </c>
      <c r="M248" s="628"/>
      <c r="N248" s="628"/>
      <c r="O248" s="628"/>
      <c r="P248" s="491"/>
      <c r="Q248" s="491"/>
      <c r="R248" s="491"/>
      <c r="S248" s="628"/>
      <c r="T248" s="24"/>
      <c r="U248" s="24"/>
    </row>
    <row r="249" spans="1:21">
      <c r="A249" s="72">
        <f t="shared" si="85"/>
        <v>120</v>
      </c>
      <c r="B249" s="15">
        <v>2.4</v>
      </c>
      <c r="C249" s="66">
        <f t="shared" si="86"/>
        <v>288</v>
      </c>
      <c r="D249" s="68">
        <v>100</v>
      </c>
      <c r="E249" s="66">
        <f t="shared" si="87"/>
        <v>480</v>
      </c>
      <c r="F249" s="45">
        <f t="shared" si="88"/>
        <v>51.720961614903977</v>
      </c>
      <c r="G249" s="94">
        <f t="shared" si="89"/>
        <v>10</v>
      </c>
      <c r="H249" s="295">
        <f t="shared" si="82"/>
        <v>135.59040000000002</v>
      </c>
      <c r="I249" s="25">
        <f t="shared" si="90"/>
        <v>234.84946181858712</v>
      </c>
      <c r="J249" s="52">
        <f t="shared" si="91"/>
        <v>25</v>
      </c>
      <c r="K249" s="25">
        <f t="shared" si="83"/>
        <v>103.75</v>
      </c>
      <c r="L249" s="157">
        <f t="shared" si="84"/>
        <v>43</v>
      </c>
      <c r="M249" s="628"/>
      <c r="N249" s="628"/>
      <c r="O249" s="628"/>
      <c r="P249" s="491"/>
      <c r="Q249" s="491"/>
      <c r="R249" s="491"/>
      <c r="S249" s="628"/>
      <c r="T249" s="24"/>
      <c r="U249" s="24"/>
    </row>
    <row r="250" spans="1:21">
      <c r="A250" s="72">
        <f t="shared" si="85"/>
        <v>120</v>
      </c>
      <c r="B250" s="15">
        <v>2.4</v>
      </c>
      <c r="C250" s="66">
        <f t="shared" si="86"/>
        <v>288</v>
      </c>
      <c r="D250" s="68">
        <v>125</v>
      </c>
      <c r="E250" s="66">
        <f t="shared" si="87"/>
        <v>480</v>
      </c>
      <c r="F250" s="45">
        <f t="shared" si="88"/>
        <v>63.749092223021186</v>
      </c>
      <c r="G250" s="94">
        <f t="shared" si="89"/>
        <v>10</v>
      </c>
      <c r="H250" s="295">
        <f t="shared" si="82"/>
        <v>135.59040000000002</v>
      </c>
      <c r="I250" s="25">
        <f t="shared" si="90"/>
        <v>234.84946181858712</v>
      </c>
      <c r="J250" s="52">
        <f t="shared" si="91"/>
        <v>25</v>
      </c>
      <c r="K250" s="25">
        <f t="shared" si="83"/>
        <v>129.6875</v>
      </c>
      <c r="L250" s="157">
        <f t="shared" si="84"/>
        <v>53</v>
      </c>
      <c r="M250" s="628"/>
      <c r="N250" s="628"/>
      <c r="O250" s="628"/>
      <c r="P250" s="491"/>
      <c r="Q250" s="491"/>
      <c r="R250" s="491"/>
      <c r="S250" s="628"/>
      <c r="T250" s="24"/>
      <c r="U250" s="24"/>
    </row>
    <row r="251" spans="1:21">
      <c r="A251" s="98">
        <f t="shared" si="85"/>
        <v>120</v>
      </c>
      <c r="B251" s="99">
        <v>2.4</v>
      </c>
      <c r="C251" s="100">
        <f t="shared" si="86"/>
        <v>288</v>
      </c>
      <c r="D251" s="101">
        <v>150</v>
      </c>
      <c r="E251" s="100">
        <f t="shared" si="87"/>
        <v>480</v>
      </c>
      <c r="F251" s="102">
        <f t="shared" si="88"/>
        <v>76.980035891950109</v>
      </c>
      <c r="G251" s="103">
        <f t="shared" si="89"/>
        <v>10</v>
      </c>
      <c r="H251" s="296">
        <f t="shared" si="82"/>
        <v>135.59040000000002</v>
      </c>
      <c r="I251" s="104">
        <f t="shared" si="90"/>
        <v>234.84946181858712</v>
      </c>
      <c r="J251" s="180">
        <f t="shared" si="91"/>
        <v>25</v>
      </c>
      <c r="K251" s="104">
        <f t="shared" si="83"/>
        <v>155.625</v>
      </c>
      <c r="L251" s="263">
        <f t="shared" si="84"/>
        <v>64</v>
      </c>
      <c r="M251" s="628"/>
      <c r="N251" s="628"/>
      <c r="O251" s="628"/>
      <c r="P251" s="491"/>
      <c r="Q251" s="491"/>
      <c r="R251" s="491"/>
      <c r="S251" s="628"/>
      <c r="T251" s="24"/>
      <c r="U251" s="24"/>
    </row>
    <row r="252" spans="1:21">
      <c r="A252" s="72">
        <f t="shared" si="85"/>
        <v>120</v>
      </c>
      <c r="B252" s="15">
        <v>2.4</v>
      </c>
      <c r="C252" s="66">
        <f t="shared" si="86"/>
        <v>288</v>
      </c>
      <c r="D252" s="68">
        <v>175</v>
      </c>
      <c r="E252" s="66">
        <f t="shared" si="87"/>
        <v>480</v>
      </c>
      <c r="F252" s="45">
        <f t="shared" si="88"/>
        <v>89.008166500067304</v>
      </c>
      <c r="G252" s="94">
        <f t="shared" si="89"/>
        <v>10</v>
      </c>
      <c r="H252" s="295">
        <f t="shared" si="82"/>
        <v>135.59040000000002</v>
      </c>
      <c r="I252" s="25">
        <f t="shared" si="90"/>
        <v>234.84946181858712</v>
      </c>
      <c r="J252" s="52">
        <f t="shared" si="91"/>
        <v>25</v>
      </c>
      <c r="K252" s="25">
        <f t="shared" si="83"/>
        <v>181.5625</v>
      </c>
      <c r="L252" s="157">
        <f t="shared" si="84"/>
        <v>74</v>
      </c>
      <c r="M252" s="628"/>
      <c r="N252" s="628"/>
      <c r="O252" s="628"/>
      <c r="P252" s="491"/>
      <c r="Q252" s="491"/>
      <c r="R252" s="491"/>
      <c r="S252" s="628"/>
      <c r="T252" s="24"/>
      <c r="U252" s="24"/>
    </row>
    <row r="253" spans="1:21">
      <c r="A253" s="72">
        <f t="shared" si="85"/>
        <v>120</v>
      </c>
      <c r="B253" s="15">
        <v>2.4</v>
      </c>
      <c r="C253" s="66">
        <f t="shared" si="86"/>
        <v>288</v>
      </c>
      <c r="D253" s="68">
        <v>200</v>
      </c>
      <c r="E253" s="66">
        <f t="shared" si="87"/>
        <v>480</v>
      </c>
      <c r="F253" s="45">
        <f t="shared" si="88"/>
        <v>102.23911016899623</v>
      </c>
      <c r="G253" s="94">
        <f t="shared" si="89"/>
        <v>10</v>
      </c>
      <c r="H253" s="295">
        <f t="shared" si="82"/>
        <v>135.59040000000002</v>
      </c>
      <c r="I253" s="25">
        <f t="shared" si="90"/>
        <v>234.84946181858712</v>
      </c>
      <c r="J253" s="52">
        <f t="shared" si="91"/>
        <v>25</v>
      </c>
      <c r="K253" s="25">
        <f t="shared" si="83"/>
        <v>207.5</v>
      </c>
      <c r="L253" s="157">
        <f t="shared" si="84"/>
        <v>85</v>
      </c>
      <c r="M253" s="628"/>
      <c r="N253" s="628"/>
      <c r="O253" s="628"/>
      <c r="P253" s="491"/>
      <c r="Q253" s="491"/>
      <c r="R253" s="491"/>
      <c r="S253" s="628"/>
      <c r="T253" s="24"/>
      <c r="U253" s="24"/>
    </row>
    <row r="254" spans="1:21">
      <c r="A254" s="98">
        <f t="shared" si="85"/>
        <v>120</v>
      </c>
      <c r="B254" s="99">
        <v>2.4</v>
      </c>
      <c r="C254" s="100">
        <f t="shared" si="86"/>
        <v>288</v>
      </c>
      <c r="D254" s="101">
        <v>250</v>
      </c>
      <c r="E254" s="100">
        <f t="shared" si="87"/>
        <v>480</v>
      </c>
      <c r="F254" s="102">
        <f t="shared" si="88"/>
        <v>127.49818444604237</v>
      </c>
      <c r="G254" s="103">
        <f t="shared" si="89"/>
        <v>10</v>
      </c>
      <c r="H254" s="296">
        <f t="shared" si="82"/>
        <v>135.59040000000002</v>
      </c>
      <c r="I254" s="104">
        <f t="shared" si="90"/>
        <v>234.84946181858712</v>
      </c>
      <c r="J254" s="180">
        <f t="shared" si="91"/>
        <v>25</v>
      </c>
      <c r="K254" s="104">
        <f t="shared" si="83"/>
        <v>259.375</v>
      </c>
      <c r="L254" s="477">
        <f t="shared" si="84"/>
        <v>106</v>
      </c>
      <c r="M254" s="628"/>
      <c r="N254" s="628"/>
      <c r="O254" s="628"/>
      <c r="P254" s="491"/>
      <c r="Q254" s="491"/>
      <c r="R254" s="491"/>
      <c r="S254" s="628"/>
      <c r="T254" s="24"/>
      <c r="U254" s="24"/>
    </row>
    <row r="255" spans="1:21">
      <c r="A255" s="72">
        <f t="shared" si="85"/>
        <v>120</v>
      </c>
      <c r="B255" s="15">
        <v>2.4</v>
      </c>
      <c r="C255" s="66">
        <f t="shared" si="86"/>
        <v>288</v>
      </c>
      <c r="D255" s="68">
        <v>300</v>
      </c>
      <c r="E255" s="66">
        <f t="shared" si="87"/>
        <v>480</v>
      </c>
      <c r="F255" s="45">
        <f t="shared" si="88"/>
        <v>152.75725872308848</v>
      </c>
      <c r="G255" s="94">
        <f t="shared" si="89"/>
        <v>10</v>
      </c>
      <c r="H255" s="295">
        <f t="shared" si="82"/>
        <v>135.59040000000002</v>
      </c>
      <c r="I255" s="25">
        <f t="shared" si="90"/>
        <v>234.84946181858712</v>
      </c>
      <c r="J255" s="52">
        <f t="shared" si="91"/>
        <v>25</v>
      </c>
      <c r="K255" s="25">
        <f t="shared" si="83"/>
        <v>311.25</v>
      </c>
      <c r="L255" s="158">
        <f t="shared" si="84"/>
        <v>127</v>
      </c>
      <c r="M255" s="628"/>
      <c r="N255" s="628"/>
      <c r="O255" s="628"/>
      <c r="P255" s="491"/>
      <c r="Q255" s="491"/>
      <c r="R255" s="491"/>
      <c r="S255" s="628"/>
      <c r="T255" s="24"/>
      <c r="U255" s="24"/>
    </row>
    <row r="256" spans="1:21">
      <c r="A256" s="72">
        <f t="shared" si="85"/>
        <v>120</v>
      </c>
      <c r="B256" s="15">
        <v>2.4</v>
      </c>
      <c r="C256" s="66">
        <f t="shared" si="86"/>
        <v>288</v>
      </c>
      <c r="D256" s="68">
        <v>350</v>
      </c>
      <c r="E256" s="66">
        <f t="shared" si="87"/>
        <v>480</v>
      </c>
      <c r="F256" s="45">
        <f t="shared" si="88"/>
        <v>178.01633300013461</v>
      </c>
      <c r="G256" s="94">
        <f t="shared" si="89"/>
        <v>10</v>
      </c>
      <c r="H256" s="295">
        <f t="shared" si="82"/>
        <v>135.59040000000002</v>
      </c>
      <c r="I256" s="25">
        <f t="shared" si="90"/>
        <v>234.84946181858712</v>
      </c>
      <c r="J256" s="52">
        <f t="shared" si="91"/>
        <v>25</v>
      </c>
      <c r="K256" s="25">
        <f t="shared" si="83"/>
        <v>363.125</v>
      </c>
      <c r="L256" s="158">
        <f t="shared" si="84"/>
        <v>148</v>
      </c>
      <c r="M256" s="628"/>
      <c r="N256" s="628"/>
      <c r="O256" s="628"/>
      <c r="P256" s="491"/>
      <c r="Q256" s="491"/>
      <c r="R256" s="491"/>
      <c r="S256" s="628"/>
      <c r="T256" s="24"/>
      <c r="U256" s="24"/>
    </row>
    <row r="257" spans="1:21">
      <c r="A257" s="98">
        <f t="shared" si="85"/>
        <v>120</v>
      </c>
      <c r="B257" s="99">
        <v>2.4</v>
      </c>
      <c r="C257" s="100">
        <f t="shared" si="86"/>
        <v>288</v>
      </c>
      <c r="D257" s="101">
        <v>400</v>
      </c>
      <c r="E257" s="100">
        <f t="shared" si="87"/>
        <v>480</v>
      </c>
      <c r="F257" s="102">
        <f t="shared" si="88"/>
        <v>203.27540727718073</v>
      </c>
      <c r="G257" s="103">
        <f t="shared" si="89"/>
        <v>10</v>
      </c>
      <c r="H257" s="296">
        <f t="shared" si="82"/>
        <v>135.59040000000002</v>
      </c>
      <c r="I257" s="104">
        <f t="shared" si="90"/>
        <v>234.84946181858712</v>
      </c>
      <c r="J257" s="180">
        <f t="shared" si="91"/>
        <v>25</v>
      </c>
      <c r="K257" s="104">
        <f t="shared" si="83"/>
        <v>415</v>
      </c>
      <c r="L257" s="477">
        <f t="shared" si="84"/>
        <v>169</v>
      </c>
      <c r="M257" s="628"/>
      <c r="N257" s="628"/>
      <c r="O257" s="628"/>
      <c r="P257" s="491"/>
      <c r="Q257" s="491"/>
      <c r="R257" s="491"/>
      <c r="S257" s="628"/>
      <c r="T257" s="24"/>
      <c r="U257" s="24"/>
    </row>
    <row r="258" spans="1:21">
      <c r="A258" s="72">
        <f t="shared" si="85"/>
        <v>120</v>
      </c>
      <c r="B258" s="15">
        <v>2.4</v>
      </c>
      <c r="C258" s="66">
        <f t="shared" si="86"/>
        <v>288</v>
      </c>
      <c r="D258" s="68">
        <v>450</v>
      </c>
      <c r="E258" s="66">
        <f t="shared" si="87"/>
        <v>480</v>
      </c>
      <c r="F258" s="45">
        <f t="shared" si="88"/>
        <v>228.53448155422686</v>
      </c>
      <c r="G258" s="94">
        <f t="shared" si="89"/>
        <v>10</v>
      </c>
      <c r="H258" s="295">
        <f t="shared" si="82"/>
        <v>135.59040000000002</v>
      </c>
      <c r="I258" s="25">
        <f t="shared" si="90"/>
        <v>234.84946181858712</v>
      </c>
      <c r="J258" s="52">
        <f t="shared" si="91"/>
        <v>25</v>
      </c>
      <c r="K258" s="25">
        <f t="shared" si="83"/>
        <v>466.875</v>
      </c>
      <c r="L258" s="158">
        <f t="shared" si="84"/>
        <v>190</v>
      </c>
      <c r="M258" s="628"/>
      <c r="N258" s="628"/>
      <c r="O258" s="628"/>
      <c r="P258" s="491"/>
      <c r="Q258" s="491"/>
      <c r="R258" s="491"/>
      <c r="S258" s="628"/>
      <c r="T258" s="24"/>
      <c r="U258" s="24"/>
    </row>
    <row r="259" spans="1:21">
      <c r="A259" s="72">
        <f t="shared" si="85"/>
        <v>120</v>
      </c>
      <c r="B259" s="15">
        <v>2.4</v>
      </c>
      <c r="C259" s="66">
        <f t="shared" si="86"/>
        <v>288</v>
      </c>
      <c r="D259" s="68">
        <v>500</v>
      </c>
      <c r="E259" s="66">
        <f t="shared" si="87"/>
        <v>480</v>
      </c>
      <c r="F259" s="45">
        <f t="shared" si="88"/>
        <v>254.99636889208475</v>
      </c>
      <c r="G259" s="94">
        <f t="shared" si="89"/>
        <v>10</v>
      </c>
      <c r="H259" s="295">
        <f t="shared" si="82"/>
        <v>135.59040000000002</v>
      </c>
      <c r="I259" s="25">
        <f t="shared" si="90"/>
        <v>234.84946181858712</v>
      </c>
      <c r="J259" s="52">
        <f t="shared" si="91"/>
        <v>25</v>
      </c>
      <c r="K259" s="25">
        <f t="shared" si="83"/>
        <v>518.75</v>
      </c>
      <c r="L259" s="158">
        <f t="shared" si="84"/>
        <v>212</v>
      </c>
      <c r="M259" s="628"/>
      <c r="N259" s="628"/>
      <c r="O259" s="628"/>
      <c r="P259" s="491"/>
      <c r="Q259" s="491"/>
      <c r="R259" s="491"/>
      <c r="S259" s="628"/>
      <c r="T259" s="24"/>
      <c r="U259" s="24"/>
    </row>
    <row r="260" spans="1:21">
      <c r="A260" s="98">
        <f t="shared" si="85"/>
        <v>120</v>
      </c>
      <c r="B260" s="99">
        <v>2.4</v>
      </c>
      <c r="C260" s="100">
        <f t="shared" si="86"/>
        <v>288</v>
      </c>
      <c r="D260" s="101">
        <v>600</v>
      </c>
      <c r="E260" s="100">
        <f t="shared" si="87"/>
        <v>480</v>
      </c>
      <c r="F260" s="102">
        <f t="shared" si="88"/>
        <v>305.51451744617697</v>
      </c>
      <c r="G260" s="103">
        <f t="shared" si="89"/>
        <v>10</v>
      </c>
      <c r="H260" s="296">
        <f t="shared" si="82"/>
        <v>135.59040000000002</v>
      </c>
      <c r="I260" s="104">
        <f t="shared" si="90"/>
        <v>234.84946181858712</v>
      </c>
      <c r="J260" s="180">
        <f t="shared" si="91"/>
        <v>25</v>
      </c>
      <c r="K260" s="104">
        <f t="shared" si="83"/>
        <v>622.5</v>
      </c>
      <c r="L260" s="477">
        <f t="shared" si="84"/>
        <v>254</v>
      </c>
      <c r="M260" s="628"/>
      <c r="N260" s="628"/>
      <c r="O260" s="628"/>
      <c r="P260" s="491"/>
      <c r="Q260" s="491"/>
      <c r="R260" s="491"/>
      <c r="S260" s="628"/>
      <c r="T260" s="24"/>
      <c r="U260" s="24"/>
    </row>
    <row r="261" spans="1:21">
      <c r="A261" s="72">
        <f t="shared" si="85"/>
        <v>120</v>
      </c>
      <c r="B261" s="15">
        <v>2.4</v>
      </c>
      <c r="C261" s="66">
        <f t="shared" si="86"/>
        <v>288</v>
      </c>
      <c r="D261" s="68">
        <v>700</v>
      </c>
      <c r="E261" s="66">
        <f t="shared" si="87"/>
        <v>480</v>
      </c>
      <c r="F261" s="45">
        <f t="shared" si="88"/>
        <v>356.03266600026922</v>
      </c>
      <c r="G261" s="94">
        <f t="shared" si="89"/>
        <v>10</v>
      </c>
      <c r="H261" s="295">
        <f t="shared" si="82"/>
        <v>135.59040000000002</v>
      </c>
      <c r="I261" s="25">
        <f t="shared" si="90"/>
        <v>234.84946181858712</v>
      </c>
      <c r="J261" s="52">
        <f t="shared" si="91"/>
        <v>25</v>
      </c>
      <c r="K261" s="25">
        <f t="shared" si="83"/>
        <v>726.25</v>
      </c>
      <c r="L261" s="158">
        <f t="shared" si="84"/>
        <v>296</v>
      </c>
      <c r="M261" s="628"/>
      <c r="N261" s="628"/>
      <c r="O261" s="628"/>
      <c r="P261" s="491"/>
      <c r="Q261" s="491"/>
      <c r="R261" s="491"/>
      <c r="S261" s="628"/>
      <c r="T261" s="24"/>
      <c r="U261" s="24"/>
    </row>
    <row r="262" spans="1:21">
      <c r="A262" s="72">
        <f t="shared" si="85"/>
        <v>120</v>
      </c>
      <c r="B262" s="15">
        <v>2.4</v>
      </c>
      <c r="C262" s="66">
        <f t="shared" si="86"/>
        <v>288</v>
      </c>
      <c r="D262" s="68">
        <v>800</v>
      </c>
      <c r="E262" s="66">
        <f t="shared" si="87"/>
        <v>480</v>
      </c>
      <c r="F262" s="45">
        <f t="shared" si="88"/>
        <v>406.55081455436147</v>
      </c>
      <c r="G262" s="94">
        <f t="shared" si="89"/>
        <v>10</v>
      </c>
      <c r="H262" s="295">
        <f t="shared" si="82"/>
        <v>135.59040000000002</v>
      </c>
      <c r="I262" s="25">
        <f t="shared" si="90"/>
        <v>234.84946181858712</v>
      </c>
      <c r="J262" s="52">
        <f t="shared" si="91"/>
        <v>25</v>
      </c>
      <c r="K262" s="25">
        <f t="shared" si="83"/>
        <v>830</v>
      </c>
      <c r="L262" s="158">
        <f t="shared" si="84"/>
        <v>338</v>
      </c>
      <c r="M262" s="628"/>
      <c r="N262" s="628"/>
      <c r="O262" s="628"/>
      <c r="P262" s="491"/>
      <c r="Q262" s="491"/>
      <c r="R262" s="491"/>
      <c r="S262" s="628"/>
      <c r="T262" s="24"/>
      <c r="U262" s="24"/>
    </row>
    <row r="263" spans="1:21">
      <c r="A263" s="98">
        <f t="shared" si="85"/>
        <v>120</v>
      </c>
      <c r="B263" s="99">
        <v>2.4</v>
      </c>
      <c r="C263" s="100">
        <f t="shared" si="86"/>
        <v>288</v>
      </c>
      <c r="D263" s="101">
        <v>900</v>
      </c>
      <c r="E263" s="100">
        <f t="shared" si="87"/>
        <v>480</v>
      </c>
      <c r="F263" s="102">
        <f t="shared" si="88"/>
        <v>457.06896310845372</v>
      </c>
      <c r="G263" s="103">
        <f t="shared" si="89"/>
        <v>10</v>
      </c>
      <c r="H263" s="296">
        <f t="shared" si="82"/>
        <v>135.59040000000002</v>
      </c>
      <c r="I263" s="104">
        <f t="shared" si="90"/>
        <v>234.84946181858712</v>
      </c>
      <c r="J263" s="180">
        <f t="shared" si="91"/>
        <v>25</v>
      </c>
      <c r="K263" s="104">
        <f t="shared" si="83"/>
        <v>933.75</v>
      </c>
      <c r="L263" s="477">
        <f t="shared" si="84"/>
        <v>380</v>
      </c>
      <c r="M263" s="628"/>
      <c r="N263" s="628"/>
      <c r="O263" s="628"/>
      <c r="P263" s="491"/>
      <c r="Q263" s="491"/>
      <c r="R263" s="491"/>
      <c r="S263" s="628"/>
      <c r="T263" s="24"/>
      <c r="U263" s="24"/>
    </row>
    <row r="264" spans="1:21">
      <c r="A264" s="72">
        <f t="shared" si="85"/>
        <v>120</v>
      </c>
      <c r="B264" s="15">
        <v>2.4</v>
      </c>
      <c r="C264" s="66">
        <f t="shared" si="86"/>
        <v>288</v>
      </c>
      <c r="D264" s="68">
        <v>1000</v>
      </c>
      <c r="E264" s="66">
        <f t="shared" si="87"/>
        <v>480</v>
      </c>
      <c r="F264" s="45">
        <f t="shared" si="88"/>
        <v>508.78992472335773</v>
      </c>
      <c r="G264" s="94">
        <f t="shared" si="89"/>
        <v>10</v>
      </c>
      <c r="H264" s="295">
        <f t="shared" si="82"/>
        <v>135.59040000000002</v>
      </c>
      <c r="I264" s="25">
        <f t="shared" si="90"/>
        <v>234.84946181858712</v>
      </c>
      <c r="J264" s="52">
        <f t="shared" si="91"/>
        <v>25</v>
      </c>
      <c r="K264" s="25">
        <f t="shared" si="83"/>
        <v>1037.5</v>
      </c>
      <c r="L264" s="158">
        <f t="shared" si="84"/>
        <v>423</v>
      </c>
      <c r="M264" s="628"/>
      <c r="N264" s="628"/>
      <c r="O264" s="628"/>
      <c r="P264" s="491"/>
      <c r="Q264" s="491"/>
      <c r="R264" s="491"/>
      <c r="S264" s="628"/>
      <c r="T264" s="24"/>
      <c r="U264" s="24"/>
    </row>
    <row r="265" spans="1:21">
      <c r="A265" s="72">
        <f t="shared" si="85"/>
        <v>120</v>
      </c>
      <c r="B265" s="15">
        <v>2.4</v>
      </c>
      <c r="C265" s="66">
        <f t="shared" si="86"/>
        <v>288</v>
      </c>
      <c r="D265" s="68">
        <v>1100</v>
      </c>
      <c r="E265" s="66">
        <f t="shared" si="87"/>
        <v>480</v>
      </c>
      <c r="F265" s="45">
        <f t="shared" si="88"/>
        <v>559.30807327745003</v>
      </c>
      <c r="G265" s="94">
        <f t="shared" si="89"/>
        <v>10</v>
      </c>
      <c r="H265" s="295">
        <f t="shared" si="82"/>
        <v>135.59040000000002</v>
      </c>
      <c r="I265" s="25">
        <f t="shared" si="90"/>
        <v>234.84946181858712</v>
      </c>
      <c r="J265" s="52">
        <f t="shared" si="91"/>
        <v>25</v>
      </c>
      <c r="K265" s="25">
        <f t="shared" si="83"/>
        <v>1141.25</v>
      </c>
      <c r="L265" s="158">
        <f t="shared" si="84"/>
        <v>465</v>
      </c>
      <c r="M265" s="628"/>
      <c r="N265" s="628"/>
      <c r="O265" s="628"/>
      <c r="P265" s="491"/>
      <c r="Q265" s="491"/>
      <c r="R265" s="491"/>
      <c r="S265" s="628"/>
      <c r="T265" s="24"/>
      <c r="U265" s="24"/>
    </row>
    <row r="266" spans="1:21" ht="13.5" thickBot="1">
      <c r="A266" s="253">
        <f t="shared" si="85"/>
        <v>120</v>
      </c>
      <c r="B266" s="254">
        <v>2.4</v>
      </c>
      <c r="C266" s="258">
        <f t="shared" si="86"/>
        <v>288</v>
      </c>
      <c r="D266" s="259">
        <v>1200</v>
      </c>
      <c r="E266" s="258">
        <f t="shared" si="87"/>
        <v>480</v>
      </c>
      <c r="F266" s="260">
        <f t="shared" si="88"/>
        <v>609.82622183154228</v>
      </c>
      <c r="G266" s="261">
        <f t="shared" si="89"/>
        <v>10</v>
      </c>
      <c r="H266" s="297">
        <f t="shared" si="82"/>
        <v>135.59040000000002</v>
      </c>
      <c r="I266" s="264">
        <f t="shared" si="90"/>
        <v>234.84946181858712</v>
      </c>
      <c r="J266" s="265">
        <f t="shared" si="91"/>
        <v>25</v>
      </c>
      <c r="K266" s="264">
        <f t="shared" si="83"/>
        <v>1245</v>
      </c>
      <c r="L266" s="478">
        <f t="shared" si="84"/>
        <v>507</v>
      </c>
      <c r="M266" s="628"/>
      <c r="N266" s="628"/>
      <c r="O266" s="628"/>
      <c r="P266" s="491"/>
      <c r="Q266" s="491"/>
      <c r="R266" s="491"/>
      <c r="S266" s="628"/>
      <c r="T266" s="24"/>
      <c r="U266" s="24"/>
    </row>
  </sheetData>
  <phoneticPr fontId="2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50"/>
  </sheetPr>
  <dimension ref="A2:N65"/>
  <sheetViews>
    <sheetView workbookViewId="0">
      <selection activeCell="K30" sqref="K30"/>
    </sheetView>
  </sheetViews>
  <sheetFormatPr baseColWidth="10" defaultColWidth="9.140625" defaultRowHeight="12.75"/>
  <cols>
    <col min="1" max="2" width="9.140625" style="4" customWidth="1"/>
    <col min="3" max="3" width="10" style="4" customWidth="1"/>
    <col min="5" max="5" width="12.5703125" customWidth="1"/>
    <col min="9" max="9" width="17.5703125" customWidth="1"/>
  </cols>
  <sheetData>
    <row r="2" spans="1:14" ht="13.5" thickBot="1"/>
    <row r="3" spans="1:14">
      <c r="A3" s="435" t="s">
        <v>272</v>
      </c>
      <c r="B3" s="829" t="s">
        <v>272</v>
      </c>
      <c r="C3" s="435" t="s">
        <v>341</v>
      </c>
      <c r="E3" s="1030" t="s">
        <v>339</v>
      </c>
      <c r="F3" s="79"/>
      <c r="G3" s="82"/>
    </row>
    <row r="4" spans="1:14" ht="13.5" thickBot="1">
      <c r="A4" s="569" t="s">
        <v>22</v>
      </c>
      <c r="B4" s="1198" t="s">
        <v>22</v>
      </c>
      <c r="C4" s="569" t="s">
        <v>33</v>
      </c>
      <c r="E4" s="577" t="s">
        <v>338</v>
      </c>
      <c r="F4" s="691">
        <v>502</v>
      </c>
      <c r="G4" s="494" t="s">
        <v>22</v>
      </c>
      <c r="I4" s="583" t="s">
        <v>33</v>
      </c>
      <c r="J4" s="583" t="s">
        <v>22</v>
      </c>
    </row>
    <row r="5" spans="1:14" ht="18.75" thickBot="1">
      <c r="A5" s="1201">
        <v>0</v>
      </c>
      <c r="B5" s="1199">
        <f>1.004*A5</f>
        <v>0</v>
      </c>
      <c r="C5" s="1197" t="s">
        <v>345</v>
      </c>
      <c r="D5" s="582"/>
      <c r="E5" s="1028" t="s">
        <v>33</v>
      </c>
      <c r="F5" s="856" t="str">
        <f>LOOKUP(F4,B5:B29,C5:C29)</f>
        <v>#4/0 2x</v>
      </c>
      <c r="G5" s="1029"/>
      <c r="I5" s="1044">
        <v>24</v>
      </c>
      <c r="J5" s="1044">
        <v>2</v>
      </c>
      <c r="K5" s="4">
        <f>1.9*J5</f>
        <v>3.8</v>
      </c>
    </row>
    <row r="6" spans="1:14" s="1041" customFormat="1" ht="12.75" customHeight="1">
      <c r="A6" s="1039">
        <v>4</v>
      </c>
      <c r="B6" s="1200">
        <f t="shared" ref="B6:B28" si="0">1.004*A6</f>
        <v>4.016</v>
      </c>
      <c r="C6" s="1039" t="s">
        <v>345</v>
      </c>
      <c r="D6" s="1040"/>
      <c r="I6" s="1044">
        <v>22</v>
      </c>
      <c r="J6" s="1044">
        <v>3</v>
      </c>
      <c r="K6" s="4">
        <f t="shared" ref="K6:K22" si="1">1.9*J6</f>
        <v>5.6999999999999993</v>
      </c>
      <c r="L6"/>
      <c r="M6"/>
      <c r="N6"/>
    </row>
    <row r="7" spans="1:14" ht="12.75" customHeight="1">
      <c r="A7" s="1031">
        <v>6</v>
      </c>
      <c r="B7" s="1200">
        <f t="shared" si="0"/>
        <v>6.024</v>
      </c>
      <c r="C7" s="1031" t="s">
        <v>345</v>
      </c>
      <c r="D7" s="582"/>
      <c r="I7" s="1044">
        <v>20</v>
      </c>
      <c r="J7" s="1044">
        <v>4</v>
      </c>
      <c r="K7" s="4">
        <f t="shared" si="1"/>
        <v>7.6</v>
      </c>
    </row>
    <row r="8" spans="1:14" ht="18">
      <c r="A8" s="1031">
        <v>9</v>
      </c>
      <c r="B8" s="1200">
        <f t="shared" si="0"/>
        <v>9.0359999999999996</v>
      </c>
      <c r="C8" s="1031" t="s">
        <v>345</v>
      </c>
      <c r="D8" s="582"/>
      <c r="I8" s="1044">
        <v>18</v>
      </c>
      <c r="J8" s="1044">
        <v>6</v>
      </c>
      <c r="K8" s="4">
        <f t="shared" si="1"/>
        <v>11.399999999999999</v>
      </c>
    </row>
    <row r="9" spans="1:14" ht="18">
      <c r="A9" s="1031">
        <v>15</v>
      </c>
      <c r="B9" s="1200">
        <f t="shared" si="0"/>
        <v>15.06</v>
      </c>
      <c r="C9" s="1031" t="s">
        <v>345</v>
      </c>
      <c r="D9" s="582"/>
      <c r="I9" s="1044">
        <v>16</v>
      </c>
      <c r="J9" s="1044">
        <v>9</v>
      </c>
      <c r="K9" s="4">
        <f t="shared" si="1"/>
        <v>17.099999999999998</v>
      </c>
      <c r="L9" s="1041"/>
      <c r="M9" s="1041"/>
      <c r="N9" s="1041"/>
    </row>
    <row r="10" spans="1:14" ht="18">
      <c r="A10" s="1031">
        <v>22</v>
      </c>
      <c r="B10" s="1200">
        <f t="shared" si="0"/>
        <v>22.088000000000001</v>
      </c>
      <c r="C10" s="1031" t="s">
        <v>345</v>
      </c>
      <c r="D10" s="582"/>
      <c r="I10" s="1044">
        <v>14</v>
      </c>
      <c r="J10" s="1044">
        <v>15</v>
      </c>
      <c r="K10" s="4">
        <f t="shared" si="1"/>
        <v>28.5</v>
      </c>
    </row>
    <row r="11" spans="1:14" ht="18">
      <c r="A11" s="1202" t="s">
        <v>365</v>
      </c>
      <c r="B11" s="1204">
        <f t="shared" si="0"/>
        <v>40.159999999999997</v>
      </c>
      <c r="C11" s="1205" t="s">
        <v>346</v>
      </c>
      <c r="D11" s="582"/>
      <c r="I11" s="1044">
        <v>12</v>
      </c>
      <c r="J11" s="1044">
        <v>22</v>
      </c>
      <c r="K11" s="4">
        <f t="shared" si="1"/>
        <v>41.8</v>
      </c>
    </row>
    <row r="12" spans="1:14" ht="18">
      <c r="A12" s="1203" t="s">
        <v>366</v>
      </c>
      <c r="B12" s="1200">
        <f t="shared" si="0"/>
        <v>60.24</v>
      </c>
      <c r="C12" s="1031" t="s">
        <v>347</v>
      </c>
      <c r="D12" s="582"/>
      <c r="I12" s="1044">
        <v>10</v>
      </c>
      <c r="J12" s="1044">
        <v>35</v>
      </c>
      <c r="K12" s="4">
        <f t="shared" si="1"/>
        <v>66.5</v>
      </c>
    </row>
    <row r="13" spans="1:14" ht="18">
      <c r="A13" s="1202" t="s">
        <v>367</v>
      </c>
      <c r="B13" s="1204">
        <f t="shared" si="0"/>
        <v>80.319999999999993</v>
      </c>
      <c r="C13" s="1205" t="s">
        <v>348</v>
      </c>
      <c r="D13" s="582"/>
      <c r="I13" s="1044">
        <v>8</v>
      </c>
      <c r="J13" s="1044">
        <v>55</v>
      </c>
      <c r="K13" s="4">
        <f t="shared" si="1"/>
        <v>104.5</v>
      </c>
    </row>
    <row r="14" spans="1:14" ht="18">
      <c r="A14" s="1203" t="s">
        <v>368</v>
      </c>
      <c r="B14" s="1200">
        <f t="shared" si="0"/>
        <v>105.42</v>
      </c>
      <c r="C14" s="1031" t="s">
        <v>349</v>
      </c>
      <c r="D14" s="582"/>
      <c r="I14" s="1044">
        <v>6</v>
      </c>
      <c r="J14" s="1044">
        <v>80</v>
      </c>
      <c r="K14" s="4">
        <f t="shared" si="1"/>
        <v>152</v>
      </c>
    </row>
    <row r="15" spans="1:14" ht="18">
      <c r="A15" s="1202" t="s">
        <v>369</v>
      </c>
      <c r="B15" s="1204">
        <f t="shared" si="0"/>
        <v>120.48</v>
      </c>
      <c r="C15" s="1205" t="s">
        <v>350</v>
      </c>
      <c r="D15" s="582"/>
      <c r="I15" s="1044">
        <v>4</v>
      </c>
      <c r="J15" s="1044">
        <v>108</v>
      </c>
      <c r="K15" s="4">
        <f t="shared" si="1"/>
        <v>205.2</v>
      </c>
    </row>
    <row r="16" spans="1:14" ht="18">
      <c r="A16" s="1203" t="s">
        <v>370</v>
      </c>
      <c r="B16" s="1200">
        <f t="shared" si="0"/>
        <v>140.56</v>
      </c>
      <c r="C16" s="1031" t="s">
        <v>351</v>
      </c>
      <c r="D16" s="582"/>
      <c r="I16" s="1044">
        <v>3</v>
      </c>
      <c r="J16" s="1044">
        <v>121</v>
      </c>
      <c r="K16" s="4">
        <f t="shared" si="1"/>
        <v>229.89999999999998</v>
      </c>
    </row>
    <row r="17" spans="1:14" ht="18">
      <c r="A17" s="1202" t="s">
        <v>371</v>
      </c>
      <c r="B17" s="1204">
        <f t="shared" si="0"/>
        <v>165.66</v>
      </c>
      <c r="C17" s="1205" t="s">
        <v>352</v>
      </c>
      <c r="D17" s="582"/>
      <c r="I17" s="1044">
        <v>2</v>
      </c>
      <c r="J17" s="1044">
        <v>140</v>
      </c>
      <c r="K17" s="4">
        <f t="shared" si="1"/>
        <v>266</v>
      </c>
    </row>
    <row r="18" spans="1:14" ht="18">
      <c r="A18" s="1203" t="s">
        <v>372</v>
      </c>
      <c r="B18" s="1200">
        <f t="shared" si="0"/>
        <v>195.78</v>
      </c>
      <c r="C18" s="1031" t="s">
        <v>353</v>
      </c>
      <c r="E18">
        <f t="shared" ref="E18:E23" si="2">2*A18</f>
        <v>390</v>
      </c>
      <c r="F18" s="22">
        <f t="shared" ref="F18:F23" si="3">0.96*E18</f>
        <v>374.4</v>
      </c>
      <c r="G18" s="1205" t="s">
        <v>352</v>
      </c>
      <c r="I18" s="1044">
        <v>1</v>
      </c>
      <c r="J18" s="1044">
        <v>164</v>
      </c>
      <c r="K18" s="4">
        <f t="shared" si="1"/>
        <v>311.59999999999997</v>
      </c>
    </row>
    <row r="19" spans="1:14" ht="18">
      <c r="A19" s="1202" t="s">
        <v>373</v>
      </c>
      <c r="B19" s="1204">
        <f t="shared" si="0"/>
        <v>225.9</v>
      </c>
      <c r="C19" s="1205" t="s">
        <v>354</v>
      </c>
      <c r="E19">
        <f t="shared" si="2"/>
        <v>450</v>
      </c>
      <c r="F19" s="22">
        <f t="shared" si="3"/>
        <v>432</v>
      </c>
      <c r="G19" s="1031" t="s">
        <v>353</v>
      </c>
      <c r="I19" s="1032" t="s">
        <v>352</v>
      </c>
      <c r="J19" s="1044">
        <v>190</v>
      </c>
      <c r="K19" s="4">
        <f>1.9*J19</f>
        <v>361</v>
      </c>
      <c r="L19" t="s">
        <v>359</v>
      </c>
      <c r="M19">
        <f>1.95*J19</f>
        <v>370.5</v>
      </c>
      <c r="N19">
        <f>2*J19</f>
        <v>380</v>
      </c>
    </row>
    <row r="20" spans="1:14" ht="18">
      <c r="A20" s="1203" t="s">
        <v>374</v>
      </c>
      <c r="B20" s="1200">
        <f t="shared" si="0"/>
        <v>261.04000000000002</v>
      </c>
      <c r="C20" s="1031" t="s">
        <v>355</v>
      </c>
      <c r="E20">
        <f t="shared" si="2"/>
        <v>520</v>
      </c>
      <c r="F20" s="22">
        <f t="shared" si="3"/>
        <v>499.2</v>
      </c>
      <c r="G20" s="1205" t="s">
        <v>354</v>
      </c>
      <c r="I20" s="1032" t="s">
        <v>353</v>
      </c>
      <c r="J20" s="1044">
        <v>221</v>
      </c>
      <c r="K20" s="4">
        <f t="shared" si="1"/>
        <v>419.9</v>
      </c>
      <c r="L20" t="s">
        <v>358</v>
      </c>
      <c r="M20">
        <f>1.95*J20</f>
        <v>430.95</v>
      </c>
      <c r="N20">
        <f>2*J20</f>
        <v>442</v>
      </c>
    </row>
    <row r="21" spans="1:14" ht="18">
      <c r="A21" s="1202" t="s">
        <v>375</v>
      </c>
      <c r="B21" s="1204">
        <f t="shared" si="0"/>
        <v>301.2</v>
      </c>
      <c r="C21" s="1205" t="s">
        <v>377</v>
      </c>
      <c r="E21">
        <f t="shared" si="2"/>
        <v>600</v>
      </c>
      <c r="F21" s="22">
        <f t="shared" si="3"/>
        <v>576</v>
      </c>
      <c r="G21" s="1031" t="s">
        <v>355</v>
      </c>
      <c r="I21" s="1032" t="s">
        <v>354</v>
      </c>
      <c r="J21" s="1044">
        <v>257</v>
      </c>
      <c r="K21" s="4">
        <f t="shared" si="1"/>
        <v>488.29999999999995</v>
      </c>
      <c r="L21" t="s">
        <v>357</v>
      </c>
      <c r="M21">
        <f>1.95*J21</f>
        <v>501.15</v>
      </c>
      <c r="N21">
        <f>2*J21</f>
        <v>514</v>
      </c>
    </row>
    <row r="22" spans="1:14" ht="39">
      <c r="A22" s="1210" t="s">
        <v>384</v>
      </c>
      <c r="B22" s="1211">
        <f t="shared" si="0"/>
        <v>341.36</v>
      </c>
      <c r="C22" s="1212" t="s">
        <v>378</v>
      </c>
      <c r="D22" s="1463" t="s">
        <v>364</v>
      </c>
      <c r="E22">
        <f t="shared" si="2"/>
        <v>680</v>
      </c>
      <c r="F22" s="22">
        <f t="shared" si="3"/>
        <v>652.79999999999995</v>
      </c>
      <c r="G22" s="1205" t="s">
        <v>377</v>
      </c>
      <c r="I22" s="1032" t="s">
        <v>355</v>
      </c>
      <c r="J22" s="1044">
        <v>300</v>
      </c>
      <c r="K22" s="4">
        <f t="shared" si="1"/>
        <v>570</v>
      </c>
      <c r="L22" t="s">
        <v>356</v>
      </c>
      <c r="M22">
        <f>1.95*J22</f>
        <v>585</v>
      </c>
      <c r="N22">
        <f>2*J22</f>
        <v>600</v>
      </c>
    </row>
    <row r="23" spans="1:14">
      <c r="A23" s="1202" t="s">
        <v>376</v>
      </c>
      <c r="B23" s="1204">
        <f t="shared" si="0"/>
        <v>376.5</v>
      </c>
      <c r="C23" s="1207" t="s">
        <v>379</v>
      </c>
      <c r="E23">
        <f t="shared" si="2"/>
        <v>750</v>
      </c>
      <c r="F23" s="22">
        <f t="shared" si="3"/>
        <v>720</v>
      </c>
      <c r="G23" s="1031" t="s">
        <v>378</v>
      </c>
    </row>
    <row r="24" spans="1:14" ht="13.5" thickBot="1">
      <c r="A24" s="1203">
        <v>432</v>
      </c>
      <c r="B24" s="1200">
        <f t="shared" si="0"/>
        <v>433.72800000000001</v>
      </c>
      <c r="C24" s="1208" t="s">
        <v>380</v>
      </c>
      <c r="G24" s="200"/>
    </row>
    <row r="25" spans="1:14">
      <c r="A25" s="1206">
        <v>499.2</v>
      </c>
      <c r="B25" s="1204">
        <f t="shared" si="0"/>
        <v>501.1968</v>
      </c>
      <c r="C25" s="1207" t="s">
        <v>381</v>
      </c>
    </row>
    <row r="26" spans="1:14">
      <c r="A26" s="520">
        <v>576</v>
      </c>
      <c r="B26" s="1200">
        <f t="shared" si="0"/>
        <v>578.30399999999997</v>
      </c>
      <c r="C26" s="1209" t="s">
        <v>382</v>
      </c>
    </row>
    <row r="27" spans="1:14">
      <c r="A27" s="1206">
        <v>652.79999999999995</v>
      </c>
      <c r="B27" s="1204">
        <f t="shared" si="0"/>
        <v>655.41120000000001</v>
      </c>
      <c r="C27" s="1207" t="s">
        <v>383</v>
      </c>
    </row>
    <row r="28" spans="1:14">
      <c r="A28" s="1203">
        <v>720</v>
      </c>
      <c r="B28" s="1200">
        <f t="shared" si="0"/>
        <v>722.88</v>
      </c>
      <c r="C28" s="1031" t="s">
        <v>385</v>
      </c>
    </row>
    <row r="29" spans="1:14">
      <c r="A29" s="1202"/>
      <c r="B29" s="1204"/>
      <c r="C29" s="1205"/>
    </row>
    <row r="30" spans="1:14" ht="15.75" customHeight="1"/>
    <row r="31" spans="1:14">
      <c r="D31" s="582"/>
      <c r="F31" s="4"/>
      <c r="G31" s="4"/>
      <c r="H31" s="577" t="s">
        <v>359</v>
      </c>
    </row>
    <row r="32" spans="1:14">
      <c r="D32" s="582"/>
      <c r="F32" s="520">
        <v>370.5</v>
      </c>
      <c r="G32" s="1046">
        <f>1.004*F32</f>
        <v>371.98200000000003</v>
      </c>
      <c r="H32" s="577" t="s">
        <v>358</v>
      </c>
    </row>
    <row r="33" spans="1:8">
      <c r="F33" s="520">
        <v>430.95</v>
      </c>
      <c r="G33" s="1046">
        <f>1.004*F33</f>
        <v>432.67379999999997</v>
      </c>
      <c r="H33" s="577" t="s">
        <v>357</v>
      </c>
    </row>
    <row r="34" spans="1:8">
      <c r="F34" s="520">
        <v>501.15</v>
      </c>
      <c r="G34" s="1047">
        <f>1.004*F34</f>
        <v>503.15459999999996</v>
      </c>
      <c r="H34" s="577" t="s">
        <v>356</v>
      </c>
    </row>
    <row r="35" spans="1:8" ht="13.5" thickBot="1">
      <c r="F35" s="578">
        <v>585</v>
      </c>
      <c r="G35" s="1048">
        <f>1.004*F35</f>
        <v>587.34</v>
      </c>
      <c r="H35" s="200" t="s">
        <v>362</v>
      </c>
    </row>
    <row r="36" spans="1:8" ht="15.75" customHeight="1"/>
    <row r="37" spans="1:8">
      <c r="A37" t="s">
        <v>342</v>
      </c>
      <c r="B37"/>
      <c r="C37"/>
    </row>
    <row r="38" spans="1:8" ht="13.5" thickBot="1">
      <c r="A38" t="s">
        <v>110</v>
      </c>
      <c r="B38"/>
      <c r="C38"/>
    </row>
    <row r="39" spans="1:8" ht="51">
      <c r="A39" s="1033" t="s">
        <v>33</v>
      </c>
      <c r="B39" s="1034" t="s">
        <v>111</v>
      </c>
      <c r="C39" s="1034" t="s">
        <v>112</v>
      </c>
      <c r="D39" s="1034"/>
      <c r="E39" s="1035"/>
    </row>
    <row r="40" spans="1:8" ht="13.5" customHeight="1">
      <c r="A40" s="1036"/>
      <c r="B40" s="1037" t="s">
        <v>343</v>
      </c>
      <c r="C40" s="1037" t="s">
        <v>114</v>
      </c>
      <c r="D40" s="1037" t="s">
        <v>113</v>
      </c>
      <c r="E40" s="1038" t="s">
        <v>114</v>
      </c>
    </row>
    <row r="41" spans="1:8" ht="13.5" customHeight="1">
      <c r="A41" s="1036" t="s">
        <v>115</v>
      </c>
      <c r="B41" s="1037" t="s">
        <v>116</v>
      </c>
      <c r="C41" s="1037" t="s">
        <v>117</v>
      </c>
      <c r="D41" s="1037" t="s">
        <v>118</v>
      </c>
      <c r="E41" s="1038" t="s">
        <v>119</v>
      </c>
    </row>
    <row r="42" spans="1:8">
      <c r="A42" s="72">
        <v>24</v>
      </c>
      <c r="B42" s="3">
        <v>1</v>
      </c>
      <c r="C42" s="3">
        <v>2</v>
      </c>
      <c r="D42" s="3">
        <v>1</v>
      </c>
      <c r="E42" s="15">
        <v>2</v>
      </c>
    </row>
    <row r="43" spans="1:8">
      <c r="A43" s="72">
        <v>22</v>
      </c>
      <c r="B43" s="3">
        <v>2</v>
      </c>
      <c r="C43" s="3">
        <v>3</v>
      </c>
      <c r="D43" s="3">
        <v>2</v>
      </c>
      <c r="E43" s="15">
        <v>3</v>
      </c>
    </row>
    <row r="44" spans="1:8">
      <c r="A44" s="72">
        <v>20</v>
      </c>
      <c r="B44" s="3">
        <v>3</v>
      </c>
      <c r="C44" s="3">
        <v>4</v>
      </c>
      <c r="D44" s="3">
        <v>3</v>
      </c>
      <c r="E44" s="15">
        <v>4</v>
      </c>
    </row>
    <row r="45" spans="1:8">
      <c r="A45" s="72">
        <v>18</v>
      </c>
      <c r="B45" s="3">
        <v>4</v>
      </c>
      <c r="C45" s="3">
        <v>6</v>
      </c>
      <c r="D45" s="3">
        <v>4</v>
      </c>
      <c r="E45" s="15">
        <v>6</v>
      </c>
    </row>
    <row r="46" spans="1:8" ht="13.5" customHeight="1">
      <c r="A46" s="72">
        <v>16</v>
      </c>
      <c r="B46" s="3">
        <v>6</v>
      </c>
      <c r="C46" s="3">
        <v>9</v>
      </c>
      <c r="D46" s="3">
        <v>6</v>
      </c>
      <c r="E46" s="15">
        <v>9</v>
      </c>
    </row>
    <row r="47" spans="1:8" ht="13.5" customHeight="1">
      <c r="A47" s="72">
        <v>14</v>
      </c>
      <c r="B47" s="3">
        <v>9</v>
      </c>
      <c r="C47" s="3">
        <v>13</v>
      </c>
      <c r="D47" s="3">
        <v>10</v>
      </c>
      <c r="E47" s="15">
        <v>15</v>
      </c>
    </row>
    <row r="48" spans="1:8">
      <c r="A48" s="72">
        <v>12</v>
      </c>
      <c r="B48" s="3">
        <v>12</v>
      </c>
      <c r="C48" s="3">
        <v>17</v>
      </c>
      <c r="D48" s="3">
        <v>15</v>
      </c>
      <c r="E48" s="15">
        <v>22</v>
      </c>
    </row>
    <row r="49" spans="1:5">
      <c r="A49" s="72">
        <v>10</v>
      </c>
      <c r="B49" s="3">
        <v>18</v>
      </c>
      <c r="C49" s="3">
        <v>27</v>
      </c>
      <c r="D49" s="3">
        <v>22</v>
      </c>
      <c r="E49" s="15">
        <v>35</v>
      </c>
    </row>
    <row r="50" spans="1:5">
      <c r="A50" s="72">
        <v>8</v>
      </c>
      <c r="B50" s="3">
        <v>31</v>
      </c>
      <c r="C50" s="3">
        <v>47</v>
      </c>
      <c r="D50" s="3">
        <v>35</v>
      </c>
      <c r="E50" s="15">
        <v>55</v>
      </c>
    </row>
    <row r="51" spans="1:5">
      <c r="A51" s="72">
        <v>6</v>
      </c>
      <c r="B51" s="3">
        <v>45</v>
      </c>
      <c r="C51" s="3">
        <v>67</v>
      </c>
      <c r="D51" s="3">
        <v>52</v>
      </c>
      <c r="E51" s="15">
        <v>80</v>
      </c>
    </row>
    <row r="52" spans="1:5">
      <c r="A52" s="72">
        <v>4</v>
      </c>
      <c r="B52" s="3">
        <v>61</v>
      </c>
      <c r="C52" s="3">
        <v>91</v>
      </c>
      <c r="D52" s="3">
        <v>71</v>
      </c>
      <c r="E52" s="15">
        <v>108</v>
      </c>
    </row>
    <row r="53" spans="1:5">
      <c r="A53" s="72">
        <v>3</v>
      </c>
      <c r="B53" s="3">
        <v>70</v>
      </c>
      <c r="C53" s="3">
        <v>104</v>
      </c>
      <c r="D53" s="3">
        <v>80</v>
      </c>
      <c r="E53" s="15">
        <v>121</v>
      </c>
    </row>
    <row r="54" spans="1:5">
      <c r="A54" s="72">
        <v>2</v>
      </c>
      <c r="B54" s="3">
        <v>80</v>
      </c>
      <c r="C54" s="3">
        <v>120</v>
      </c>
      <c r="D54" s="3">
        <v>90</v>
      </c>
      <c r="E54" s="15">
        <v>140</v>
      </c>
    </row>
    <row r="55" spans="1:5">
      <c r="A55" s="72">
        <v>1</v>
      </c>
      <c r="B55" s="3">
        <v>94</v>
      </c>
      <c r="C55" s="3">
        <v>141</v>
      </c>
      <c r="D55" s="3">
        <v>107</v>
      </c>
      <c r="E55" s="15">
        <v>164</v>
      </c>
    </row>
    <row r="56" spans="1:5">
      <c r="A56" s="72" t="s">
        <v>120</v>
      </c>
      <c r="B56" s="3">
        <v>110</v>
      </c>
      <c r="C56" s="3">
        <v>164</v>
      </c>
      <c r="D56" s="3">
        <v>133</v>
      </c>
      <c r="E56" s="15">
        <v>190</v>
      </c>
    </row>
    <row r="57" spans="1:5">
      <c r="A57" s="72" t="s">
        <v>121</v>
      </c>
      <c r="B57" s="3">
        <v>128</v>
      </c>
      <c r="C57" s="3">
        <v>191</v>
      </c>
      <c r="D57" s="3">
        <v>148</v>
      </c>
      <c r="E57" s="15">
        <v>221</v>
      </c>
    </row>
    <row r="58" spans="1:5">
      <c r="A58" s="72" t="s">
        <v>122</v>
      </c>
      <c r="B58" s="3">
        <v>148</v>
      </c>
      <c r="C58" s="3">
        <v>221</v>
      </c>
      <c r="D58" s="3">
        <v>171</v>
      </c>
      <c r="E58" s="15">
        <v>257</v>
      </c>
    </row>
    <row r="59" spans="1:5" ht="13.5" thickBot="1">
      <c r="A59" s="75" t="s">
        <v>123</v>
      </c>
      <c r="B59" s="16">
        <v>173</v>
      </c>
      <c r="C59" s="16">
        <v>258</v>
      </c>
      <c r="D59" s="16">
        <v>200</v>
      </c>
      <c r="E59" s="17">
        <v>300</v>
      </c>
    </row>
    <row r="60" spans="1:5">
      <c r="A60" t="s">
        <v>344</v>
      </c>
      <c r="B60"/>
      <c r="C60"/>
    </row>
    <row r="61" spans="1:5">
      <c r="A61"/>
      <c r="B61"/>
      <c r="C61"/>
    </row>
    <row r="62" spans="1:5">
      <c r="A62"/>
      <c r="B62"/>
      <c r="C62"/>
    </row>
    <row r="63" spans="1:5">
      <c r="A63"/>
      <c r="B63"/>
      <c r="C63"/>
    </row>
    <row r="64" spans="1:5">
      <c r="A64"/>
      <c r="B64"/>
      <c r="C64"/>
    </row>
    <row r="65" spans="1:3">
      <c r="A65"/>
      <c r="B65"/>
      <c r="C65"/>
    </row>
  </sheetData>
  <phoneticPr fontId="2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0.39997558519241921"/>
  </sheetPr>
  <dimension ref="A1:AB64"/>
  <sheetViews>
    <sheetView workbookViewId="0">
      <selection activeCell="Q4" sqref="Q4"/>
    </sheetView>
  </sheetViews>
  <sheetFormatPr baseColWidth="10" defaultColWidth="9.140625" defaultRowHeight="12.75"/>
  <cols>
    <col min="1" max="1" width="15.5703125" style="4" customWidth="1"/>
    <col min="2" max="2" width="9.5703125" style="4" customWidth="1"/>
    <col min="3" max="3" width="11" style="4" customWidth="1"/>
    <col min="4" max="4" width="0.42578125" customWidth="1"/>
    <col min="5" max="5" width="15.5703125" style="4" customWidth="1"/>
    <col min="6" max="6" width="7.140625" style="1255" customWidth="1"/>
    <col min="7" max="7" width="12.85546875" style="1255" customWidth="1"/>
    <col min="8" max="8" width="10.85546875" style="1255" customWidth="1"/>
    <col min="9" max="9" width="0.42578125" style="1255" customWidth="1"/>
    <col min="10" max="10" width="17.7109375" style="1255" customWidth="1"/>
    <col min="11" max="11" width="9.28515625" customWidth="1"/>
    <col min="12" max="12" width="9.5703125" customWidth="1"/>
    <col min="13" max="13" width="10" customWidth="1"/>
    <col min="14" max="14" width="0.7109375" customWidth="1"/>
    <col min="15" max="15" width="8.28515625" customWidth="1"/>
    <col min="16" max="16" width="0.7109375" customWidth="1"/>
    <col min="17" max="17" width="13.7109375" customWidth="1"/>
    <col min="18" max="18" width="8" customWidth="1"/>
    <col min="19" max="19" width="11.5703125" customWidth="1"/>
    <col min="20" max="20" width="11.28515625" customWidth="1"/>
  </cols>
  <sheetData>
    <row r="1" spans="1:28" ht="13.5" thickBot="1"/>
    <row r="2" spans="1:28" ht="97.5" customHeight="1" thickBot="1">
      <c r="A2" s="1256" t="s">
        <v>391</v>
      </c>
      <c r="B2" s="1257" t="s">
        <v>392</v>
      </c>
      <c r="C2" s="49"/>
      <c r="E2" s="1258" t="s">
        <v>393</v>
      </c>
      <c r="F2" s="1259"/>
      <c r="G2" s="1259"/>
      <c r="H2" s="1260"/>
      <c r="J2" s="1261" t="s">
        <v>394</v>
      </c>
      <c r="K2" s="96"/>
      <c r="L2" s="96"/>
      <c r="M2" s="96"/>
      <c r="N2" s="96"/>
      <c r="O2" s="48"/>
      <c r="V2" s="1262" t="s">
        <v>395</v>
      </c>
      <c r="W2" s="2134" t="s">
        <v>111</v>
      </c>
      <c r="X2" s="2135"/>
      <c r="Y2" s="2138" t="s">
        <v>112</v>
      </c>
      <c r="Z2" s="2139"/>
    </row>
    <row r="3" spans="1:28" ht="13.5" thickBot="1">
      <c r="A3" s="66" t="s">
        <v>396</v>
      </c>
      <c r="B3" s="1263" t="s">
        <v>397</v>
      </c>
      <c r="C3" s="15"/>
      <c r="E3" s="66" t="s">
        <v>396</v>
      </c>
      <c r="F3" s="1263" t="s">
        <v>398</v>
      </c>
      <c r="G3" s="20"/>
      <c r="H3" s="1264"/>
      <c r="J3" s="1265" t="s">
        <v>399</v>
      </c>
      <c r="K3" s="1263" t="s">
        <v>400</v>
      </c>
      <c r="L3" s="1"/>
      <c r="M3" s="1"/>
      <c r="N3" s="7"/>
      <c r="O3" s="494" t="s">
        <v>401</v>
      </c>
      <c r="P3" s="7"/>
      <c r="Q3" s="47" t="s">
        <v>402</v>
      </c>
      <c r="R3" s="96"/>
      <c r="S3" s="48"/>
      <c r="V3" s="1266"/>
      <c r="W3" s="2136"/>
      <c r="X3" s="2137"/>
      <c r="Y3" s="2140"/>
      <c r="Z3" s="2141"/>
    </row>
    <row r="4" spans="1:28" ht="79.5">
      <c r="A4" s="1267" t="s">
        <v>403</v>
      </c>
      <c r="B4" s="3"/>
      <c r="C4" s="15" t="s">
        <v>404</v>
      </c>
      <c r="E4" s="1267" t="s">
        <v>403</v>
      </c>
      <c r="F4" s="1268"/>
      <c r="G4" s="1269" t="s">
        <v>405</v>
      </c>
      <c r="H4" s="1270" t="s">
        <v>406</v>
      </c>
      <c r="J4" s="1267" t="s">
        <v>403</v>
      </c>
      <c r="K4" s="1271" t="s">
        <v>407</v>
      </c>
      <c r="L4" s="1271" t="s">
        <v>408</v>
      </c>
      <c r="M4" s="1272" t="s">
        <v>409</v>
      </c>
      <c r="N4" s="46"/>
      <c r="O4" s="1273" t="s">
        <v>410</v>
      </c>
      <c r="P4" s="46"/>
      <c r="Q4" s="435" t="s">
        <v>272</v>
      </c>
      <c r="R4" s="435" t="s">
        <v>272</v>
      </c>
      <c r="S4" s="435" t="s">
        <v>341</v>
      </c>
      <c r="V4" s="1274" t="s">
        <v>33</v>
      </c>
      <c r="W4" s="1275" t="s">
        <v>113</v>
      </c>
      <c r="X4" s="487" t="s">
        <v>114</v>
      </c>
      <c r="Y4" s="1275" t="s">
        <v>113</v>
      </c>
      <c r="Z4" s="488" t="s">
        <v>114</v>
      </c>
      <c r="AA4" s="1"/>
      <c r="AB4" s="1276" t="s">
        <v>411</v>
      </c>
    </row>
    <row r="5" spans="1:28" ht="32.25" thickBot="1">
      <c r="A5" s="1277" t="s">
        <v>412</v>
      </c>
      <c r="B5" s="20" t="s">
        <v>413</v>
      </c>
      <c r="C5" s="68" t="s">
        <v>22</v>
      </c>
      <c r="E5" s="1277" t="s">
        <v>412</v>
      </c>
      <c r="F5" s="20" t="s">
        <v>414</v>
      </c>
      <c r="G5" s="480" t="s">
        <v>22</v>
      </c>
      <c r="H5" s="68" t="s">
        <v>22</v>
      </c>
      <c r="J5" s="1277" t="s">
        <v>412</v>
      </c>
      <c r="K5" s="480" t="s">
        <v>22</v>
      </c>
      <c r="L5" s="480" t="s">
        <v>22</v>
      </c>
      <c r="M5" s="480" t="s">
        <v>22</v>
      </c>
      <c r="N5" s="46"/>
      <c r="O5" s="15">
        <v>0.82</v>
      </c>
      <c r="P5" s="46"/>
      <c r="Q5" s="200" t="s">
        <v>22</v>
      </c>
      <c r="R5" s="200" t="s">
        <v>22</v>
      </c>
      <c r="S5" s="200" t="s">
        <v>33</v>
      </c>
      <c r="V5" s="1278" t="s">
        <v>115</v>
      </c>
      <c r="W5" s="1278" t="s">
        <v>116</v>
      </c>
      <c r="X5" s="1278" t="s">
        <v>117</v>
      </c>
      <c r="Y5" s="1278" t="s">
        <v>118</v>
      </c>
      <c r="Z5" s="1279" t="s">
        <v>119</v>
      </c>
      <c r="AA5" s="1"/>
      <c r="AB5" s="3"/>
    </row>
    <row r="6" spans="1:28" ht="18.75">
      <c r="A6" s="1391">
        <v>18</v>
      </c>
      <c r="B6" s="1384">
        <v>-0.82</v>
      </c>
      <c r="C6" s="1392">
        <v>7</v>
      </c>
      <c r="E6" s="1388">
        <v>18</v>
      </c>
      <c r="F6" s="20"/>
      <c r="G6" s="20"/>
      <c r="H6" s="1264"/>
      <c r="J6" s="1388">
        <v>18</v>
      </c>
      <c r="K6" s="1280" t="s">
        <v>415</v>
      </c>
      <c r="L6" s="1280" t="s">
        <v>415</v>
      </c>
      <c r="M6" s="1376">
        <v>18</v>
      </c>
      <c r="N6" s="46"/>
      <c r="O6" s="74">
        <f t="shared" ref="O6:O30" si="0">O$5*M6</f>
        <v>14.76</v>
      </c>
      <c r="P6" s="46"/>
      <c r="Q6" s="1281"/>
      <c r="R6" s="1199"/>
      <c r="S6" s="1282"/>
      <c r="V6" s="1283">
        <v>24</v>
      </c>
      <c r="W6" s="1284">
        <v>1</v>
      </c>
      <c r="X6" s="1278">
        <v>2</v>
      </c>
      <c r="Y6" s="1284">
        <v>1</v>
      </c>
      <c r="Z6" s="1285">
        <v>2</v>
      </c>
      <c r="AA6" s="1"/>
      <c r="AB6" s="3"/>
    </row>
    <row r="7" spans="1:28" ht="18.75">
      <c r="A7" s="1391">
        <v>16</v>
      </c>
      <c r="B7" s="1384">
        <v>-1.3</v>
      </c>
      <c r="C7" s="1392">
        <v>10</v>
      </c>
      <c r="E7" s="1388">
        <v>16</v>
      </c>
      <c r="F7" s="20"/>
      <c r="G7" s="20"/>
      <c r="H7" s="1264"/>
      <c r="J7" s="1388">
        <v>16</v>
      </c>
      <c r="K7" s="1280" t="s">
        <v>415</v>
      </c>
      <c r="L7" s="1280" t="s">
        <v>415</v>
      </c>
      <c r="M7" s="1376">
        <v>24</v>
      </c>
      <c r="N7" s="46"/>
      <c r="O7" s="74">
        <f t="shared" si="0"/>
        <v>19.68</v>
      </c>
      <c r="P7" s="46"/>
      <c r="Q7" s="504"/>
      <c r="R7" s="517"/>
      <c r="S7" s="1286"/>
      <c r="V7" s="1283">
        <v>22</v>
      </c>
      <c r="W7" s="1284">
        <v>2</v>
      </c>
      <c r="X7" s="1278">
        <v>3</v>
      </c>
      <c r="Y7" s="1284">
        <v>2</v>
      </c>
      <c r="Z7" s="1285">
        <v>3</v>
      </c>
      <c r="AA7" s="1"/>
      <c r="AB7" s="3"/>
    </row>
    <row r="8" spans="1:28" ht="18.75">
      <c r="A8" s="1391">
        <v>14</v>
      </c>
      <c r="B8" s="1384">
        <v>-2.1</v>
      </c>
      <c r="C8" s="1392">
        <v>20</v>
      </c>
      <c r="E8" s="1388">
        <v>14</v>
      </c>
      <c r="F8" s="1384">
        <v>2.1</v>
      </c>
      <c r="G8" s="1384">
        <v>60</v>
      </c>
      <c r="H8" s="1385">
        <v>30</v>
      </c>
      <c r="J8" s="1277" t="s">
        <v>416</v>
      </c>
      <c r="K8" s="1380">
        <v>25</v>
      </c>
      <c r="L8" s="1380">
        <v>30</v>
      </c>
      <c r="M8" s="1376">
        <v>35</v>
      </c>
      <c r="N8" s="46"/>
      <c r="O8" s="74">
        <f t="shared" si="0"/>
        <v>28.7</v>
      </c>
      <c r="P8" s="46"/>
      <c r="Q8" s="504"/>
      <c r="R8" s="517"/>
      <c r="S8" s="1286"/>
      <c r="V8" s="1283">
        <v>20</v>
      </c>
      <c r="W8" s="1284">
        <v>3</v>
      </c>
      <c r="X8" s="1278">
        <v>4</v>
      </c>
      <c r="Y8" s="1284">
        <v>3</v>
      </c>
      <c r="Z8" s="1285">
        <v>4</v>
      </c>
      <c r="AA8" s="1"/>
      <c r="AB8" s="3"/>
    </row>
    <row r="9" spans="1:28" ht="18.75">
      <c r="A9" s="1391">
        <v>12</v>
      </c>
      <c r="B9" s="1384">
        <v>-3.3</v>
      </c>
      <c r="C9" s="1392">
        <v>25</v>
      </c>
      <c r="E9" s="1388">
        <v>12</v>
      </c>
      <c r="F9" s="1384">
        <v>3.3</v>
      </c>
      <c r="G9" s="1384">
        <v>80</v>
      </c>
      <c r="H9" s="1385">
        <v>40</v>
      </c>
      <c r="J9" s="1277" t="s">
        <v>417</v>
      </c>
      <c r="K9" s="1380">
        <v>30</v>
      </c>
      <c r="L9" s="1380">
        <v>35</v>
      </c>
      <c r="M9" s="1376">
        <v>40</v>
      </c>
      <c r="N9" s="46"/>
      <c r="O9" s="74">
        <f t="shared" si="0"/>
        <v>32.799999999999997</v>
      </c>
      <c r="P9" s="46"/>
      <c r="Q9" s="504"/>
      <c r="R9" s="517"/>
      <c r="S9" s="1286"/>
      <c r="V9" s="1283">
        <v>18</v>
      </c>
      <c r="W9" s="1284">
        <v>4</v>
      </c>
      <c r="X9" s="1278">
        <v>6</v>
      </c>
      <c r="Y9" s="1284">
        <v>4</v>
      </c>
      <c r="Z9" s="1285">
        <v>6</v>
      </c>
      <c r="AA9" s="1"/>
      <c r="AB9" s="1287">
        <v>7</v>
      </c>
    </row>
    <row r="10" spans="1:28" ht="18.75">
      <c r="A10" s="1393">
        <v>10</v>
      </c>
      <c r="B10" s="1386">
        <v>-5.3</v>
      </c>
      <c r="C10" s="1394">
        <v>40</v>
      </c>
      <c r="D10" s="824"/>
      <c r="E10" s="1389">
        <v>10</v>
      </c>
      <c r="F10" s="1386">
        <v>5.3</v>
      </c>
      <c r="G10" s="1386">
        <v>100</v>
      </c>
      <c r="H10" s="1387">
        <v>50</v>
      </c>
      <c r="I10" s="1290"/>
      <c r="J10" s="1289" t="s">
        <v>418</v>
      </c>
      <c r="K10" s="1381">
        <v>40</v>
      </c>
      <c r="L10" s="1381">
        <v>50</v>
      </c>
      <c r="M10" s="1377">
        <v>55</v>
      </c>
      <c r="N10" s="1291"/>
      <c r="O10" s="1292">
        <f t="shared" si="0"/>
        <v>45.099999999999994</v>
      </c>
      <c r="P10" s="46"/>
      <c r="Q10" s="1400">
        <v>40</v>
      </c>
      <c r="R10" s="1204">
        <v>40.159999999999997</v>
      </c>
      <c r="S10" s="1293" t="s">
        <v>345</v>
      </c>
      <c r="V10" s="1283">
        <v>16</v>
      </c>
      <c r="W10" s="1284">
        <v>6</v>
      </c>
      <c r="X10" s="1278">
        <v>9</v>
      </c>
      <c r="Y10" s="1284">
        <v>6</v>
      </c>
      <c r="Z10" s="1285">
        <v>9</v>
      </c>
      <c r="AA10" s="1"/>
      <c r="AB10" s="1287">
        <v>10</v>
      </c>
    </row>
    <row r="11" spans="1:28" ht="18.75">
      <c r="A11" s="1391">
        <v>8</v>
      </c>
      <c r="B11" s="1384">
        <v>-8.4</v>
      </c>
      <c r="C11" s="1392">
        <v>60</v>
      </c>
      <c r="E11" s="1388">
        <v>8</v>
      </c>
      <c r="F11" s="1384">
        <v>8.4</v>
      </c>
      <c r="G11" s="1384">
        <v>150</v>
      </c>
      <c r="H11" s="1385">
        <v>80</v>
      </c>
      <c r="J11" s="1388">
        <v>8</v>
      </c>
      <c r="K11" s="1380">
        <v>60</v>
      </c>
      <c r="L11" s="1380">
        <v>70</v>
      </c>
      <c r="M11" s="1376">
        <v>80</v>
      </c>
      <c r="N11" s="46"/>
      <c r="O11" s="74">
        <f t="shared" si="0"/>
        <v>65.599999999999994</v>
      </c>
      <c r="P11" s="46"/>
      <c r="Q11" s="1401">
        <v>60</v>
      </c>
      <c r="R11" s="1200">
        <v>60.24</v>
      </c>
      <c r="S11" s="1295" t="s">
        <v>346</v>
      </c>
      <c r="V11" s="1283">
        <v>14</v>
      </c>
      <c r="W11" s="1284">
        <v>9</v>
      </c>
      <c r="X11" s="1278">
        <v>13</v>
      </c>
      <c r="Y11" s="1284">
        <v>10</v>
      </c>
      <c r="Z11" s="1285">
        <v>15</v>
      </c>
      <c r="AA11" s="1"/>
      <c r="AB11" s="1287">
        <v>20</v>
      </c>
    </row>
    <row r="12" spans="1:28" ht="18.75">
      <c r="A12" s="1393">
        <v>6</v>
      </c>
      <c r="B12" s="1386">
        <v>-13.3</v>
      </c>
      <c r="C12" s="1394">
        <v>80</v>
      </c>
      <c r="D12" s="824"/>
      <c r="E12" s="1389">
        <v>6</v>
      </c>
      <c r="F12" s="1386">
        <v>13.3</v>
      </c>
      <c r="G12" s="1386">
        <v>200</v>
      </c>
      <c r="H12" s="1387">
        <v>100</v>
      </c>
      <c r="I12" s="1290"/>
      <c r="J12" s="1389">
        <v>6</v>
      </c>
      <c r="K12" s="1381">
        <v>80</v>
      </c>
      <c r="L12" s="1381">
        <v>95</v>
      </c>
      <c r="M12" s="1377">
        <v>105</v>
      </c>
      <c r="N12" s="1291"/>
      <c r="O12" s="1292">
        <f t="shared" si="0"/>
        <v>86.1</v>
      </c>
      <c r="P12" s="46"/>
      <c r="Q12" s="1400">
        <v>80</v>
      </c>
      <c r="R12" s="1204">
        <v>80.319999999999993</v>
      </c>
      <c r="S12" s="1293" t="s">
        <v>347</v>
      </c>
      <c r="V12" s="1283">
        <v>12</v>
      </c>
      <c r="W12" s="1284">
        <v>12</v>
      </c>
      <c r="X12" s="1278">
        <v>17</v>
      </c>
      <c r="Y12" s="1284">
        <v>15</v>
      </c>
      <c r="Z12" s="1285">
        <v>22</v>
      </c>
      <c r="AA12" s="1"/>
      <c r="AB12" s="1287">
        <v>25</v>
      </c>
    </row>
    <row r="13" spans="1:28" ht="18.75">
      <c r="A13" s="1391">
        <v>4</v>
      </c>
      <c r="B13" s="1384">
        <v>-21.2</v>
      </c>
      <c r="C13" s="1392">
        <v>105</v>
      </c>
      <c r="E13" s="1388">
        <v>4</v>
      </c>
      <c r="F13" s="1384">
        <v>21.2</v>
      </c>
      <c r="G13" s="1384">
        <v>250</v>
      </c>
      <c r="H13" s="1385">
        <v>125</v>
      </c>
      <c r="J13" s="1388">
        <v>4</v>
      </c>
      <c r="K13" s="1380">
        <v>105</v>
      </c>
      <c r="L13" s="1380">
        <v>125</v>
      </c>
      <c r="M13" s="1376">
        <v>140</v>
      </c>
      <c r="N13" s="46"/>
      <c r="O13" s="74">
        <f t="shared" si="0"/>
        <v>114.8</v>
      </c>
      <c r="P13" s="46"/>
      <c r="Q13" s="1401">
        <v>105</v>
      </c>
      <c r="R13" s="1200">
        <v>105.42</v>
      </c>
      <c r="S13" s="1295" t="s">
        <v>348</v>
      </c>
      <c r="V13" s="1283">
        <v>10</v>
      </c>
      <c r="W13" s="1284">
        <v>18</v>
      </c>
      <c r="X13" s="1278">
        <v>27</v>
      </c>
      <c r="Y13" s="1284">
        <v>22</v>
      </c>
      <c r="Z13" s="1285">
        <v>35</v>
      </c>
      <c r="AA13" s="1"/>
      <c r="AB13" s="1287">
        <v>40</v>
      </c>
    </row>
    <row r="14" spans="1:28" ht="18.75">
      <c r="A14" s="1393">
        <v>3</v>
      </c>
      <c r="B14" s="1386">
        <v>-26.7</v>
      </c>
      <c r="C14" s="1394">
        <v>120</v>
      </c>
      <c r="D14" s="824"/>
      <c r="E14" s="1389">
        <v>3</v>
      </c>
      <c r="F14" s="1386">
        <v>26.7</v>
      </c>
      <c r="G14" s="1386">
        <v>300</v>
      </c>
      <c r="H14" s="1387">
        <v>150</v>
      </c>
      <c r="I14" s="1290"/>
      <c r="J14" s="1389">
        <v>3</v>
      </c>
      <c r="K14" s="1381">
        <v>120</v>
      </c>
      <c r="L14" s="1381">
        <v>145</v>
      </c>
      <c r="M14" s="1377">
        <v>165</v>
      </c>
      <c r="N14" s="1291"/>
      <c r="O14" s="1292">
        <f t="shared" si="0"/>
        <v>135.29999999999998</v>
      </c>
      <c r="P14" s="46"/>
      <c r="Q14" s="1400">
        <v>120</v>
      </c>
      <c r="R14" s="1204">
        <v>120.48</v>
      </c>
      <c r="S14" s="1293" t="s">
        <v>349</v>
      </c>
      <c r="V14" s="1283">
        <v>8</v>
      </c>
      <c r="W14" s="1284">
        <v>31</v>
      </c>
      <c r="X14" s="1278">
        <v>47</v>
      </c>
      <c r="Y14" s="1284">
        <v>35</v>
      </c>
      <c r="Z14" s="1285">
        <v>55</v>
      </c>
      <c r="AA14" s="1"/>
      <c r="AB14" s="1287">
        <v>60</v>
      </c>
    </row>
    <row r="15" spans="1:28" ht="18.75">
      <c r="A15" s="1391">
        <v>2</v>
      </c>
      <c r="B15" s="1384">
        <v>-33.6</v>
      </c>
      <c r="C15" s="1392">
        <v>140</v>
      </c>
      <c r="E15" s="1388">
        <v>2</v>
      </c>
      <c r="F15" s="1384">
        <v>33.6</v>
      </c>
      <c r="G15" s="1384">
        <v>350</v>
      </c>
      <c r="H15" s="1385">
        <v>175</v>
      </c>
      <c r="J15" s="1388">
        <v>2</v>
      </c>
      <c r="K15" s="1380">
        <v>140</v>
      </c>
      <c r="L15" s="1380">
        <v>170</v>
      </c>
      <c r="M15" s="1376">
        <v>190</v>
      </c>
      <c r="N15" s="46"/>
      <c r="O15" s="74">
        <f t="shared" si="0"/>
        <v>155.79999999999998</v>
      </c>
      <c r="P15" s="46"/>
      <c r="Q15" s="1401">
        <v>140</v>
      </c>
      <c r="R15" s="1200">
        <v>140.56</v>
      </c>
      <c r="S15" s="1295" t="s">
        <v>350</v>
      </c>
      <c r="V15" s="1283">
        <v>6</v>
      </c>
      <c r="W15" s="1284">
        <v>45</v>
      </c>
      <c r="X15" s="1278">
        <v>67</v>
      </c>
      <c r="Y15" s="1284">
        <v>52</v>
      </c>
      <c r="Z15" s="1285">
        <v>80</v>
      </c>
      <c r="AA15" s="1"/>
      <c r="AB15" s="1287">
        <v>80</v>
      </c>
    </row>
    <row r="16" spans="1:28" ht="18.75">
      <c r="A16" s="1393">
        <v>1</v>
      </c>
      <c r="B16" s="1386">
        <v>-42.4</v>
      </c>
      <c r="C16" s="1394">
        <v>165</v>
      </c>
      <c r="D16" s="824"/>
      <c r="E16" s="1389">
        <v>1</v>
      </c>
      <c r="F16" s="1386">
        <v>42.4</v>
      </c>
      <c r="G16" s="1386">
        <v>400</v>
      </c>
      <c r="H16" s="1387">
        <v>200</v>
      </c>
      <c r="I16" s="1290"/>
      <c r="J16" s="1389">
        <v>1</v>
      </c>
      <c r="K16" s="1381">
        <v>165</v>
      </c>
      <c r="L16" s="1381">
        <v>195</v>
      </c>
      <c r="M16" s="1377">
        <v>220</v>
      </c>
      <c r="N16" s="1291"/>
      <c r="O16" s="1292">
        <f t="shared" si="0"/>
        <v>180.39999999999998</v>
      </c>
      <c r="P16" s="46"/>
      <c r="Q16" s="1400">
        <v>165</v>
      </c>
      <c r="R16" s="1204">
        <v>165.66</v>
      </c>
      <c r="S16" s="1293" t="s">
        <v>351</v>
      </c>
      <c r="V16" s="1283">
        <v>4</v>
      </c>
      <c r="W16" s="1284">
        <v>61</v>
      </c>
      <c r="X16" s="1278">
        <v>91</v>
      </c>
      <c r="Y16" s="1284">
        <v>71</v>
      </c>
      <c r="Z16" s="1285">
        <v>108</v>
      </c>
      <c r="AA16" s="1"/>
      <c r="AB16" s="1287">
        <v>105</v>
      </c>
    </row>
    <row r="17" spans="1:28" ht="18.75">
      <c r="A17" s="765" t="s">
        <v>419</v>
      </c>
      <c r="B17" s="1384">
        <v>-53.5</v>
      </c>
      <c r="C17" s="1392">
        <v>195</v>
      </c>
      <c r="E17" s="1277" t="s">
        <v>420</v>
      </c>
      <c r="F17" s="1384">
        <v>53.6</v>
      </c>
      <c r="G17" s="1384">
        <v>500</v>
      </c>
      <c r="H17" s="1385">
        <v>250</v>
      </c>
      <c r="J17" s="1277" t="s">
        <v>420</v>
      </c>
      <c r="K17" s="1380">
        <v>195</v>
      </c>
      <c r="L17" s="1380">
        <v>230</v>
      </c>
      <c r="M17" s="1376">
        <v>260</v>
      </c>
      <c r="N17" s="46"/>
      <c r="O17" s="74">
        <f t="shared" si="0"/>
        <v>213.2</v>
      </c>
      <c r="P17" s="46"/>
      <c r="Q17" s="1401">
        <v>195</v>
      </c>
      <c r="R17" s="1200">
        <v>195.78</v>
      </c>
      <c r="S17" s="1295" t="s">
        <v>352</v>
      </c>
      <c r="V17" s="1283">
        <v>3</v>
      </c>
      <c r="W17" s="1284">
        <v>70</v>
      </c>
      <c r="X17" s="1278">
        <v>104</v>
      </c>
      <c r="Y17" s="1284">
        <v>80</v>
      </c>
      <c r="Z17" s="1285">
        <v>121</v>
      </c>
      <c r="AA17" s="1"/>
      <c r="AB17" s="1287">
        <v>120</v>
      </c>
    </row>
    <row r="18" spans="1:28" ht="18.75">
      <c r="A18" s="1288" t="s">
        <v>421</v>
      </c>
      <c r="B18" s="1386">
        <v>-67.400000000000006</v>
      </c>
      <c r="C18" s="1394">
        <v>225</v>
      </c>
      <c r="D18" s="824"/>
      <c r="E18" s="1289" t="s">
        <v>422</v>
      </c>
      <c r="F18" s="1386">
        <v>67.400000000000006</v>
      </c>
      <c r="G18" s="1386">
        <v>600</v>
      </c>
      <c r="H18" s="1387">
        <v>300</v>
      </c>
      <c r="I18" s="1290"/>
      <c r="J18" s="1289" t="s">
        <v>422</v>
      </c>
      <c r="K18" s="1381">
        <v>225</v>
      </c>
      <c r="L18" s="1381">
        <v>265</v>
      </c>
      <c r="M18" s="1377">
        <v>300</v>
      </c>
      <c r="N18" s="1291"/>
      <c r="O18" s="1292">
        <f t="shared" si="0"/>
        <v>245.99999999999997</v>
      </c>
      <c r="P18" s="46"/>
      <c r="Q18" s="1400">
        <v>225</v>
      </c>
      <c r="R18" s="1204">
        <v>225.9</v>
      </c>
      <c r="S18" s="1293" t="s">
        <v>353</v>
      </c>
      <c r="V18" s="1283">
        <v>2</v>
      </c>
      <c r="W18" s="1284">
        <v>80</v>
      </c>
      <c r="X18" s="1278">
        <v>120</v>
      </c>
      <c r="Y18" s="1284">
        <v>90</v>
      </c>
      <c r="Z18" s="1285">
        <v>140</v>
      </c>
      <c r="AA18" s="1"/>
      <c r="AB18" s="1287">
        <v>140</v>
      </c>
    </row>
    <row r="19" spans="1:28" ht="18.75">
      <c r="A19" s="765" t="s">
        <v>423</v>
      </c>
      <c r="B19" s="1384">
        <v>-85</v>
      </c>
      <c r="C19" s="1392">
        <v>260</v>
      </c>
      <c r="E19" s="1277" t="s">
        <v>424</v>
      </c>
      <c r="F19" s="1384">
        <v>85</v>
      </c>
      <c r="G19" s="1384">
        <v>700</v>
      </c>
      <c r="H19" s="1385">
        <v>350</v>
      </c>
      <c r="J19" s="1277" t="s">
        <v>424</v>
      </c>
      <c r="K19" s="1380">
        <v>260</v>
      </c>
      <c r="L19" s="1380">
        <v>310</v>
      </c>
      <c r="M19" s="1376">
        <v>350</v>
      </c>
      <c r="N19" s="46"/>
      <c r="O19" s="74">
        <f t="shared" si="0"/>
        <v>287</v>
      </c>
      <c r="P19" s="46"/>
      <c r="Q19" s="1401">
        <v>260</v>
      </c>
      <c r="R19" s="1200">
        <v>261.04000000000002</v>
      </c>
      <c r="S19" s="1295" t="s">
        <v>354</v>
      </c>
      <c r="V19" s="1283">
        <v>1</v>
      </c>
      <c r="W19" s="1284">
        <v>94</v>
      </c>
      <c r="X19" s="1278">
        <v>141</v>
      </c>
      <c r="Y19" s="1284">
        <v>107</v>
      </c>
      <c r="Z19" s="1285">
        <v>164</v>
      </c>
      <c r="AA19" s="1"/>
      <c r="AB19" s="1287">
        <v>165</v>
      </c>
    </row>
    <row r="20" spans="1:28" ht="19.5" thickBot="1">
      <c r="A20" s="1288" t="s">
        <v>425</v>
      </c>
      <c r="B20" s="1386">
        <v>-107.2</v>
      </c>
      <c r="C20" s="1394">
        <v>300</v>
      </c>
      <c r="D20" s="824"/>
      <c r="E20" s="1289" t="s">
        <v>426</v>
      </c>
      <c r="F20" s="1386">
        <v>107.2</v>
      </c>
      <c r="G20" s="1386">
        <v>800</v>
      </c>
      <c r="H20" s="1387">
        <v>400</v>
      </c>
      <c r="I20" s="1290"/>
      <c r="J20" s="1289" t="s">
        <v>426</v>
      </c>
      <c r="K20" s="1381">
        <v>300</v>
      </c>
      <c r="L20" s="1381">
        <v>360</v>
      </c>
      <c r="M20" s="1377">
        <v>405</v>
      </c>
      <c r="N20" s="1291"/>
      <c r="O20" s="1292">
        <f t="shared" si="0"/>
        <v>332.09999999999997</v>
      </c>
      <c r="P20" s="46"/>
      <c r="Q20" s="1400">
        <v>300</v>
      </c>
      <c r="R20" s="1204">
        <v>301.2</v>
      </c>
      <c r="S20" s="1293" t="s">
        <v>355</v>
      </c>
      <c r="V20" s="1283" t="s">
        <v>120</v>
      </c>
      <c r="W20" s="1284">
        <v>110</v>
      </c>
      <c r="X20" s="1278">
        <v>164</v>
      </c>
      <c r="Y20" s="1284">
        <v>133</v>
      </c>
      <c r="Z20" s="1285">
        <v>190</v>
      </c>
      <c r="AA20" s="1"/>
      <c r="AB20" s="1287">
        <v>195</v>
      </c>
    </row>
    <row r="21" spans="1:28" ht="19.5" thickBot="1">
      <c r="A21" s="1395">
        <v>250</v>
      </c>
      <c r="B21" s="1378">
        <v>-127</v>
      </c>
      <c r="C21" s="1396">
        <v>340</v>
      </c>
      <c r="D21" s="1297"/>
      <c r="E21" s="1390">
        <v>250</v>
      </c>
      <c r="F21" s="1296" t="s">
        <v>427</v>
      </c>
      <c r="G21" s="1296" t="s">
        <v>427</v>
      </c>
      <c r="H21" s="1298" t="s">
        <v>427</v>
      </c>
      <c r="I21" s="1299"/>
      <c r="J21" s="1390">
        <v>250</v>
      </c>
      <c r="K21" s="1382">
        <v>340</v>
      </c>
      <c r="L21" s="1382">
        <v>405</v>
      </c>
      <c r="M21" s="1378">
        <v>455</v>
      </c>
      <c r="N21" s="1300"/>
      <c r="O21" s="1301">
        <f t="shared" si="0"/>
        <v>373.09999999999997</v>
      </c>
      <c r="P21" s="46"/>
      <c r="Q21" s="1402">
        <v>340</v>
      </c>
      <c r="R21" s="1302">
        <v>341.36</v>
      </c>
      <c r="S21" s="1303" t="s">
        <v>377</v>
      </c>
      <c r="T21" s="1304" t="s">
        <v>428</v>
      </c>
      <c r="V21" s="1283" t="s">
        <v>121</v>
      </c>
      <c r="W21" s="1284">
        <v>128</v>
      </c>
      <c r="X21" s="1278">
        <v>191</v>
      </c>
      <c r="Y21" s="1284">
        <v>148</v>
      </c>
      <c r="Z21" s="1285">
        <v>221</v>
      </c>
      <c r="AA21" s="1"/>
      <c r="AB21" s="1287">
        <v>225</v>
      </c>
    </row>
    <row r="22" spans="1:28" ht="18.75">
      <c r="A22" s="1391">
        <v>300</v>
      </c>
      <c r="B22" s="1384">
        <v>-152</v>
      </c>
      <c r="C22" s="1392">
        <v>375</v>
      </c>
      <c r="E22" s="1388">
        <v>300</v>
      </c>
      <c r="F22" s="20" t="s">
        <v>429</v>
      </c>
      <c r="G22" s="20" t="s">
        <v>429</v>
      </c>
      <c r="H22" s="1264" t="s">
        <v>429</v>
      </c>
      <c r="J22" s="1388">
        <v>300</v>
      </c>
      <c r="K22" s="1380">
        <v>375</v>
      </c>
      <c r="L22" s="1380">
        <v>445</v>
      </c>
      <c r="M22" s="1376">
        <v>505</v>
      </c>
      <c r="N22" s="46"/>
      <c r="O22" s="74">
        <f t="shared" si="0"/>
        <v>414.09999999999997</v>
      </c>
      <c r="P22" s="46"/>
      <c r="Q22" s="1400">
        <v>375</v>
      </c>
      <c r="R22" s="1204">
        <v>376.5</v>
      </c>
      <c r="S22" s="1305" t="s">
        <v>378</v>
      </c>
      <c r="V22" s="1283" t="s">
        <v>122</v>
      </c>
      <c r="W22" s="1284">
        <v>148</v>
      </c>
      <c r="X22" s="1278">
        <v>221</v>
      </c>
      <c r="Y22" s="1284">
        <v>171</v>
      </c>
      <c r="Z22" s="1285">
        <v>257</v>
      </c>
      <c r="AA22" s="1"/>
      <c r="AB22" s="1287">
        <v>260</v>
      </c>
    </row>
    <row r="23" spans="1:28" ht="18.75">
      <c r="A23" s="1391">
        <v>350</v>
      </c>
      <c r="B23" s="1384">
        <v>-177</v>
      </c>
      <c r="C23" s="1392">
        <v>420</v>
      </c>
      <c r="E23" s="1388">
        <v>350</v>
      </c>
      <c r="F23" s="20" t="s">
        <v>429</v>
      </c>
      <c r="G23" s="20" t="s">
        <v>429</v>
      </c>
      <c r="H23" s="1264" t="s">
        <v>429</v>
      </c>
      <c r="J23" s="1388">
        <v>350</v>
      </c>
      <c r="K23" s="1380">
        <v>420</v>
      </c>
      <c r="L23" s="1380">
        <v>505</v>
      </c>
      <c r="M23" s="1376">
        <v>570</v>
      </c>
      <c r="N23" s="46"/>
      <c r="O23" s="74">
        <f t="shared" si="0"/>
        <v>467.4</v>
      </c>
      <c r="P23" s="46"/>
      <c r="Q23" s="1294">
        <v>432</v>
      </c>
      <c r="R23" s="1200">
        <v>433.72800000000001</v>
      </c>
      <c r="S23" s="1306" t="s">
        <v>379</v>
      </c>
      <c r="V23" s="1283" t="s">
        <v>123</v>
      </c>
      <c r="W23" s="1284">
        <v>173</v>
      </c>
      <c r="X23" s="1278">
        <v>258</v>
      </c>
      <c r="Y23" s="1284">
        <v>200</v>
      </c>
      <c r="Z23" s="1285">
        <v>300</v>
      </c>
      <c r="AA23" s="1"/>
      <c r="AB23" s="1287">
        <v>300</v>
      </c>
    </row>
    <row r="24" spans="1:28" ht="18.75">
      <c r="A24" s="1391">
        <v>400</v>
      </c>
      <c r="B24" s="1384">
        <v>-203</v>
      </c>
      <c r="C24" s="1392">
        <v>455</v>
      </c>
      <c r="E24" s="1388">
        <v>400</v>
      </c>
      <c r="F24" s="20" t="s">
        <v>429</v>
      </c>
      <c r="G24" s="20" t="s">
        <v>429</v>
      </c>
      <c r="H24" s="1264" t="s">
        <v>429</v>
      </c>
      <c r="J24" s="1388">
        <v>400</v>
      </c>
      <c r="K24" s="1380">
        <v>455</v>
      </c>
      <c r="L24" s="1380">
        <v>545</v>
      </c>
      <c r="M24" s="1376">
        <v>615</v>
      </c>
      <c r="N24" s="46"/>
      <c r="O24" s="74">
        <f t="shared" si="0"/>
        <v>504.29999999999995</v>
      </c>
      <c r="P24" s="46"/>
      <c r="Q24" s="1307">
        <v>499.2</v>
      </c>
      <c r="R24" s="1204">
        <v>501.1968</v>
      </c>
      <c r="S24" s="1305" t="s">
        <v>380</v>
      </c>
      <c r="V24" s="1283">
        <v>250</v>
      </c>
      <c r="W24" s="1284"/>
      <c r="X24" s="1278"/>
      <c r="Y24" s="1284"/>
      <c r="Z24" s="1285"/>
      <c r="AA24" s="1"/>
      <c r="AB24" s="1287">
        <v>340</v>
      </c>
    </row>
    <row r="25" spans="1:28" ht="18.75">
      <c r="A25" s="1391">
        <v>500</v>
      </c>
      <c r="B25" s="1384">
        <v>-253</v>
      </c>
      <c r="C25" s="1392">
        <v>515</v>
      </c>
      <c r="E25" s="1388">
        <v>500</v>
      </c>
      <c r="F25" s="20" t="s">
        <v>429</v>
      </c>
      <c r="G25" s="20" t="s">
        <v>429</v>
      </c>
      <c r="H25" s="1264" t="s">
        <v>429</v>
      </c>
      <c r="J25" s="1388">
        <v>500</v>
      </c>
      <c r="K25" s="1380">
        <v>515</v>
      </c>
      <c r="L25" s="1380">
        <v>620</v>
      </c>
      <c r="M25" s="1376">
        <v>700</v>
      </c>
      <c r="N25" s="46"/>
      <c r="O25" s="74">
        <f t="shared" si="0"/>
        <v>574</v>
      </c>
      <c r="P25" s="46"/>
      <c r="Q25" s="740">
        <v>576</v>
      </c>
      <c r="R25" s="1200">
        <v>578.30399999999997</v>
      </c>
      <c r="S25" s="1308" t="s">
        <v>381</v>
      </c>
      <c r="V25" s="1283">
        <v>300</v>
      </c>
      <c r="W25" s="1284"/>
      <c r="X25" s="1278"/>
      <c r="Y25" s="1284"/>
      <c r="Z25" s="1285"/>
      <c r="AA25" s="1"/>
      <c r="AB25" s="1287">
        <v>375</v>
      </c>
    </row>
    <row r="26" spans="1:28" ht="18.75">
      <c r="A26" s="1391">
        <v>600</v>
      </c>
      <c r="B26" s="1384">
        <v>-304</v>
      </c>
      <c r="C26" s="1392">
        <v>575</v>
      </c>
      <c r="E26" s="1388">
        <v>600</v>
      </c>
      <c r="F26" s="20" t="s">
        <v>429</v>
      </c>
      <c r="G26" s="20" t="s">
        <v>429</v>
      </c>
      <c r="H26" s="1264" t="s">
        <v>429</v>
      </c>
      <c r="J26" s="1388">
        <v>600</v>
      </c>
      <c r="K26" s="1380">
        <v>575</v>
      </c>
      <c r="L26" s="1380">
        <v>690</v>
      </c>
      <c r="M26" s="1376">
        <v>780</v>
      </c>
      <c r="N26" s="46"/>
      <c r="O26" s="74">
        <f t="shared" si="0"/>
        <v>639.59999999999991</v>
      </c>
      <c r="P26" s="46"/>
      <c r="Q26" s="1307">
        <v>652.79999999999995</v>
      </c>
      <c r="R26" s="1204">
        <v>655.41120000000001</v>
      </c>
      <c r="S26" s="1305" t="s">
        <v>382</v>
      </c>
      <c r="V26" s="1283">
        <v>350</v>
      </c>
      <c r="W26" s="1284"/>
      <c r="X26" s="1278"/>
      <c r="Y26" s="1284"/>
      <c r="Z26" s="1285"/>
      <c r="AA26" s="1"/>
      <c r="AB26" s="1287">
        <v>420</v>
      </c>
    </row>
    <row r="27" spans="1:28" ht="18.75">
      <c r="A27" s="1391">
        <v>700</v>
      </c>
      <c r="B27" s="1384">
        <v>-354</v>
      </c>
      <c r="C27" s="1392">
        <v>630</v>
      </c>
      <c r="E27" s="1388">
        <v>700</v>
      </c>
      <c r="F27" s="20" t="s">
        <v>429</v>
      </c>
      <c r="G27" s="20" t="s">
        <v>429</v>
      </c>
      <c r="H27" s="1264" t="s">
        <v>429</v>
      </c>
      <c r="J27" s="1388">
        <v>700</v>
      </c>
      <c r="K27" s="1380">
        <v>630</v>
      </c>
      <c r="L27" s="1380">
        <v>755</v>
      </c>
      <c r="M27" s="1376">
        <v>855</v>
      </c>
      <c r="N27" s="46"/>
      <c r="O27" s="74">
        <f t="shared" si="0"/>
        <v>701.09999999999991</v>
      </c>
      <c r="P27" s="46"/>
      <c r="Q27" s="1294">
        <v>720</v>
      </c>
      <c r="R27" s="1200">
        <v>722.88</v>
      </c>
      <c r="S27" s="1295" t="s">
        <v>383</v>
      </c>
      <c r="T27" s="593"/>
      <c r="V27" s="1283">
        <v>400</v>
      </c>
      <c r="W27" s="1284"/>
      <c r="X27" s="1278"/>
      <c r="Y27" s="1284"/>
      <c r="Z27" s="1285"/>
      <c r="AA27" s="1"/>
      <c r="AB27" s="1287">
        <v>455</v>
      </c>
    </row>
    <row r="28" spans="1:28" ht="19.5" thickBot="1">
      <c r="A28" s="1391">
        <v>750</v>
      </c>
      <c r="B28" s="1384">
        <v>-380</v>
      </c>
      <c r="C28" s="1392">
        <v>655</v>
      </c>
      <c r="E28" s="1388">
        <v>750</v>
      </c>
      <c r="F28" s="20" t="s">
        <v>429</v>
      </c>
      <c r="G28" s="20" t="s">
        <v>429</v>
      </c>
      <c r="H28" s="1264" t="s">
        <v>429</v>
      </c>
      <c r="J28" s="1388">
        <v>750</v>
      </c>
      <c r="K28" s="1380">
        <v>655</v>
      </c>
      <c r="L28" s="1380">
        <v>785</v>
      </c>
      <c r="M28" s="1376">
        <v>885</v>
      </c>
      <c r="N28" s="46"/>
      <c r="O28" s="74">
        <f t="shared" si="0"/>
        <v>725.69999999999993</v>
      </c>
      <c r="P28" s="46"/>
      <c r="Q28" s="1309"/>
      <c r="R28" s="1310"/>
      <c r="S28" s="1311" t="s">
        <v>385</v>
      </c>
      <c r="V28" s="1283">
        <v>500</v>
      </c>
      <c r="W28" s="1284"/>
      <c r="X28" s="1278"/>
      <c r="Y28" s="1284"/>
      <c r="Z28" s="1285"/>
      <c r="AA28" s="1"/>
      <c r="AB28" s="1287">
        <v>515</v>
      </c>
    </row>
    <row r="29" spans="1:28" ht="15.75">
      <c r="A29" s="1391">
        <v>800</v>
      </c>
      <c r="B29" s="1384">
        <v>-406</v>
      </c>
      <c r="C29" s="1392">
        <v>680</v>
      </c>
      <c r="E29" s="1388">
        <v>800</v>
      </c>
      <c r="F29" s="20" t="s">
        <v>429</v>
      </c>
      <c r="G29" s="20" t="s">
        <v>429</v>
      </c>
      <c r="H29" s="1264" t="s">
        <v>429</v>
      </c>
      <c r="J29" s="1388">
        <v>800</v>
      </c>
      <c r="K29" s="1380">
        <v>680</v>
      </c>
      <c r="L29" s="1380">
        <v>815</v>
      </c>
      <c r="M29" s="1376">
        <v>920</v>
      </c>
      <c r="N29" s="46"/>
      <c r="O29" s="74">
        <f t="shared" si="0"/>
        <v>754.4</v>
      </c>
      <c r="P29" s="46"/>
      <c r="V29" s="2142" t="s">
        <v>430</v>
      </c>
      <c r="W29" s="2143"/>
      <c r="X29" s="2143"/>
      <c r="Y29" s="2143"/>
      <c r="Z29" s="2144"/>
    </row>
    <row r="30" spans="1:28" ht="15.75" thickBot="1">
      <c r="A30" s="1397">
        <v>1000</v>
      </c>
      <c r="B30" s="1398">
        <v>-508</v>
      </c>
      <c r="C30" s="1399">
        <v>780</v>
      </c>
      <c r="E30" s="1313" t="s">
        <v>431</v>
      </c>
      <c r="F30" s="1312" t="s">
        <v>429</v>
      </c>
      <c r="G30" s="1312" t="s">
        <v>429</v>
      </c>
      <c r="H30" s="1314" t="s">
        <v>429</v>
      </c>
      <c r="J30" s="1464">
        <v>1000</v>
      </c>
      <c r="K30" s="1383">
        <v>780</v>
      </c>
      <c r="L30" s="1383">
        <v>935</v>
      </c>
      <c r="M30" s="1379">
        <v>1055</v>
      </c>
      <c r="N30" s="1315"/>
      <c r="O30" s="1316">
        <f t="shared" si="0"/>
        <v>865.09999999999991</v>
      </c>
      <c r="P30" s="46"/>
    </row>
    <row r="31" spans="1:28" ht="13.5" thickBot="1">
      <c r="J31"/>
    </row>
    <row r="32" spans="1:28" ht="101.25">
      <c r="J32" s="1261" t="s">
        <v>432</v>
      </c>
      <c r="K32" s="1317" t="s">
        <v>433</v>
      </c>
      <c r="L32" s="96"/>
      <c r="M32" s="48"/>
      <c r="N32" s="96"/>
      <c r="O32" s="48"/>
    </row>
    <row r="33" spans="1:15">
      <c r="J33" s="1265" t="s">
        <v>399</v>
      </c>
      <c r="K33" s="1318" t="s">
        <v>400</v>
      </c>
      <c r="L33" s="1"/>
      <c r="M33" s="494"/>
      <c r="N33" s="7"/>
      <c r="O33" s="521"/>
    </row>
    <row r="34" spans="1:15" ht="51">
      <c r="J34" s="1319" t="s">
        <v>434</v>
      </c>
      <c r="K34" s="1272" t="s">
        <v>435</v>
      </c>
      <c r="L34" s="1272" t="s">
        <v>436</v>
      </c>
      <c r="M34" s="1320" t="s">
        <v>409</v>
      </c>
      <c r="N34" s="7"/>
      <c r="O34" s="521"/>
    </row>
    <row r="35" spans="1:15">
      <c r="J35" s="72"/>
      <c r="K35" s="1"/>
      <c r="L35" s="1"/>
      <c r="M35" s="494"/>
      <c r="N35" s="7"/>
      <c r="O35" s="521"/>
    </row>
    <row r="36" spans="1:15" ht="15">
      <c r="F36" s="1321"/>
      <c r="J36" s="58" t="s">
        <v>437</v>
      </c>
      <c r="K36" s="1" t="s">
        <v>438</v>
      </c>
      <c r="L36" s="1" t="s">
        <v>439</v>
      </c>
      <c r="M36" s="1322" t="s">
        <v>440</v>
      </c>
      <c r="N36" s="7"/>
      <c r="O36" s="521"/>
    </row>
    <row r="37" spans="1:15" ht="15">
      <c r="J37" s="58" t="s">
        <v>441</v>
      </c>
      <c r="K37" s="1" t="s">
        <v>442</v>
      </c>
      <c r="L37" s="1" t="s">
        <v>443</v>
      </c>
      <c r="M37" s="1322" t="s">
        <v>444</v>
      </c>
      <c r="N37" s="7"/>
      <c r="O37" s="521"/>
    </row>
    <row r="38" spans="1:15" ht="15">
      <c r="J38" s="58" t="s">
        <v>445</v>
      </c>
      <c r="K38" s="1" t="s">
        <v>446</v>
      </c>
      <c r="L38" s="1" t="s">
        <v>442</v>
      </c>
      <c r="M38" s="1322" t="s">
        <v>447</v>
      </c>
      <c r="N38" s="7"/>
      <c r="O38" s="521"/>
    </row>
    <row r="39" spans="1:15" ht="15.75">
      <c r="J39" s="1323" t="s">
        <v>448</v>
      </c>
      <c r="K39" s="1" t="s">
        <v>449</v>
      </c>
      <c r="L39" s="1" t="s">
        <v>450</v>
      </c>
      <c r="M39" s="1324" t="s">
        <v>451</v>
      </c>
      <c r="N39" s="7"/>
      <c r="O39" s="521"/>
    </row>
    <row r="40" spans="1:15" ht="15">
      <c r="J40" s="58" t="s">
        <v>452</v>
      </c>
      <c r="K40" s="1" t="s">
        <v>453</v>
      </c>
      <c r="L40" s="1" t="s">
        <v>454</v>
      </c>
      <c r="M40" s="1322" t="s">
        <v>455</v>
      </c>
      <c r="N40" s="7"/>
      <c r="O40" s="521"/>
    </row>
    <row r="41" spans="1:15" ht="15.75" thickBot="1">
      <c r="J41" s="495" t="s">
        <v>456</v>
      </c>
      <c r="K41" s="496" t="s">
        <v>457</v>
      </c>
      <c r="L41" s="496" t="s">
        <v>449</v>
      </c>
      <c r="M41" s="1325" t="s">
        <v>458</v>
      </c>
      <c r="N41" s="522"/>
      <c r="O41" s="523"/>
    </row>
    <row r="48" spans="1:15" ht="25.5">
      <c r="A48" s="1326" t="s">
        <v>459</v>
      </c>
    </row>
    <row r="49" spans="1:1">
      <c r="A49" s="1326"/>
    </row>
    <row r="50" spans="1:1">
      <c r="A50" s="1326" t="s">
        <v>460</v>
      </c>
    </row>
    <row r="51" spans="1:1">
      <c r="A51" s="1326"/>
    </row>
    <row r="52" spans="1:1" ht="178.5">
      <c r="A52" s="1326" t="s">
        <v>461</v>
      </c>
    </row>
    <row r="53" spans="1:1">
      <c r="A53" s="1326"/>
    </row>
    <row r="54" spans="1:1" ht="102">
      <c r="A54" s="1326" t="s">
        <v>462</v>
      </c>
    </row>
    <row r="55" spans="1:1">
      <c r="A55" s="1326"/>
    </row>
    <row r="56" spans="1:1" ht="89.25">
      <c r="A56" s="1326" t="s">
        <v>463</v>
      </c>
    </row>
    <row r="57" spans="1:1">
      <c r="A57" s="1326"/>
    </row>
    <row r="58" spans="1:1" ht="204">
      <c r="A58" s="1326" t="s">
        <v>464</v>
      </c>
    </row>
    <row r="59" spans="1:1">
      <c r="A59" s="1326"/>
    </row>
    <row r="60" spans="1:1">
      <c r="A60" s="1326" t="s">
        <v>465</v>
      </c>
    </row>
    <row r="61" spans="1:1">
      <c r="A61" s="1326"/>
    </row>
    <row r="62" spans="1:1" ht="25.5">
      <c r="A62" s="1326" t="s">
        <v>466</v>
      </c>
    </row>
    <row r="63" spans="1:1">
      <c r="A63" s="1326"/>
    </row>
    <row r="64" spans="1:1" ht="25.5">
      <c r="A64" s="1326" t="s">
        <v>467</v>
      </c>
    </row>
  </sheetData>
  <mergeCells count="3">
    <mergeCell ref="W2:X3"/>
    <mergeCell ref="Y2:Z3"/>
    <mergeCell ref="V29:Z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Z217"/>
  <sheetViews>
    <sheetView topLeftCell="A187" zoomScale="90" zoomScaleNormal="90" workbookViewId="0">
      <selection activeCell="F194" sqref="F194"/>
    </sheetView>
  </sheetViews>
  <sheetFormatPr baseColWidth="10" defaultColWidth="9.140625" defaultRowHeight="12.75"/>
  <cols>
    <col min="2" max="2" width="8.28515625" customWidth="1"/>
    <col min="3" max="4" width="9.140625" style="4" customWidth="1"/>
    <col min="5" max="5" width="6.85546875" style="4" customWidth="1"/>
    <col min="6" max="6" width="7.42578125" style="4" customWidth="1"/>
    <col min="7" max="7" width="7.85546875" style="4" customWidth="1"/>
    <col min="8" max="8" width="7.42578125" style="4" customWidth="1"/>
    <col min="9" max="11" width="9.140625" style="4" customWidth="1"/>
    <col min="19" max="19" width="12.5703125" bestFit="1" customWidth="1"/>
    <col min="20" max="21" width="7.85546875" customWidth="1"/>
  </cols>
  <sheetData>
    <row r="2" spans="2:20" s="1326" customFormat="1" ht="38.25">
      <c r="C2" s="1329"/>
      <c r="D2" s="1329"/>
      <c r="E2" s="1330" t="s">
        <v>481</v>
      </c>
      <c r="F2" s="1330" t="s">
        <v>478</v>
      </c>
      <c r="G2" s="1330"/>
      <c r="H2" s="1330"/>
      <c r="I2" s="1330" t="s">
        <v>479</v>
      </c>
      <c r="J2" s="1329"/>
      <c r="K2" s="1329"/>
    </row>
    <row r="3" spans="2:20" ht="20.25">
      <c r="B3" t="s">
        <v>276</v>
      </c>
      <c r="C3" s="4" t="s">
        <v>108</v>
      </c>
      <c r="D3" s="4" t="s">
        <v>108</v>
      </c>
      <c r="E3" s="4" t="s">
        <v>475</v>
      </c>
      <c r="F3" s="1328" t="s">
        <v>476</v>
      </c>
      <c r="G3" s="1328"/>
      <c r="H3" s="1328"/>
      <c r="I3" s="1328" t="s">
        <v>476</v>
      </c>
    </row>
    <row r="4" spans="2:20">
      <c r="C4" s="583" t="s">
        <v>109</v>
      </c>
      <c r="D4" s="583" t="s">
        <v>477</v>
      </c>
      <c r="F4" s="583" t="s">
        <v>480</v>
      </c>
      <c r="G4" s="583"/>
      <c r="H4" s="583"/>
      <c r="I4" s="583" t="s">
        <v>480</v>
      </c>
    </row>
    <row r="5" spans="2:20">
      <c r="B5" t="s">
        <v>474</v>
      </c>
      <c r="C5" s="4">
        <v>120</v>
      </c>
      <c r="D5" s="628">
        <f>C5/25.4</f>
        <v>4.7244094488188981</v>
      </c>
      <c r="E5" s="4">
        <v>1</v>
      </c>
      <c r="F5" s="4">
        <v>0.55000000000000004</v>
      </c>
      <c r="I5" s="4">
        <v>0.16700000000000001</v>
      </c>
    </row>
    <row r="6" spans="2:20">
      <c r="C6" s="4">
        <v>120</v>
      </c>
      <c r="D6" s="628">
        <f t="shared" ref="D6:D11" si="0">C6/25.4</f>
        <v>4.7244094488188981</v>
      </c>
      <c r="E6" s="4">
        <v>2</v>
      </c>
      <c r="F6" s="4">
        <v>0.53</v>
      </c>
      <c r="I6" s="4">
        <v>0.157</v>
      </c>
    </row>
    <row r="7" spans="2:20">
      <c r="C7" s="4">
        <v>120</v>
      </c>
      <c r="D7" s="628">
        <f t="shared" si="0"/>
        <v>4.7244094488188981</v>
      </c>
      <c r="E7" s="4">
        <v>3</v>
      </c>
      <c r="F7" s="4">
        <v>0.43</v>
      </c>
      <c r="I7" s="4">
        <v>0.14699999999999999</v>
      </c>
    </row>
    <row r="8" spans="2:20">
      <c r="B8" s="582" t="s">
        <v>482</v>
      </c>
      <c r="C8" s="4">
        <v>180</v>
      </c>
      <c r="D8" s="628">
        <f t="shared" si="0"/>
        <v>7.0866141732283472</v>
      </c>
      <c r="E8" s="4">
        <v>1</v>
      </c>
      <c r="F8" s="4">
        <v>0.47</v>
      </c>
      <c r="I8" s="4">
        <v>0.14499999999999999</v>
      </c>
    </row>
    <row r="9" spans="2:20">
      <c r="C9" s="4">
        <v>180</v>
      </c>
      <c r="D9" s="628">
        <f t="shared" si="0"/>
        <v>7.0866141732283472</v>
      </c>
      <c r="E9" s="4">
        <v>2</v>
      </c>
      <c r="F9" s="4">
        <v>0.39</v>
      </c>
      <c r="I9" s="4">
        <v>0.13200000000000001</v>
      </c>
    </row>
    <row r="10" spans="2:20">
      <c r="C10" s="4">
        <v>180</v>
      </c>
      <c r="D10" s="628">
        <f t="shared" si="0"/>
        <v>7.0866141732283472</v>
      </c>
      <c r="E10" s="4">
        <v>3</v>
      </c>
      <c r="F10" s="4">
        <v>0.36</v>
      </c>
      <c r="I10" s="4">
        <v>0.12</v>
      </c>
    </row>
    <row r="11" spans="2:20">
      <c r="C11" s="4">
        <v>180</v>
      </c>
      <c r="D11" s="628">
        <f t="shared" si="0"/>
        <v>7.0866141732283472</v>
      </c>
      <c r="E11" s="4">
        <v>6</v>
      </c>
      <c r="F11" s="4">
        <v>0.33</v>
      </c>
      <c r="I11" s="4">
        <v>0.108</v>
      </c>
    </row>
    <row r="12" spans="2:20">
      <c r="R12">
        <v>115</v>
      </c>
      <c r="S12">
        <v>145</v>
      </c>
      <c r="T12" s="576">
        <f>S12/R12</f>
        <v>1.2608695652173914</v>
      </c>
    </row>
    <row r="13" spans="2:20">
      <c r="R13">
        <v>140</v>
      </c>
      <c r="S13">
        <v>175</v>
      </c>
      <c r="T13" s="576">
        <f t="shared" ref="T13:T19" si="1">S13/R13</f>
        <v>1.25</v>
      </c>
    </row>
    <row r="14" spans="2:20">
      <c r="R14">
        <v>145</v>
      </c>
      <c r="S14">
        <v>180</v>
      </c>
      <c r="T14" s="576">
        <f t="shared" si="1"/>
        <v>1.2413793103448276</v>
      </c>
    </row>
    <row r="15" spans="2:20">
      <c r="R15">
        <v>190</v>
      </c>
      <c r="S15">
        <v>260</v>
      </c>
      <c r="T15" s="576">
        <f t="shared" si="1"/>
        <v>1.368421052631579</v>
      </c>
    </row>
    <row r="16" spans="2:20">
      <c r="R16">
        <v>235</v>
      </c>
      <c r="S16">
        <v>315</v>
      </c>
      <c r="T16" s="576">
        <f t="shared" si="1"/>
        <v>1.3404255319148937</v>
      </c>
    </row>
    <row r="17" spans="2:21">
      <c r="R17">
        <v>77</v>
      </c>
      <c r="S17">
        <v>100</v>
      </c>
      <c r="T17" s="576">
        <f t="shared" si="1"/>
        <v>1.2987012987012987</v>
      </c>
    </row>
    <row r="18" spans="2:21" ht="20.25">
      <c r="C18" s="4" t="s">
        <v>108</v>
      </c>
      <c r="D18" s="4" t="s">
        <v>108</v>
      </c>
      <c r="E18" s="4" t="s">
        <v>475</v>
      </c>
      <c r="F18" s="1328" t="s">
        <v>476</v>
      </c>
      <c r="G18" s="1328"/>
      <c r="H18" s="1328"/>
      <c r="I18" s="1328" t="s">
        <v>476</v>
      </c>
      <c r="R18">
        <v>250</v>
      </c>
      <c r="S18">
        <v>320</v>
      </c>
      <c r="T18" s="576">
        <f t="shared" si="1"/>
        <v>1.28</v>
      </c>
    </row>
    <row r="19" spans="2:21">
      <c r="C19" s="583" t="s">
        <v>109</v>
      </c>
      <c r="D19" s="583" t="s">
        <v>477</v>
      </c>
      <c r="F19" s="583" t="s">
        <v>480</v>
      </c>
      <c r="G19" s="583"/>
      <c r="H19" s="583"/>
      <c r="I19" s="583" t="s">
        <v>480</v>
      </c>
      <c r="R19">
        <v>325</v>
      </c>
      <c r="S19">
        <v>410</v>
      </c>
      <c r="T19" s="576">
        <f t="shared" si="1"/>
        <v>1.2615384615384615</v>
      </c>
    </row>
    <row r="20" spans="2:21">
      <c r="B20" t="s">
        <v>483</v>
      </c>
      <c r="C20" s="24">
        <f>25.4*D20</f>
        <v>165.1</v>
      </c>
      <c r="D20" s="628">
        <v>6.5</v>
      </c>
      <c r="T20" s="576">
        <f>SUM(T12:T19)</f>
        <v>10.301335220348452</v>
      </c>
      <c r="U20" s="576">
        <f>T20/8</f>
        <v>1.2876669025435565</v>
      </c>
    </row>
    <row r="21" spans="2:21">
      <c r="B21" t="s">
        <v>484</v>
      </c>
      <c r="C21" s="24">
        <f>25.4*D21</f>
        <v>254</v>
      </c>
      <c r="D21" s="628">
        <v>10</v>
      </c>
      <c r="U21" t="s">
        <v>493</v>
      </c>
    </row>
    <row r="22" spans="2:21">
      <c r="B22" t="s">
        <v>485</v>
      </c>
      <c r="C22" s="24">
        <f>25.4*D22</f>
        <v>330.2</v>
      </c>
      <c r="D22" s="628">
        <v>13</v>
      </c>
    </row>
    <row r="23" spans="2:21">
      <c r="B23" t="s">
        <v>486</v>
      </c>
      <c r="C23" s="24">
        <f>25.4*D23</f>
        <v>381</v>
      </c>
      <c r="D23" s="628">
        <v>15</v>
      </c>
    </row>
    <row r="24" spans="2:21">
      <c r="D24" s="628"/>
    </row>
    <row r="25" spans="2:21">
      <c r="C25" s="4" t="s">
        <v>108</v>
      </c>
      <c r="D25" s="583" t="s">
        <v>491</v>
      </c>
      <c r="E25" s="583" t="s">
        <v>73</v>
      </c>
      <c r="F25" s="1353" t="s">
        <v>488</v>
      </c>
      <c r="G25" s="1353"/>
      <c r="H25" s="1353"/>
      <c r="J25" s="583" t="s">
        <v>492</v>
      </c>
      <c r="K25" s="583"/>
    </row>
    <row r="26" spans="2:21" ht="14.25">
      <c r="C26" s="583" t="s">
        <v>490</v>
      </c>
      <c r="E26" s="583" t="s">
        <v>487</v>
      </c>
      <c r="F26" s="583" t="s">
        <v>489</v>
      </c>
      <c r="G26" s="583"/>
      <c r="H26" s="583"/>
      <c r="J26" s="583" t="s">
        <v>487</v>
      </c>
      <c r="K26" s="583"/>
    </row>
    <row r="27" spans="2:21">
      <c r="C27" s="24"/>
    </row>
    <row r="28" spans="2:21">
      <c r="B28" t="s">
        <v>483</v>
      </c>
      <c r="C28" s="490">
        <v>16.510000000000002</v>
      </c>
      <c r="D28" s="4">
        <v>206.2</v>
      </c>
      <c r="E28" s="4">
        <v>49.6</v>
      </c>
      <c r="F28" s="24">
        <f>E28*C28</f>
        <v>818.89600000000007</v>
      </c>
      <c r="G28" s="24"/>
      <c r="H28" s="24"/>
      <c r="I28" s="4">
        <v>1</v>
      </c>
      <c r="J28" s="24">
        <f>D28*C28</f>
        <v>3404.3620000000001</v>
      </c>
      <c r="K28" s="24"/>
    </row>
    <row r="29" spans="2:21">
      <c r="B29" t="s">
        <v>484</v>
      </c>
      <c r="C29" s="490">
        <v>25.4</v>
      </c>
      <c r="D29" s="4">
        <v>206.2</v>
      </c>
      <c r="E29" s="4">
        <v>49.6</v>
      </c>
      <c r="F29" s="24">
        <f>E29*C29</f>
        <v>1259.8399999999999</v>
      </c>
      <c r="G29" s="24"/>
      <c r="H29" s="24"/>
      <c r="I29" s="4">
        <v>0.45</v>
      </c>
      <c r="J29" s="24">
        <f>D29*C29</f>
        <v>5237.4799999999996</v>
      </c>
      <c r="K29" s="24"/>
    </row>
    <row r="30" spans="2:21">
      <c r="B30" t="s">
        <v>485</v>
      </c>
      <c r="C30" s="1354">
        <v>33.020000000000003</v>
      </c>
      <c r="D30" s="4">
        <v>206.2</v>
      </c>
      <c r="E30" s="4">
        <v>49.6</v>
      </c>
      <c r="F30" s="24">
        <f>E30*C30</f>
        <v>1637.7920000000001</v>
      </c>
      <c r="G30" s="24"/>
      <c r="H30" s="24"/>
      <c r="I30" s="4">
        <v>0.3</v>
      </c>
      <c r="J30" s="24">
        <f>D30*C30</f>
        <v>6808.7240000000002</v>
      </c>
      <c r="K30" s="24"/>
    </row>
    <row r="31" spans="2:21">
      <c r="B31" t="s">
        <v>486</v>
      </c>
      <c r="C31" s="490">
        <v>38.1</v>
      </c>
      <c r="D31" s="4">
        <v>206.2</v>
      </c>
      <c r="E31" s="4">
        <v>49.6</v>
      </c>
      <c r="F31" s="24">
        <f>E31*C31</f>
        <v>1889.7600000000002</v>
      </c>
      <c r="G31" s="24"/>
      <c r="H31" s="24"/>
      <c r="I31" s="4">
        <v>0.25</v>
      </c>
      <c r="J31" s="24">
        <f>D31*C31</f>
        <v>7856.22</v>
      </c>
      <c r="K31" s="24"/>
    </row>
    <row r="41" spans="2:9" ht="38.25">
      <c r="B41" s="1326"/>
      <c r="C41" s="1329"/>
      <c r="D41" s="1329"/>
      <c r="E41" s="1330" t="s">
        <v>481</v>
      </c>
      <c r="F41" s="1330" t="s">
        <v>478</v>
      </c>
      <c r="G41" s="1330"/>
      <c r="H41" s="1330"/>
      <c r="I41" s="1330" t="s">
        <v>479</v>
      </c>
    </row>
    <row r="42" spans="2:9" ht="20.25">
      <c r="B42" t="s">
        <v>276</v>
      </c>
      <c r="C42" s="4" t="s">
        <v>108</v>
      </c>
      <c r="D42" s="4" t="s">
        <v>108</v>
      </c>
      <c r="E42" s="4" t="s">
        <v>475</v>
      </c>
      <c r="F42" s="1328" t="s">
        <v>476</v>
      </c>
      <c r="G42" s="1328"/>
      <c r="H42" s="1328"/>
      <c r="I42" s="1328" t="s">
        <v>476</v>
      </c>
    </row>
    <row r="43" spans="2:9">
      <c r="C43" s="583" t="s">
        <v>109</v>
      </c>
      <c r="D43" s="583" t="s">
        <v>477</v>
      </c>
      <c r="F43" s="583" t="s">
        <v>480</v>
      </c>
      <c r="G43" s="583"/>
      <c r="H43" s="583"/>
      <c r="I43" s="583" t="s">
        <v>480</v>
      </c>
    </row>
    <row r="44" spans="2:9">
      <c r="B44" t="s">
        <v>474</v>
      </c>
      <c r="C44" s="4">
        <v>120</v>
      </c>
      <c r="D44" s="628">
        <f>C44/25.4</f>
        <v>4.7244094488188981</v>
      </c>
      <c r="E44" s="4">
        <v>3</v>
      </c>
      <c r="F44" s="490">
        <v>0.43</v>
      </c>
      <c r="G44" s="490"/>
      <c r="H44" s="490"/>
      <c r="I44" s="4">
        <v>0.14699999999999999</v>
      </c>
    </row>
    <row r="45" spans="2:9">
      <c r="C45" s="4">
        <v>125</v>
      </c>
      <c r="D45" s="628"/>
      <c r="F45" s="490"/>
      <c r="G45" s="490"/>
      <c r="H45" s="490"/>
    </row>
    <row r="46" spans="2:9">
      <c r="C46" s="4">
        <v>130</v>
      </c>
    </row>
    <row r="47" spans="2:9">
      <c r="C47" s="4">
        <v>135</v>
      </c>
    </row>
    <row r="48" spans="2:9">
      <c r="C48" s="4">
        <v>140</v>
      </c>
    </row>
    <row r="49" spans="2:9">
      <c r="C49" s="4">
        <v>145</v>
      </c>
    </row>
    <row r="50" spans="2:9">
      <c r="C50" s="4">
        <v>150</v>
      </c>
    </row>
    <row r="51" spans="2:9">
      <c r="C51" s="4">
        <v>155</v>
      </c>
    </row>
    <row r="52" spans="2:9">
      <c r="C52" s="4">
        <v>160</v>
      </c>
    </row>
    <row r="53" spans="2:9">
      <c r="C53" s="4">
        <v>165</v>
      </c>
      <c r="D53" s="628">
        <f>C53/25.4</f>
        <v>6.4960629921259843</v>
      </c>
      <c r="F53" s="490">
        <v>0.4</v>
      </c>
      <c r="G53" s="490"/>
      <c r="H53" s="490"/>
      <c r="I53" s="4">
        <v>0.127</v>
      </c>
    </row>
    <row r="54" spans="2:9">
      <c r="C54" s="4">
        <v>170</v>
      </c>
    </row>
    <row r="55" spans="2:9">
      <c r="C55" s="4">
        <v>175</v>
      </c>
    </row>
    <row r="56" spans="2:9">
      <c r="B56" s="582" t="s">
        <v>482</v>
      </c>
      <c r="C56" s="4">
        <v>180</v>
      </c>
      <c r="D56" s="628">
        <f>C56/25.4</f>
        <v>7.0866141732283472</v>
      </c>
      <c r="E56" s="4">
        <v>3</v>
      </c>
      <c r="F56" s="490">
        <v>0.36</v>
      </c>
      <c r="G56" s="490"/>
      <c r="H56" s="490"/>
      <c r="I56" s="4">
        <v>0.12</v>
      </c>
    </row>
    <row r="57" spans="2:9">
      <c r="B57" s="582"/>
      <c r="C57" s="4">
        <v>185</v>
      </c>
      <c r="D57" s="628"/>
      <c r="F57" s="490"/>
      <c r="G57" s="490"/>
      <c r="H57" s="490"/>
    </row>
    <row r="58" spans="2:9">
      <c r="B58" s="582"/>
      <c r="C58" s="4">
        <v>190</v>
      </c>
      <c r="D58" s="628"/>
      <c r="F58" s="490"/>
      <c r="G58" s="490"/>
      <c r="H58" s="490"/>
    </row>
    <row r="59" spans="2:9">
      <c r="B59" s="582"/>
      <c r="C59" s="4">
        <v>195</v>
      </c>
      <c r="D59" s="628"/>
      <c r="F59" s="490"/>
      <c r="G59" s="490"/>
      <c r="H59" s="490"/>
    </row>
    <row r="60" spans="2:9">
      <c r="C60" s="4">
        <v>200</v>
      </c>
      <c r="D60" s="628">
        <f>C60/25.4</f>
        <v>7.8740157480314963</v>
      </c>
      <c r="F60" s="490">
        <v>0.31</v>
      </c>
      <c r="G60" s="490"/>
      <c r="H60" s="490"/>
      <c r="I60" s="4">
        <v>0.113</v>
      </c>
    </row>
    <row r="61" spans="2:9">
      <c r="C61" s="4">
        <v>205</v>
      </c>
    </row>
    <row r="62" spans="2:9">
      <c r="C62" s="4">
        <v>210</v>
      </c>
    </row>
    <row r="63" spans="2:9">
      <c r="C63" s="4">
        <v>215</v>
      </c>
    </row>
    <row r="64" spans="2:9">
      <c r="C64" s="4">
        <v>220</v>
      </c>
    </row>
    <row r="65" spans="3:20">
      <c r="C65" s="4">
        <v>225</v>
      </c>
    </row>
    <row r="66" spans="3:20">
      <c r="C66" s="4">
        <v>230</v>
      </c>
    </row>
    <row r="67" spans="3:20">
      <c r="C67" s="4">
        <v>235</v>
      </c>
    </row>
    <row r="68" spans="3:20">
      <c r="C68" s="4">
        <v>240</v>
      </c>
    </row>
    <row r="69" spans="3:20">
      <c r="C69" s="4">
        <v>245</v>
      </c>
    </row>
    <row r="70" spans="3:20">
      <c r="C70" s="4">
        <v>250</v>
      </c>
      <c r="D70" s="628">
        <f>C70/25.4</f>
        <v>9.8425196850393704</v>
      </c>
      <c r="F70" s="490">
        <v>0.27500000000000002</v>
      </c>
      <c r="G70" s="490"/>
      <c r="H70" s="490"/>
      <c r="I70" s="4">
        <v>9.8000000000000004E-2</v>
      </c>
    </row>
    <row r="71" spans="3:20">
      <c r="C71" s="4">
        <v>255</v>
      </c>
    </row>
    <row r="72" spans="3:20">
      <c r="C72" s="4">
        <v>260</v>
      </c>
    </row>
    <row r="73" spans="3:20">
      <c r="C73" s="4">
        <v>265</v>
      </c>
    </row>
    <row r="74" spans="3:20">
      <c r="C74" s="4">
        <v>270</v>
      </c>
    </row>
    <row r="75" spans="3:20">
      <c r="C75" s="4">
        <v>275</v>
      </c>
    </row>
    <row r="76" spans="3:20">
      <c r="C76" s="4">
        <v>280</v>
      </c>
    </row>
    <row r="77" spans="3:20">
      <c r="C77" s="4">
        <v>285</v>
      </c>
    </row>
    <row r="78" spans="3:20">
      <c r="C78" s="4">
        <v>290</v>
      </c>
    </row>
    <row r="79" spans="3:20" ht="25.5">
      <c r="C79" s="4">
        <v>295</v>
      </c>
      <c r="O79" s="1326"/>
      <c r="P79" s="1329"/>
      <c r="Q79" s="1329"/>
      <c r="R79" s="1330" t="s">
        <v>481</v>
      </c>
      <c r="S79" s="1330" t="s">
        <v>478</v>
      </c>
      <c r="T79" s="1330" t="s">
        <v>479</v>
      </c>
    </row>
    <row r="80" spans="3:20" ht="20.25">
      <c r="C80" s="4">
        <v>300</v>
      </c>
      <c r="D80" s="628">
        <f>C80/25.4</f>
        <v>11.811023622047244</v>
      </c>
      <c r="F80" s="490">
        <v>0.255</v>
      </c>
      <c r="G80" s="490"/>
      <c r="H80" s="490"/>
      <c r="I80" s="4">
        <v>8.7999999999999995E-2</v>
      </c>
      <c r="O80" t="s">
        <v>276</v>
      </c>
      <c r="P80" s="4" t="s">
        <v>108</v>
      </c>
      <c r="Q80" s="4" t="s">
        <v>108</v>
      </c>
      <c r="R80" s="4" t="s">
        <v>475</v>
      </c>
      <c r="S80" s="1328" t="s">
        <v>476</v>
      </c>
      <c r="T80" s="1328" t="s">
        <v>476</v>
      </c>
    </row>
    <row r="81" spans="3:20">
      <c r="C81" s="4">
        <v>305</v>
      </c>
      <c r="P81" s="583" t="s">
        <v>109</v>
      </c>
      <c r="Q81" s="583" t="s">
        <v>477</v>
      </c>
      <c r="R81" s="4"/>
      <c r="S81" s="583" t="s">
        <v>480</v>
      </c>
      <c r="T81" s="583" t="s">
        <v>480</v>
      </c>
    </row>
    <row r="82" spans="3:20">
      <c r="C82" s="4">
        <v>310</v>
      </c>
      <c r="O82" t="s">
        <v>474</v>
      </c>
      <c r="P82" s="4">
        <v>120</v>
      </c>
      <c r="Q82" s="628">
        <f t="shared" ref="Q82:Q89" si="2">P82/25.4</f>
        <v>4.7244094488188981</v>
      </c>
      <c r="R82" s="4">
        <v>3</v>
      </c>
      <c r="S82" s="1355">
        <v>0.43</v>
      </c>
      <c r="T82" s="1355">
        <v>0.14699999999999999</v>
      </c>
    </row>
    <row r="83" spans="3:20">
      <c r="C83" s="4">
        <v>315</v>
      </c>
      <c r="P83" s="4">
        <v>165</v>
      </c>
      <c r="Q83" s="628">
        <f t="shared" si="2"/>
        <v>6.4960629921259843</v>
      </c>
      <c r="R83" s="4"/>
      <c r="S83" s="1355">
        <v>0.4</v>
      </c>
      <c r="T83" s="1355">
        <v>0.127</v>
      </c>
    </row>
    <row r="84" spans="3:20">
      <c r="C84" s="4">
        <v>320</v>
      </c>
      <c r="O84" s="582" t="s">
        <v>482</v>
      </c>
      <c r="P84" s="4">
        <v>180</v>
      </c>
      <c r="Q84" s="628">
        <f t="shared" si="2"/>
        <v>7.0866141732283472</v>
      </c>
      <c r="R84" s="4">
        <v>3</v>
      </c>
      <c r="S84" s="1355">
        <v>0.36</v>
      </c>
      <c r="T84" s="1355">
        <v>0.12</v>
      </c>
    </row>
    <row r="85" spans="3:20">
      <c r="C85" s="4">
        <v>325</v>
      </c>
      <c r="P85" s="4">
        <v>200</v>
      </c>
      <c r="Q85" s="628">
        <f t="shared" si="2"/>
        <v>7.8740157480314963</v>
      </c>
      <c r="R85" s="4"/>
      <c r="S85" s="1355">
        <v>0.31</v>
      </c>
      <c r="T85" s="1355">
        <v>0.113</v>
      </c>
    </row>
    <row r="86" spans="3:20">
      <c r="C86" s="4">
        <v>330</v>
      </c>
      <c r="D86" s="628">
        <f>C86/25.4</f>
        <v>12.992125984251969</v>
      </c>
      <c r="F86" s="490">
        <v>0.2475</v>
      </c>
      <c r="G86" s="490"/>
      <c r="H86" s="490"/>
      <c r="P86" s="4">
        <v>250</v>
      </c>
      <c r="Q86" s="628">
        <f t="shared" si="2"/>
        <v>9.8425196850393704</v>
      </c>
      <c r="R86" s="4"/>
      <c r="S86" s="1355">
        <v>0.27500000000000002</v>
      </c>
      <c r="T86" s="1355">
        <v>9.8000000000000004E-2</v>
      </c>
    </row>
    <row r="87" spans="3:20">
      <c r="C87" s="4">
        <v>335</v>
      </c>
      <c r="P87" s="4">
        <v>300</v>
      </c>
      <c r="Q87" s="628">
        <f t="shared" si="2"/>
        <v>11.811023622047244</v>
      </c>
      <c r="R87" s="4"/>
      <c r="S87" s="1355">
        <v>0.255</v>
      </c>
      <c r="T87" s="1355">
        <v>8.7999999999999995E-2</v>
      </c>
    </row>
    <row r="88" spans="3:20">
      <c r="C88" s="4">
        <v>340</v>
      </c>
      <c r="P88" s="4">
        <v>330</v>
      </c>
      <c r="Q88" s="628">
        <f t="shared" si="2"/>
        <v>12.992125984251969</v>
      </c>
      <c r="R88" s="4"/>
      <c r="S88" s="1355">
        <v>0.2475</v>
      </c>
      <c r="T88" s="1355">
        <v>8.4000000000000005E-2</v>
      </c>
    </row>
    <row r="89" spans="3:20">
      <c r="C89" s="4">
        <v>345</v>
      </c>
      <c r="P89" s="4">
        <v>380</v>
      </c>
      <c r="Q89" s="628">
        <f t="shared" si="2"/>
        <v>14.960629921259843</v>
      </c>
      <c r="R89" s="4"/>
      <c r="S89" s="1355">
        <v>0.24</v>
      </c>
      <c r="T89" s="1355">
        <v>0.08</v>
      </c>
    </row>
    <row r="90" spans="3:20">
      <c r="C90" s="4">
        <v>350</v>
      </c>
    </row>
    <row r="91" spans="3:20" ht="25.5">
      <c r="C91" s="4">
        <v>355</v>
      </c>
      <c r="O91" s="1352"/>
      <c r="P91" s="1037"/>
      <c r="Q91" s="1037"/>
      <c r="R91" s="1356" t="s">
        <v>481</v>
      </c>
      <c r="S91" s="1356" t="s">
        <v>478</v>
      </c>
      <c r="T91" s="1356" t="s">
        <v>479</v>
      </c>
    </row>
    <row r="92" spans="3:20" ht="20.25">
      <c r="C92" s="4">
        <v>360</v>
      </c>
      <c r="O92" s="1" t="s">
        <v>276</v>
      </c>
      <c r="P92" s="3" t="s">
        <v>108</v>
      </c>
      <c r="Q92" s="3" t="s">
        <v>108</v>
      </c>
      <c r="R92" s="3" t="s">
        <v>475</v>
      </c>
      <c r="S92" s="1357" t="s">
        <v>476</v>
      </c>
      <c r="T92" s="1357" t="s">
        <v>476</v>
      </c>
    </row>
    <row r="93" spans="3:20">
      <c r="C93" s="4">
        <v>365</v>
      </c>
      <c r="O93" s="1"/>
      <c r="P93" s="591" t="s">
        <v>109</v>
      </c>
      <c r="Q93" s="591" t="s">
        <v>477</v>
      </c>
      <c r="R93" s="3"/>
      <c r="S93" s="591" t="s">
        <v>480</v>
      </c>
      <c r="T93" s="591" t="s">
        <v>480</v>
      </c>
    </row>
    <row r="94" spans="3:20">
      <c r="C94" s="4">
        <v>370</v>
      </c>
      <c r="O94" s="1" t="s">
        <v>494</v>
      </c>
      <c r="P94" s="3">
        <v>120</v>
      </c>
      <c r="Q94" s="683">
        <f t="shared" ref="Q94:Q102" si="3">P94/25.4</f>
        <v>4.7244094488188981</v>
      </c>
      <c r="R94" s="3"/>
      <c r="S94" s="1351">
        <v>0.65</v>
      </c>
      <c r="T94" s="1351">
        <v>0.17</v>
      </c>
    </row>
    <row r="95" spans="3:20">
      <c r="C95" s="4">
        <v>375</v>
      </c>
      <c r="O95" s="1"/>
      <c r="P95" s="480">
        <v>165</v>
      </c>
      <c r="Q95" s="910">
        <f t="shared" si="3"/>
        <v>6.4960629921259843</v>
      </c>
      <c r="R95" s="480"/>
      <c r="S95" s="1358">
        <v>0.57999999999999996</v>
      </c>
      <c r="T95" s="1358">
        <v>0.15</v>
      </c>
    </row>
    <row r="96" spans="3:20">
      <c r="C96" s="4">
        <v>380</v>
      </c>
      <c r="D96" s="628">
        <f>C96/25.4</f>
        <v>14.960629921259843</v>
      </c>
      <c r="F96" s="490">
        <v>0.24</v>
      </c>
      <c r="G96" s="490"/>
      <c r="H96" s="490"/>
      <c r="O96" s="12"/>
      <c r="P96" s="3">
        <v>180</v>
      </c>
      <c r="Q96" s="683">
        <f t="shared" si="3"/>
        <v>7.0866141732283472</v>
      </c>
      <c r="R96" s="3"/>
      <c r="S96" s="1351">
        <v>0.55000000000000004</v>
      </c>
      <c r="T96" s="1351">
        <v>0.13</v>
      </c>
    </row>
    <row r="97" spans="3:20">
      <c r="C97" s="4">
        <v>385</v>
      </c>
      <c r="O97" s="1"/>
      <c r="P97" s="3">
        <v>200</v>
      </c>
      <c r="Q97" s="683">
        <f t="shared" si="3"/>
        <v>7.8740157480314963</v>
      </c>
      <c r="R97" s="3"/>
      <c r="S97" s="1351">
        <v>0.48</v>
      </c>
      <c r="T97" s="1351">
        <v>0.11700000000000001</v>
      </c>
    </row>
    <row r="98" spans="3:20">
      <c r="C98" s="4">
        <v>390</v>
      </c>
      <c r="O98" s="1"/>
      <c r="P98" s="480">
        <v>250</v>
      </c>
      <c r="Q98" s="910">
        <f t="shared" si="3"/>
        <v>9.8425196850393704</v>
      </c>
      <c r="R98" s="480"/>
      <c r="S98" s="1358">
        <v>0.43</v>
      </c>
      <c r="T98" s="1358">
        <v>0.1</v>
      </c>
    </row>
    <row r="99" spans="3:20">
      <c r="C99" s="4">
        <v>395</v>
      </c>
      <c r="O99" s="1"/>
      <c r="P99" s="3">
        <v>300</v>
      </c>
      <c r="Q99" s="683">
        <f t="shared" si="3"/>
        <v>11.811023622047244</v>
      </c>
      <c r="R99" s="3"/>
      <c r="S99" s="1351">
        <v>0.36</v>
      </c>
      <c r="T99" s="1351">
        <v>0.09</v>
      </c>
    </row>
    <row r="100" spans="3:20">
      <c r="C100" s="4">
        <v>400</v>
      </c>
      <c r="O100" s="1"/>
      <c r="P100" s="480">
        <v>330</v>
      </c>
      <c r="Q100" s="910">
        <f t="shared" si="3"/>
        <v>12.992125984251969</v>
      </c>
      <c r="R100" s="480"/>
      <c r="S100" s="1358">
        <v>0.34</v>
      </c>
      <c r="T100" s="1358">
        <v>0.08</v>
      </c>
    </row>
    <row r="101" spans="3:20">
      <c r="C101" s="4">
        <v>405</v>
      </c>
      <c r="O101" s="1"/>
      <c r="P101" s="480">
        <v>380</v>
      </c>
      <c r="Q101" s="910">
        <f t="shared" si="3"/>
        <v>14.960629921259843</v>
      </c>
      <c r="R101" s="480"/>
      <c r="S101" s="1358">
        <v>0.3</v>
      </c>
      <c r="T101" s="1358">
        <v>7.4999999999999997E-2</v>
      </c>
    </row>
    <row r="102" spans="3:20">
      <c r="C102" s="4">
        <v>410</v>
      </c>
      <c r="O102" s="1"/>
      <c r="P102" s="1359">
        <v>400</v>
      </c>
      <c r="Q102" s="1360">
        <f t="shared" si="3"/>
        <v>15.748031496062993</v>
      </c>
      <c r="R102" s="1"/>
      <c r="S102" s="1"/>
      <c r="T102" s="1361">
        <v>6.9000000000000006E-2</v>
      </c>
    </row>
    <row r="103" spans="3:20">
      <c r="C103" s="4">
        <v>415</v>
      </c>
    </row>
    <row r="104" spans="3:20">
      <c r="C104" s="4">
        <v>420</v>
      </c>
    </row>
    <row r="105" spans="3:20">
      <c r="C105" s="4">
        <v>425</v>
      </c>
    </row>
    <row r="106" spans="3:20">
      <c r="C106" s="4">
        <v>430</v>
      </c>
    </row>
    <row r="107" spans="3:20">
      <c r="C107" s="4">
        <v>435</v>
      </c>
    </row>
    <row r="108" spans="3:20">
      <c r="C108" s="4">
        <v>440</v>
      </c>
    </row>
    <row r="109" spans="3:20">
      <c r="C109" s="4">
        <v>445</v>
      </c>
    </row>
    <row r="110" spans="3:20">
      <c r="C110" s="4">
        <v>450</v>
      </c>
    </row>
    <row r="111" spans="3:20">
      <c r="C111" s="4">
        <v>455</v>
      </c>
    </row>
    <row r="112" spans="3:20">
      <c r="C112" s="4">
        <v>460</v>
      </c>
    </row>
    <row r="113" spans="3:3">
      <c r="C113" s="4">
        <v>465</v>
      </c>
    </row>
    <row r="114" spans="3:3">
      <c r="C114" s="4">
        <v>470</v>
      </c>
    </row>
    <row r="115" spans="3:3">
      <c r="C115" s="4">
        <v>475</v>
      </c>
    </row>
    <row r="116" spans="3:3">
      <c r="C116" s="4">
        <v>480</v>
      </c>
    </row>
    <row r="117" spans="3:3">
      <c r="C117" s="4">
        <v>485</v>
      </c>
    </row>
    <row r="118" spans="3:3">
      <c r="C118" s="4">
        <v>490</v>
      </c>
    </row>
    <row r="119" spans="3:3">
      <c r="C119" s="4">
        <v>495</v>
      </c>
    </row>
    <row r="120" spans="3:3">
      <c r="C120" s="4">
        <v>500</v>
      </c>
    </row>
    <row r="194" spans="1:26" ht="38.25">
      <c r="A194" s="3"/>
      <c r="B194" s="1352"/>
      <c r="C194" s="1037"/>
      <c r="D194" s="1037"/>
      <c r="E194" s="1356" t="s">
        <v>481</v>
      </c>
      <c r="F194" s="1356" t="s">
        <v>478</v>
      </c>
      <c r="G194" s="1356" t="s">
        <v>515</v>
      </c>
      <c r="H194" s="1375" t="s">
        <v>517</v>
      </c>
      <c r="I194" s="1356" t="s">
        <v>513</v>
      </c>
      <c r="J194" s="1356" t="s">
        <v>514</v>
      </c>
      <c r="K194" s="1356" t="s">
        <v>518</v>
      </c>
      <c r="L194" s="1356" t="s">
        <v>479</v>
      </c>
      <c r="M194" s="1356" t="s">
        <v>517</v>
      </c>
      <c r="N194" s="1356"/>
      <c r="O194" s="1356" t="s">
        <v>513</v>
      </c>
      <c r="P194" s="1356" t="s">
        <v>514</v>
      </c>
      <c r="Q194" s="1356" t="s">
        <v>478</v>
      </c>
      <c r="R194" s="1356" t="s">
        <v>479</v>
      </c>
      <c r="S194" s="1356" t="s">
        <v>478</v>
      </c>
      <c r="T194" s="1356" t="s">
        <v>479</v>
      </c>
    </row>
    <row r="195" spans="1:26" s="1326" customFormat="1" ht="40.5">
      <c r="A195" s="1356" t="s">
        <v>495</v>
      </c>
      <c r="B195" s="1352" t="s">
        <v>276</v>
      </c>
      <c r="C195" s="1037" t="s">
        <v>108</v>
      </c>
      <c r="D195" s="1037" t="s">
        <v>108</v>
      </c>
      <c r="E195" s="1037" t="s">
        <v>475</v>
      </c>
      <c r="F195" s="1372" t="s">
        <v>476</v>
      </c>
      <c r="G195" s="1373" t="s">
        <v>516</v>
      </c>
      <c r="H195" s="1372"/>
      <c r="I195" s="1372"/>
      <c r="J195" s="1372"/>
      <c r="K195" s="1372"/>
      <c r="L195" s="1372" t="s">
        <v>476</v>
      </c>
      <c r="M195" s="1372"/>
      <c r="N195" s="1372"/>
      <c r="O195" s="1372"/>
      <c r="P195" s="1372"/>
      <c r="Q195" s="1356" t="s">
        <v>498</v>
      </c>
      <c r="R195" s="1356" t="s">
        <v>498</v>
      </c>
      <c r="S195" s="1356" t="s">
        <v>499</v>
      </c>
      <c r="T195" s="1356" t="s">
        <v>499</v>
      </c>
      <c r="V195" s="1374" t="s">
        <v>512</v>
      </c>
      <c r="W195" s="1374" t="s">
        <v>512</v>
      </c>
      <c r="Y195" s="1352" t="s">
        <v>511</v>
      </c>
      <c r="Z195" s="1352"/>
    </row>
    <row r="196" spans="1:26">
      <c r="A196" s="3"/>
      <c r="B196" s="1"/>
      <c r="C196" s="591" t="s">
        <v>109</v>
      </c>
      <c r="D196" s="591" t="s">
        <v>477</v>
      </c>
      <c r="E196" s="3"/>
      <c r="F196" s="591" t="s">
        <v>480</v>
      </c>
      <c r="G196" s="591"/>
      <c r="H196" s="591"/>
      <c r="I196" s="591"/>
      <c r="J196" s="591"/>
      <c r="K196" s="591"/>
      <c r="L196" s="591" t="s">
        <v>480</v>
      </c>
      <c r="M196" s="591"/>
      <c r="N196" s="591"/>
      <c r="O196" s="591"/>
      <c r="P196" s="591"/>
      <c r="Q196" s="591" t="s">
        <v>275</v>
      </c>
      <c r="R196" s="591" t="s">
        <v>275</v>
      </c>
      <c r="S196" s="591" t="s">
        <v>22</v>
      </c>
      <c r="T196" s="591" t="s">
        <v>22</v>
      </c>
      <c r="V196" s="84"/>
      <c r="Y196" s="1"/>
      <c r="Z196" s="1"/>
    </row>
    <row r="197" spans="1:26">
      <c r="A197" s="480">
        <v>1</v>
      </c>
      <c r="B197" s="599" t="s">
        <v>500</v>
      </c>
      <c r="C197" s="480">
        <v>165</v>
      </c>
      <c r="D197" s="910">
        <f t="shared" ref="D197:D216" si="4">C197/25.4</f>
        <v>6.4960629921259843</v>
      </c>
      <c r="E197" s="480"/>
      <c r="F197" s="1358">
        <v>0.57999999999999996</v>
      </c>
      <c r="G197" s="1358">
        <v>0.51</v>
      </c>
      <c r="H197" s="1358"/>
      <c r="I197" s="1358">
        <v>0.33</v>
      </c>
      <c r="J197" s="1358">
        <v>0.34699999999999998</v>
      </c>
      <c r="K197" s="1358"/>
      <c r="L197" s="1358">
        <v>0.15</v>
      </c>
      <c r="M197" s="1358">
        <v>0.14799999999999999</v>
      </c>
      <c r="N197" s="1358"/>
      <c r="O197" s="1358"/>
      <c r="P197" s="1358"/>
      <c r="Q197" s="1365">
        <f>(125-50)/F197</f>
        <v>129.31034482758622</v>
      </c>
      <c r="R197" s="1365">
        <f>(125-50)/L197</f>
        <v>500</v>
      </c>
      <c r="S197" s="1365">
        <f>Q197/2</f>
        <v>64.65517241379311</v>
      </c>
      <c r="T197" s="1365">
        <f t="shared" ref="T197:T216" si="5">R197/2</f>
        <v>250</v>
      </c>
      <c r="V197" s="1370">
        <f t="shared" ref="V197:W200" si="6">Q197/3</f>
        <v>43.103448275862071</v>
      </c>
      <c r="W197" s="1370">
        <f t="shared" si="6"/>
        <v>166.66666666666666</v>
      </c>
      <c r="X197">
        <f>1.25*F197</f>
        <v>0.72499999999999998</v>
      </c>
      <c r="Y197" s="23">
        <f t="shared" ref="Y197:Y216" si="7">Q197/1.25</f>
        <v>103.44827586206898</v>
      </c>
      <c r="Z197" s="23">
        <f t="shared" ref="Z197:Z216" si="8">R197/1.25</f>
        <v>400</v>
      </c>
    </row>
    <row r="198" spans="1:26">
      <c r="A198" s="480">
        <v>1</v>
      </c>
      <c r="B198" s="599" t="s">
        <v>500</v>
      </c>
      <c r="C198" s="480">
        <v>250</v>
      </c>
      <c r="D198" s="1365">
        <f t="shared" si="4"/>
        <v>9.8425196850393704</v>
      </c>
      <c r="E198" s="480"/>
      <c r="F198" s="1358">
        <v>0.43</v>
      </c>
      <c r="G198" s="1358">
        <v>0.41</v>
      </c>
      <c r="H198" s="1358"/>
      <c r="I198" s="1358">
        <v>0.34899999999999998</v>
      </c>
      <c r="J198" s="1358"/>
      <c r="K198" s="1358"/>
      <c r="L198" s="1358">
        <v>0.1</v>
      </c>
      <c r="M198" s="1358">
        <v>0.108</v>
      </c>
      <c r="N198" s="1358"/>
      <c r="O198" s="1358">
        <v>0.108</v>
      </c>
      <c r="P198" s="1358"/>
      <c r="Q198" s="1365">
        <f t="shared" ref="Q198:Q216" si="9">(125-50)/F198</f>
        <v>174.41860465116278</v>
      </c>
      <c r="R198" s="1365">
        <f t="shared" ref="R198:R216" si="10">(125-50)/L198</f>
        <v>750</v>
      </c>
      <c r="S198" s="1365">
        <f t="shared" ref="S198:S216" si="11">Q198/2</f>
        <v>87.20930232558139</v>
      </c>
      <c r="T198" s="1365">
        <f t="shared" si="5"/>
        <v>375</v>
      </c>
      <c r="V198" s="1370">
        <f t="shared" si="6"/>
        <v>58.139534883720927</v>
      </c>
      <c r="W198" s="1370">
        <f t="shared" si="6"/>
        <v>250</v>
      </c>
      <c r="X198">
        <f>1.25*F198</f>
        <v>0.53749999999999998</v>
      </c>
      <c r="Y198" s="23">
        <f t="shared" si="7"/>
        <v>139.53488372093022</v>
      </c>
      <c r="Z198" s="23">
        <f t="shared" si="8"/>
        <v>600</v>
      </c>
    </row>
    <row r="199" spans="1:26">
      <c r="A199" s="480">
        <v>1</v>
      </c>
      <c r="B199" s="599" t="s">
        <v>500</v>
      </c>
      <c r="C199" s="480">
        <v>330</v>
      </c>
      <c r="D199" s="1365">
        <f t="shared" si="4"/>
        <v>12.992125984251969</v>
      </c>
      <c r="E199" s="480"/>
      <c r="F199" s="1358">
        <v>0.34</v>
      </c>
      <c r="G199" s="1358">
        <v>0.35</v>
      </c>
      <c r="H199" s="1358"/>
      <c r="I199" s="1358">
        <v>0.20899999999999999</v>
      </c>
      <c r="J199" s="1358">
        <v>0.254</v>
      </c>
      <c r="K199" s="1358"/>
      <c r="L199" s="1358">
        <v>0.08</v>
      </c>
      <c r="M199" s="1358">
        <v>8.4000000000000005E-2</v>
      </c>
      <c r="N199" s="1358"/>
      <c r="O199" s="1358"/>
      <c r="P199" s="1358"/>
      <c r="Q199" s="1365">
        <f t="shared" si="9"/>
        <v>220.58823529411762</v>
      </c>
      <c r="R199" s="1365">
        <f t="shared" si="10"/>
        <v>937.5</v>
      </c>
      <c r="S199" s="1365">
        <f t="shared" si="11"/>
        <v>110.29411764705881</v>
      </c>
      <c r="T199" s="1365">
        <f t="shared" si="5"/>
        <v>468.75</v>
      </c>
      <c r="V199" s="1370">
        <f t="shared" si="6"/>
        <v>73.52941176470587</v>
      </c>
      <c r="W199" s="1370">
        <f t="shared" si="6"/>
        <v>312.5</v>
      </c>
      <c r="X199">
        <f>1.25*F199</f>
        <v>0.42500000000000004</v>
      </c>
      <c r="Y199" s="23">
        <f t="shared" si="7"/>
        <v>176.47058823529409</v>
      </c>
      <c r="Z199" s="23">
        <f t="shared" si="8"/>
        <v>750</v>
      </c>
    </row>
    <row r="200" spans="1:26">
      <c r="A200" s="480">
        <v>1</v>
      </c>
      <c r="B200" s="599" t="s">
        <v>500</v>
      </c>
      <c r="C200" s="480">
        <v>380</v>
      </c>
      <c r="D200" s="1365">
        <f t="shared" si="4"/>
        <v>14.960629921259843</v>
      </c>
      <c r="E200" s="480"/>
      <c r="F200" s="1358">
        <v>0.3</v>
      </c>
      <c r="G200" s="1358">
        <v>0.33400000000000002</v>
      </c>
      <c r="H200" s="1358"/>
      <c r="I200" s="1358">
        <v>0.23599999999999999</v>
      </c>
      <c r="J200" s="1358">
        <v>0.23</v>
      </c>
      <c r="K200" s="1358">
        <v>0.27600000000000002</v>
      </c>
      <c r="L200" s="1358">
        <v>7.4999999999999997E-2</v>
      </c>
      <c r="M200" s="1358">
        <v>7.9000000000000001E-2</v>
      </c>
      <c r="N200" s="1358"/>
      <c r="O200" s="1358">
        <v>7.3999999999999996E-2</v>
      </c>
      <c r="P200" s="1358">
        <v>7.1999999999999995E-2</v>
      </c>
      <c r="Q200" s="1365">
        <f t="shared" si="9"/>
        <v>250</v>
      </c>
      <c r="R200" s="1365">
        <f t="shared" si="10"/>
        <v>1000</v>
      </c>
      <c r="S200" s="1365">
        <f t="shared" si="11"/>
        <v>125</v>
      </c>
      <c r="T200" s="1365">
        <f t="shared" si="5"/>
        <v>500</v>
      </c>
      <c r="V200" s="1370">
        <f t="shared" si="6"/>
        <v>83.333333333333329</v>
      </c>
      <c r="W200" s="1370">
        <f t="shared" si="6"/>
        <v>333.33333333333331</v>
      </c>
      <c r="X200">
        <f>1.25*F200</f>
        <v>0.375</v>
      </c>
      <c r="Y200" s="23">
        <f t="shared" si="7"/>
        <v>200</v>
      </c>
      <c r="Z200" s="23">
        <f t="shared" si="8"/>
        <v>800</v>
      </c>
    </row>
    <row r="201" spans="1:26">
      <c r="A201" s="1362">
        <v>2</v>
      </c>
      <c r="B201" s="1362" t="s">
        <v>496</v>
      </c>
      <c r="C201" s="599">
        <v>165</v>
      </c>
      <c r="D201" s="1363">
        <f t="shared" si="4"/>
        <v>6.4960629921259843</v>
      </c>
      <c r="E201" s="1362"/>
      <c r="F201" s="1364">
        <f>F$197/A201</f>
        <v>0.28999999999999998</v>
      </c>
      <c r="G201" s="1364"/>
      <c r="H201" s="1364"/>
      <c r="I201" s="1364"/>
      <c r="J201" s="1364"/>
      <c r="K201" s="1364"/>
      <c r="L201" s="1364">
        <f>L$197/A201</f>
        <v>7.4999999999999997E-2</v>
      </c>
      <c r="M201" s="1364"/>
      <c r="N201" s="1364"/>
      <c r="O201" s="1364"/>
      <c r="P201" s="1364"/>
      <c r="Q201" s="25">
        <f t="shared" si="9"/>
        <v>258.62068965517244</v>
      </c>
      <c r="R201" s="25">
        <f t="shared" si="10"/>
        <v>1000</v>
      </c>
      <c r="S201" s="25">
        <f t="shared" si="11"/>
        <v>129.31034482758622</v>
      </c>
      <c r="T201" s="25">
        <f t="shared" si="5"/>
        <v>500</v>
      </c>
      <c r="Y201" s="23">
        <f t="shared" si="7"/>
        <v>206.89655172413796</v>
      </c>
      <c r="Z201" s="23">
        <f t="shared" si="8"/>
        <v>800</v>
      </c>
    </row>
    <row r="202" spans="1:26">
      <c r="A202" s="1362">
        <v>2</v>
      </c>
      <c r="B202" s="1362" t="s">
        <v>496</v>
      </c>
      <c r="C202" s="599">
        <v>250</v>
      </c>
      <c r="D202" s="1371">
        <f t="shared" si="4"/>
        <v>9.8425196850393704</v>
      </c>
      <c r="E202" s="1362"/>
      <c r="F202" s="1364">
        <f>F$198/A202</f>
        <v>0.215</v>
      </c>
      <c r="G202" s="1364"/>
      <c r="H202" s="1364"/>
      <c r="I202" s="1364"/>
      <c r="J202" s="1364"/>
      <c r="K202" s="1364"/>
      <c r="L202" s="1364">
        <f>L$198/A202</f>
        <v>0.05</v>
      </c>
      <c r="M202" s="1364"/>
      <c r="N202" s="1364"/>
      <c r="O202" s="1364"/>
      <c r="P202" s="1364"/>
      <c r="Q202" s="25">
        <f t="shared" si="9"/>
        <v>348.83720930232556</v>
      </c>
      <c r="R202" s="25">
        <f t="shared" si="10"/>
        <v>1500</v>
      </c>
      <c r="S202" s="25">
        <f t="shared" si="11"/>
        <v>174.41860465116278</v>
      </c>
      <c r="T202" s="25">
        <f t="shared" si="5"/>
        <v>750</v>
      </c>
      <c r="Y202" s="23">
        <f t="shared" si="7"/>
        <v>279.06976744186045</v>
      </c>
      <c r="Z202" s="23">
        <f t="shared" si="8"/>
        <v>1200</v>
      </c>
    </row>
    <row r="203" spans="1:26">
      <c r="A203" s="1362">
        <v>2</v>
      </c>
      <c r="B203" s="1362" t="s">
        <v>496</v>
      </c>
      <c r="C203" s="599">
        <v>330</v>
      </c>
      <c r="D203" s="1371">
        <f t="shared" si="4"/>
        <v>12.992125984251969</v>
      </c>
      <c r="E203" s="1362"/>
      <c r="F203" s="1364">
        <f>F$199/A203</f>
        <v>0.17</v>
      </c>
      <c r="G203" s="1364"/>
      <c r="H203" s="1364"/>
      <c r="I203" s="1364"/>
      <c r="J203" s="1364"/>
      <c r="K203" s="1364"/>
      <c r="L203" s="1364">
        <f>L$199/A203</f>
        <v>0.04</v>
      </c>
      <c r="M203" s="1364"/>
      <c r="N203" s="1364"/>
      <c r="O203" s="1364"/>
      <c r="P203" s="1364"/>
      <c r="Q203" s="25">
        <f t="shared" si="9"/>
        <v>441.17647058823525</v>
      </c>
      <c r="R203" s="25">
        <f t="shared" si="10"/>
        <v>1875</v>
      </c>
      <c r="S203" s="25">
        <f t="shared" si="11"/>
        <v>220.58823529411762</v>
      </c>
      <c r="T203" s="25">
        <f t="shared" si="5"/>
        <v>937.5</v>
      </c>
      <c r="Y203" s="23">
        <f t="shared" si="7"/>
        <v>352.94117647058818</v>
      </c>
      <c r="Z203" s="23">
        <f t="shared" si="8"/>
        <v>1500</v>
      </c>
    </row>
    <row r="204" spans="1:26">
      <c r="A204" s="1362">
        <v>2</v>
      </c>
      <c r="B204" s="1362" t="s">
        <v>496</v>
      </c>
      <c r="C204" s="599">
        <v>380</v>
      </c>
      <c r="D204" s="1371">
        <f t="shared" si="4"/>
        <v>14.960629921259843</v>
      </c>
      <c r="E204" s="1362"/>
      <c r="F204" s="1364">
        <f>F$200/A204</f>
        <v>0.15</v>
      </c>
      <c r="G204" s="1364"/>
      <c r="H204" s="1364"/>
      <c r="I204" s="1364"/>
      <c r="J204" s="1364"/>
      <c r="K204" s="1364"/>
      <c r="L204" s="1364">
        <f>L$200/A204</f>
        <v>3.7499999999999999E-2</v>
      </c>
      <c r="M204" s="1364"/>
      <c r="N204" s="1364"/>
      <c r="O204" s="1364"/>
      <c r="P204" s="1364"/>
      <c r="Q204" s="25">
        <f t="shared" si="9"/>
        <v>500</v>
      </c>
      <c r="R204" s="25">
        <f t="shared" si="10"/>
        <v>2000</v>
      </c>
      <c r="S204" s="25">
        <f t="shared" si="11"/>
        <v>250</v>
      </c>
      <c r="T204" s="25">
        <f t="shared" si="5"/>
        <v>1000</v>
      </c>
      <c r="Y204" s="23">
        <f t="shared" si="7"/>
        <v>400</v>
      </c>
      <c r="Z204" s="23">
        <f t="shared" si="8"/>
        <v>1600</v>
      </c>
    </row>
    <row r="205" spans="1:26">
      <c r="A205" s="480">
        <v>3</v>
      </c>
      <c r="B205" s="1366" t="s">
        <v>497</v>
      </c>
      <c r="C205" s="480">
        <v>165</v>
      </c>
      <c r="D205" s="910">
        <f t="shared" si="4"/>
        <v>6.4960629921259843</v>
      </c>
      <c r="E205" s="480"/>
      <c r="F205" s="1367">
        <f>F$197/A205</f>
        <v>0.19333333333333333</v>
      </c>
      <c r="G205" s="1367"/>
      <c r="H205" s="1367"/>
      <c r="I205" s="1367"/>
      <c r="J205" s="1367"/>
      <c r="K205" s="1367"/>
      <c r="L205" s="1367">
        <f>L$197/A205</f>
        <v>4.9999999999999996E-2</v>
      </c>
      <c r="M205" s="1367"/>
      <c r="N205" s="1367"/>
      <c r="O205" s="1367"/>
      <c r="P205" s="1367"/>
      <c r="Q205" s="1365">
        <f t="shared" si="9"/>
        <v>387.93103448275861</v>
      </c>
      <c r="R205" s="1365">
        <f t="shared" si="10"/>
        <v>1500.0000000000002</v>
      </c>
      <c r="S205" s="1365">
        <f t="shared" si="11"/>
        <v>193.9655172413793</v>
      </c>
      <c r="T205" s="1365">
        <f t="shared" si="5"/>
        <v>750.00000000000011</v>
      </c>
      <c r="Y205" s="23">
        <f t="shared" si="7"/>
        <v>310.34482758620686</v>
      </c>
      <c r="Z205" s="23">
        <f t="shared" si="8"/>
        <v>1200.0000000000002</v>
      </c>
    </row>
    <row r="206" spans="1:26">
      <c r="A206" s="480">
        <v>3</v>
      </c>
      <c r="B206" s="1366" t="s">
        <v>497</v>
      </c>
      <c r="C206" s="480">
        <v>250</v>
      </c>
      <c r="D206" s="1365">
        <f t="shared" si="4"/>
        <v>9.8425196850393704</v>
      </c>
      <c r="E206" s="480"/>
      <c r="F206" s="1367">
        <f>F$198/A206</f>
        <v>0.14333333333333334</v>
      </c>
      <c r="G206" s="1367"/>
      <c r="H206" s="1367"/>
      <c r="I206" s="1367"/>
      <c r="J206" s="1367"/>
      <c r="K206" s="1367"/>
      <c r="L206" s="1367">
        <f>L$198/A206</f>
        <v>3.3333333333333333E-2</v>
      </c>
      <c r="M206" s="1367"/>
      <c r="N206" s="1367"/>
      <c r="O206" s="1367"/>
      <c r="P206" s="1367"/>
      <c r="Q206" s="1365">
        <f t="shared" si="9"/>
        <v>523.25581395348831</v>
      </c>
      <c r="R206" s="1365">
        <f t="shared" si="10"/>
        <v>2250</v>
      </c>
      <c r="S206" s="1365">
        <f t="shared" si="11"/>
        <v>261.62790697674416</v>
      </c>
      <c r="T206" s="1365">
        <f t="shared" si="5"/>
        <v>1125</v>
      </c>
      <c r="Y206" s="23">
        <f t="shared" si="7"/>
        <v>418.60465116279067</v>
      </c>
      <c r="Z206" s="23">
        <f t="shared" si="8"/>
        <v>1800</v>
      </c>
    </row>
    <row r="207" spans="1:26">
      <c r="A207" s="480">
        <v>3</v>
      </c>
      <c r="B207" s="1366" t="s">
        <v>497</v>
      </c>
      <c r="C207" s="480">
        <v>330</v>
      </c>
      <c r="D207" s="1365">
        <f t="shared" si="4"/>
        <v>12.992125984251969</v>
      </c>
      <c r="E207" s="480"/>
      <c r="F207" s="1367">
        <f>F$199/A207</f>
        <v>0.11333333333333334</v>
      </c>
      <c r="G207" s="1367"/>
      <c r="H207" s="1367"/>
      <c r="I207" s="1367"/>
      <c r="J207" s="1367"/>
      <c r="K207" s="1367"/>
      <c r="L207" s="1367">
        <f>L$199/A207</f>
        <v>2.6666666666666668E-2</v>
      </c>
      <c r="M207" s="1367"/>
      <c r="N207" s="1367"/>
      <c r="O207" s="1367"/>
      <c r="P207" s="1367"/>
      <c r="Q207" s="1365">
        <f t="shared" si="9"/>
        <v>661.76470588235293</v>
      </c>
      <c r="R207" s="1365">
        <f t="shared" si="10"/>
        <v>2812.5</v>
      </c>
      <c r="S207" s="1365">
        <f t="shared" si="11"/>
        <v>330.88235294117646</v>
      </c>
      <c r="T207" s="1365">
        <f t="shared" si="5"/>
        <v>1406.25</v>
      </c>
      <c r="Y207" s="23">
        <f t="shared" si="7"/>
        <v>529.41176470588232</v>
      </c>
      <c r="Z207" s="23">
        <f t="shared" si="8"/>
        <v>2250</v>
      </c>
    </row>
    <row r="208" spans="1:26">
      <c r="A208" s="480">
        <v>3</v>
      </c>
      <c r="B208" s="1366" t="s">
        <v>497</v>
      </c>
      <c r="C208" s="480">
        <v>380</v>
      </c>
      <c r="D208" s="1365">
        <f t="shared" si="4"/>
        <v>14.960629921259843</v>
      </c>
      <c r="E208" s="480"/>
      <c r="F208" s="1367">
        <f>F$200/A208</f>
        <v>9.9999999999999992E-2</v>
      </c>
      <c r="G208" s="1367"/>
      <c r="H208" s="1367"/>
      <c r="I208" s="1367"/>
      <c r="J208" s="1367"/>
      <c r="K208" s="1367"/>
      <c r="L208" s="1367">
        <f>L$200/A208</f>
        <v>2.4999999999999998E-2</v>
      </c>
      <c r="M208" s="1367"/>
      <c r="N208" s="1367"/>
      <c r="O208" s="1367"/>
      <c r="P208" s="1367"/>
      <c r="Q208" s="1365">
        <f t="shared" si="9"/>
        <v>750.00000000000011</v>
      </c>
      <c r="R208" s="1365">
        <f t="shared" si="10"/>
        <v>3000.0000000000005</v>
      </c>
      <c r="S208" s="1365">
        <f t="shared" si="11"/>
        <v>375.00000000000006</v>
      </c>
      <c r="T208" s="1365">
        <f t="shared" si="5"/>
        <v>1500.0000000000002</v>
      </c>
      <c r="Y208" s="23">
        <f t="shared" si="7"/>
        <v>600.00000000000011</v>
      </c>
      <c r="Z208" s="23">
        <f t="shared" si="8"/>
        <v>2400.0000000000005</v>
      </c>
    </row>
    <row r="209" spans="1:26">
      <c r="A209" s="1362">
        <v>4</v>
      </c>
      <c r="B209" s="1362" t="s">
        <v>496</v>
      </c>
      <c r="C209" s="599">
        <v>165</v>
      </c>
      <c r="D209" s="1363">
        <f t="shared" si="4"/>
        <v>6.4960629921259843</v>
      </c>
      <c r="E209" s="1362"/>
      <c r="F209" s="1364">
        <f>F$197/A209</f>
        <v>0.14499999999999999</v>
      </c>
      <c r="G209" s="1364"/>
      <c r="H209" s="1364"/>
      <c r="I209" s="1364"/>
      <c r="J209" s="1364"/>
      <c r="K209" s="1364"/>
      <c r="L209" s="1364">
        <f>L$197/A209</f>
        <v>3.7499999999999999E-2</v>
      </c>
      <c r="M209" s="1364"/>
      <c r="N209" s="1364"/>
      <c r="O209" s="1364"/>
      <c r="P209" s="1364"/>
      <c r="Q209" s="25">
        <f t="shared" si="9"/>
        <v>517.24137931034488</v>
      </c>
      <c r="R209" s="25">
        <f t="shared" si="10"/>
        <v>2000</v>
      </c>
      <c r="S209" s="25">
        <f t="shared" si="11"/>
        <v>258.62068965517244</v>
      </c>
      <c r="T209" s="25">
        <f t="shared" si="5"/>
        <v>1000</v>
      </c>
      <c r="Y209" s="23">
        <f t="shared" si="7"/>
        <v>413.79310344827593</v>
      </c>
      <c r="Z209" s="23">
        <f t="shared" si="8"/>
        <v>1600</v>
      </c>
    </row>
    <row r="210" spans="1:26">
      <c r="A210" s="1362">
        <v>4</v>
      </c>
      <c r="B210" s="1362" t="s">
        <v>496</v>
      </c>
      <c r="C210" s="599">
        <v>250</v>
      </c>
      <c r="D210" s="1371">
        <f t="shared" si="4"/>
        <v>9.8425196850393704</v>
      </c>
      <c r="E210" s="1362"/>
      <c r="F210" s="1364">
        <f>F$198/A210</f>
        <v>0.1075</v>
      </c>
      <c r="G210" s="1364"/>
      <c r="H210" s="1364"/>
      <c r="I210" s="1364"/>
      <c r="J210" s="1364"/>
      <c r="K210" s="1364"/>
      <c r="L210" s="1364">
        <f>L$198/A210</f>
        <v>2.5000000000000001E-2</v>
      </c>
      <c r="M210" s="1364"/>
      <c r="N210" s="1364"/>
      <c r="O210" s="1364"/>
      <c r="P210" s="1364"/>
      <c r="Q210" s="25">
        <f t="shared" si="9"/>
        <v>697.67441860465112</v>
      </c>
      <c r="R210" s="25">
        <f t="shared" si="10"/>
        <v>3000</v>
      </c>
      <c r="S210" s="25">
        <f t="shared" si="11"/>
        <v>348.83720930232556</v>
      </c>
      <c r="T210" s="25">
        <f t="shared" si="5"/>
        <v>1500</v>
      </c>
      <c r="Y210" s="23">
        <f t="shared" si="7"/>
        <v>558.1395348837209</v>
      </c>
      <c r="Z210" s="23">
        <f t="shared" si="8"/>
        <v>2400</v>
      </c>
    </row>
    <row r="211" spans="1:26">
      <c r="A211" s="1362">
        <v>4</v>
      </c>
      <c r="B211" s="1362" t="s">
        <v>496</v>
      </c>
      <c r="C211" s="599">
        <v>330</v>
      </c>
      <c r="D211" s="1371">
        <f t="shared" si="4"/>
        <v>12.992125984251969</v>
      </c>
      <c r="E211" s="1362"/>
      <c r="F211" s="1364">
        <f>F$199/A211</f>
        <v>8.5000000000000006E-2</v>
      </c>
      <c r="G211" s="1364"/>
      <c r="H211" s="1364"/>
      <c r="I211" s="1364"/>
      <c r="J211" s="1364"/>
      <c r="K211" s="1364"/>
      <c r="L211" s="1364">
        <f>L$199/A211</f>
        <v>0.02</v>
      </c>
      <c r="M211" s="1364"/>
      <c r="N211" s="1364"/>
      <c r="O211" s="1364"/>
      <c r="P211" s="1364"/>
      <c r="Q211" s="25">
        <f t="shared" si="9"/>
        <v>882.35294117647049</v>
      </c>
      <c r="R211" s="25">
        <f t="shared" si="10"/>
        <v>3750</v>
      </c>
      <c r="S211" s="25">
        <f t="shared" si="11"/>
        <v>441.17647058823525</v>
      </c>
      <c r="T211" s="25">
        <f t="shared" si="5"/>
        <v>1875</v>
      </c>
      <c r="Y211" s="23">
        <f t="shared" si="7"/>
        <v>705.88235294117635</v>
      </c>
      <c r="Z211" s="23">
        <f t="shared" si="8"/>
        <v>3000</v>
      </c>
    </row>
    <row r="212" spans="1:26">
      <c r="A212" s="1362">
        <v>4</v>
      </c>
      <c r="B212" s="1362" t="s">
        <v>496</v>
      </c>
      <c r="C212" s="599">
        <v>380</v>
      </c>
      <c r="D212" s="1371">
        <f t="shared" si="4"/>
        <v>14.960629921259843</v>
      </c>
      <c r="E212" s="1362"/>
      <c r="F212" s="1364">
        <f>F$200/A212</f>
        <v>7.4999999999999997E-2</v>
      </c>
      <c r="G212" s="1364"/>
      <c r="H212" s="1364"/>
      <c r="I212" s="1364"/>
      <c r="J212" s="1364"/>
      <c r="K212" s="1364"/>
      <c r="L212" s="1364">
        <f>L$200/A212</f>
        <v>1.8749999999999999E-2</v>
      </c>
      <c r="M212" s="1364"/>
      <c r="N212" s="1364"/>
      <c r="O212" s="1364"/>
      <c r="P212" s="1364"/>
      <c r="Q212" s="25">
        <f t="shared" si="9"/>
        <v>1000</v>
      </c>
      <c r="R212" s="25">
        <f t="shared" si="10"/>
        <v>4000</v>
      </c>
      <c r="S212" s="25">
        <f t="shared" si="11"/>
        <v>500</v>
      </c>
      <c r="T212" s="25">
        <f t="shared" si="5"/>
        <v>2000</v>
      </c>
      <c r="Y212" s="23">
        <f t="shared" si="7"/>
        <v>800</v>
      </c>
      <c r="Z212" s="23">
        <f t="shared" si="8"/>
        <v>3200</v>
      </c>
    </row>
    <row r="213" spans="1:26">
      <c r="A213" s="480">
        <v>6</v>
      </c>
      <c r="B213" s="1366" t="s">
        <v>497</v>
      </c>
      <c r="C213" s="480">
        <v>165</v>
      </c>
      <c r="D213" s="910">
        <f t="shared" si="4"/>
        <v>6.4960629921259843</v>
      </c>
      <c r="E213" s="480"/>
      <c r="F213" s="1367">
        <f>F$197/A213</f>
        <v>9.6666666666666665E-2</v>
      </c>
      <c r="G213" s="1367"/>
      <c r="H213" s="1367"/>
      <c r="I213" s="1367"/>
      <c r="J213" s="1367"/>
      <c r="K213" s="1367"/>
      <c r="L213" s="1367">
        <f>L$197/A213</f>
        <v>2.4999999999999998E-2</v>
      </c>
      <c r="M213" s="1367"/>
      <c r="N213" s="1367"/>
      <c r="O213" s="1367"/>
      <c r="P213" s="1367"/>
      <c r="Q213" s="1365">
        <f t="shared" si="9"/>
        <v>775.86206896551721</v>
      </c>
      <c r="R213" s="1365">
        <f t="shared" si="10"/>
        <v>3000.0000000000005</v>
      </c>
      <c r="S213" s="1365">
        <f t="shared" si="11"/>
        <v>387.93103448275861</v>
      </c>
      <c r="T213" s="1365">
        <f t="shared" si="5"/>
        <v>1500.0000000000002</v>
      </c>
      <c r="Y213" s="23">
        <f t="shared" si="7"/>
        <v>620.68965517241372</v>
      </c>
      <c r="Z213" s="23">
        <f t="shared" si="8"/>
        <v>2400.0000000000005</v>
      </c>
    </row>
    <row r="214" spans="1:26">
      <c r="A214" s="480">
        <v>6</v>
      </c>
      <c r="B214" s="1366" t="s">
        <v>497</v>
      </c>
      <c r="C214" s="480">
        <v>250</v>
      </c>
      <c r="D214" s="1365">
        <f t="shared" si="4"/>
        <v>9.8425196850393704</v>
      </c>
      <c r="E214" s="480"/>
      <c r="F214" s="1367">
        <f>F$198/A214</f>
        <v>7.166666666666667E-2</v>
      </c>
      <c r="G214" s="1367"/>
      <c r="H214" s="1367"/>
      <c r="I214" s="1367"/>
      <c r="J214" s="1367"/>
      <c r="K214" s="1367"/>
      <c r="L214" s="1367">
        <f>L$198/A214</f>
        <v>1.6666666666666666E-2</v>
      </c>
      <c r="M214" s="1367"/>
      <c r="N214" s="1367"/>
      <c r="O214" s="1367"/>
      <c r="P214" s="1367"/>
      <c r="Q214" s="1365">
        <f t="shared" si="9"/>
        <v>1046.5116279069766</v>
      </c>
      <c r="R214" s="1365">
        <f t="shared" si="10"/>
        <v>4500</v>
      </c>
      <c r="S214" s="1365">
        <f t="shared" si="11"/>
        <v>523.25581395348831</v>
      </c>
      <c r="T214" s="1365">
        <f t="shared" si="5"/>
        <v>2250</v>
      </c>
      <c r="Y214" s="23">
        <f t="shared" si="7"/>
        <v>837.20930232558135</v>
      </c>
      <c r="Z214" s="23">
        <f t="shared" si="8"/>
        <v>3600</v>
      </c>
    </row>
    <row r="215" spans="1:26">
      <c r="A215" s="480">
        <v>6</v>
      </c>
      <c r="B215" s="1366" t="s">
        <v>497</v>
      </c>
      <c r="C215" s="480">
        <v>330</v>
      </c>
      <c r="D215" s="1365">
        <f t="shared" si="4"/>
        <v>12.992125984251969</v>
      </c>
      <c r="E215" s="480"/>
      <c r="F215" s="1367">
        <f>F$199/A215</f>
        <v>5.6666666666666671E-2</v>
      </c>
      <c r="G215" s="1367"/>
      <c r="H215" s="1367"/>
      <c r="I215" s="1367"/>
      <c r="J215" s="1367"/>
      <c r="K215" s="1367"/>
      <c r="L215" s="1367">
        <f>L$199/A215</f>
        <v>1.3333333333333334E-2</v>
      </c>
      <c r="M215" s="1367"/>
      <c r="N215" s="1367"/>
      <c r="O215" s="1367"/>
      <c r="P215" s="1367"/>
      <c r="Q215" s="1365">
        <f t="shared" si="9"/>
        <v>1323.5294117647059</v>
      </c>
      <c r="R215" s="1365">
        <f t="shared" si="10"/>
        <v>5625</v>
      </c>
      <c r="S215" s="1365">
        <f t="shared" si="11"/>
        <v>661.76470588235293</v>
      </c>
      <c r="T215" s="1365">
        <f t="shared" si="5"/>
        <v>2812.5</v>
      </c>
      <c r="Y215" s="23">
        <f t="shared" si="7"/>
        <v>1058.8235294117646</v>
      </c>
      <c r="Z215" s="23">
        <f t="shared" si="8"/>
        <v>4500</v>
      </c>
    </row>
    <row r="216" spans="1:26">
      <c r="A216" s="480">
        <v>6</v>
      </c>
      <c r="B216" s="1366" t="s">
        <v>497</v>
      </c>
      <c r="C216" s="480">
        <v>380</v>
      </c>
      <c r="D216" s="1365">
        <f t="shared" si="4"/>
        <v>14.960629921259843</v>
      </c>
      <c r="E216" s="480"/>
      <c r="F216" s="1367">
        <f>F$200/A216</f>
        <v>4.9999999999999996E-2</v>
      </c>
      <c r="G216" s="1367"/>
      <c r="H216" s="1367"/>
      <c r="I216" s="1367"/>
      <c r="J216" s="1367"/>
      <c r="K216" s="1367"/>
      <c r="L216" s="1367">
        <f>L$200/A216</f>
        <v>1.2499999999999999E-2</v>
      </c>
      <c r="M216" s="1367"/>
      <c r="N216" s="1367"/>
      <c r="O216" s="1367"/>
      <c r="P216" s="1367"/>
      <c r="Q216" s="1365">
        <f t="shared" si="9"/>
        <v>1500.0000000000002</v>
      </c>
      <c r="R216" s="1365">
        <f t="shared" si="10"/>
        <v>6000.0000000000009</v>
      </c>
      <c r="S216" s="1365">
        <f t="shared" si="11"/>
        <v>750.00000000000011</v>
      </c>
      <c r="T216" s="1365">
        <f t="shared" si="5"/>
        <v>3000.0000000000005</v>
      </c>
      <c r="Y216" s="23">
        <f t="shared" si="7"/>
        <v>1200.0000000000002</v>
      </c>
      <c r="Z216" s="23">
        <f t="shared" si="8"/>
        <v>4800.0000000000009</v>
      </c>
    </row>
    <row r="217" spans="1:26">
      <c r="A217" s="3"/>
      <c r="B217" s="3"/>
      <c r="C217" s="3"/>
      <c r="D217" s="3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25"/>
      <c r="R217" s="25"/>
      <c r="S217" s="3"/>
      <c r="T217" s="3"/>
      <c r="Y217" s="1"/>
      <c r="Z217" s="1"/>
    </row>
  </sheetData>
  <pageMargins left="0.23622047244094491" right="0.19685039370078741" top="0.74803149606299213" bottom="0.74803149606299213" header="0.31496062992125984" footer="0.31496062992125984"/>
  <pageSetup scale="18" orientation="landscape" horizontalDpi="4294967294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59999389629810485"/>
  </sheetPr>
  <dimension ref="A1:AY443"/>
  <sheetViews>
    <sheetView topLeftCell="A283" workbookViewId="0">
      <pane ySplit="3" topLeftCell="A355" activePane="bottomLeft" state="frozen"/>
      <selection activeCell="A283" sqref="A283"/>
      <selection pane="bottomLeft" activeCell="T378" sqref="T378"/>
    </sheetView>
  </sheetViews>
  <sheetFormatPr baseColWidth="10" defaultColWidth="9.140625" defaultRowHeight="12.75"/>
  <cols>
    <col min="1" max="1" width="6.85546875" style="4" customWidth="1"/>
    <col min="2" max="2" width="9.140625" style="4" customWidth="1"/>
    <col min="3" max="3" width="6.7109375" customWidth="1"/>
    <col min="4" max="4" width="7.28515625" customWidth="1"/>
    <col min="6" max="6" width="10.140625" customWidth="1"/>
    <col min="8" max="8" width="9.7109375" customWidth="1"/>
    <col min="10" max="10" width="4.7109375" customWidth="1"/>
    <col min="11" max="11" width="11.7109375" customWidth="1"/>
    <col min="20" max="20" width="6.5703125" customWidth="1"/>
    <col min="21" max="21" width="5.140625" customWidth="1"/>
    <col min="22" max="22" width="7.28515625" customWidth="1"/>
    <col min="23" max="23" width="8.28515625" customWidth="1"/>
    <col min="24" max="24" width="7.42578125" customWidth="1"/>
    <col min="25" max="25" width="7" customWidth="1"/>
    <col min="27" max="28" width="5.140625" customWidth="1"/>
    <col min="29" max="29" width="2.140625" customWidth="1"/>
    <col min="30" max="30" width="7.140625" customWidth="1"/>
    <col min="31" max="31" width="5.42578125" customWidth="1"/>
    <col min="32" max="32" width="17.42578125" customWidth="1"/>
    <col min="34" max="34" width="9.85546875" style="582" customWidth="1"/>
    <col min="35" max="35" width="6.140625" customWidth="1"/>
    <col min="38" max="38" width="11.5703125" customWidth="1"/>
    <col min="42" max="42" width="13.140625" customWidth="1"/>
    <col min="43" max="43" width="10.5703125" bestFit="1" customWidth="1"/>
    <col min="47" max="47" width="13.28515625" customWidth="1"/>
  </cols>
  <sheetData>
    <row r="1" spans="1:39" ht="69.75" customHeight="1" thickBot="1">
      <c r="A1" s="1626" t="s">
        <v>606</v>
      </c>
      <c r="B1" s="1628" t="s">
        <v>607</v>
      </c>
      <c r="C1" s="1570"/>
      <c r="D1" s="1570"/>
      <c r="E1" s="1570"/>
      <c r="F1" s="1570"/>
      <c r="G1" s="1570"/>
      <c r="H1" s="1570"/>
      <c r="I1" s="1570"/>
      <c r="J1" s="1570"/>
      <c r="K1" s="1570"/>
      <c r="L1" s="1570"/>
      <c r="M1" s="1570"/>
      <c r="N1" s="1570"/>
      <c r="O1" s="1570"/>
      <c r="P1" s="1570"/>
      <c r="Q1" s="1570"/>
      <c r="R1" s="1570"/>
      <c r="S1" s="1570"/>
      <c r="T1" s="1570"/>
      <c r="U1" s="1570"/>
      <c r="V1" s="1570"/>
      <c r="W1" s="1570"/>
      <c r="X1" s="1570"/>
      <c r="Y1" s="1570"/>
      <c r="Z1" s="1570"/>
      <c r="AA1" s="1570"/>
      <c r="AB1" s="1570"/>
      <c r="AC1" s="1570"/>
      <c r="AD1" s="1570"/>
      <c r="AE1" s="1570"/>
      <c r="AF1" s="1570"/>
      <c r="AG1" s="1570"/>
      <c r="AH1" s="1606"/>
      <c r="AI1" s="1570"/>
      <c r="AJ1" s="1570"/>
      <c r="AK1" s="1570"/>
      <c r="AL1" s="1570"/>
    </row>
    <row r="2" spans="1:39" ht="21.75" thickBot="1">
      <c r="A2" s="1619" t="s">
        <v>608</v>
      </c>
      <c r="B2" s="42"/>
      <c r="C2" s="1618" t="s">
        <v>609</v>
      </c>
      <c r="D2" s="1631"/>
      <c r="E2" s="1570"/>
      <c r="F2" s="1570"/>
      <c r="G2" s="1570"/>
      <c r="H2" s="1570"/>
      <c r="I2" s="1574"/>
      <c r="J2" s="1574"/>
      <c r="K2" s="1570"/>
      <c r="L2" s="1570"/>
      <c r="M2" s="1570"/>
      <c r="N2" s="1570"/>
      <c r="O2" s="1570"/>
      <c r="P2" s="1570"/>
      <c r="Q2" s="1570"/>
      <c r="R2" s="1570"/>
      <c r="S2" s="1570"/>
      <c r="T2" s="1570"/>
      <c r="U2" s="1570"/>
      <c r="V2" s="1570"/>
      <c r="W2" s="1570"/>
      <c r="X2" s="1570"/>
      <c r="Y2" s="1570"/>
      <c r="Z2" s="1570"/>
      <c r="AA2" s="1570"/>
      <c r="AB2" s="1570"/>
      <c r="AC2" s="1572"/>
      <c r="AD2" s="1637" t="s">
        <v>610</v>
      </c>
      <c r="AE2" s="1638"/>
      <c r="AF2" s="1639" t="s">
        <v>611</v>
      </c>
      <c r="AG2" s="1640" t="s">
        <v>612</v>
      </c>
      <c r="AH2" s="1606"/>
      <c r="AI2" s="1570"/>
      <c r="AJ2" s="1570"/>
      <c r="AK2" s="1570"/>
      <c r="AL2" s="1570"/>
    </row>
    <row r="3" spans="1:39" ht="35.25">
      <c r="A3" s="1648" t="s">
        <v>613</v>
      </c>
      <c r="B3" s="1613"/>
      <c r="C3" s="1617"/>
      <c r="D3" s="1613"/>
      <c r="E3" s="1613"/>
      <c r="F3" s="1623" t="s">
        <v>644</v>
      </c>
      <c r="G3" s="1609"/>
      <c r="H3" s="1609"/>
      <c r="I3" s="1610"/>
      <c r="J3" s="1663"/>
      <c r="K3" s="1647" t="s">
        <v>520</v>
      </c>
      <c r="L3" s="1585"/>
      <c r="M3" s="1609"/>
      <c r="N3" s="1609"/>
      <c r="O3" s="1612"/>
      <c r="P3" s="1609"/>
      <c r="Q3" s="1609"/>
      <c r="R3" s="1609"/>
      <c r="S3" s="1610"/>
      <c r="T3" s="1629" t="s">
        <v>614</v>
      </c>
      <c r="U3" s="1629"/>
      <c r="V3" s="1621"/>
      <c r="W3" s="1609"/>
      <c r="X3" s="1609"/>
      <c r="Y3" s="1609"/>
      <c r="Z3" s="1620"/>
      <c r="AA3" s="1609"/>
      <c r="AB3" s="1610"/>
      <c r="AC3" s="1573"/>
      <c r="AD3" s="1641" t="s">
        <v>643</v>
      </c>
      <c r="AE3" s="1615"/>
      <c r="AF3" s="1625" t="s">
        <v>615</v>
      </c>
      <c r="AG3" s="1642"/>
      <c r="AH3" s="1606"/>
      <c r="AI3" s="1570"/>
      <c r="AJ3" s="1570"/>
      <c r="AK3" s="1570"/>
      <c r="AL3" s="1570"/>
    </row>
    <row r="4" spans="1:39" ht="63.75" thickBot="1">
      <c r="A4" s="1597" t="s">
        <v>573</v>
      </c>
      <c r="B4" s="1577" t="s">
        <v>616</v>
      </c>
      <c r="C4" s="1689" t="s">
        <v>574</v>
      </c>
      <c r="D4" s="1577" t="s">
        <v>617</v>
      </c>
      <c r="E4" s="1690" t="s">
        <v>618</v>
      </c>
      <c r="F4" s="1627" t="s">
        <v>619</v>
      </c>
      <c r="G4" s="1578" t="s">
        <v>620</v>
      </c>
      <c r="H4" s="1578" t="s">
        <v>621</v>
      </c>
      <c r="I4" s="1593" t="s">
        <v>622</v>
      </c>
      <c r="J4" s="1664"/>
      <c r="K4" s="1586" t="s">
        <v>523</v>
      </c>
      <c r="L4" s="1578" t="s">
        <v>524</v>
      </c>
      <c r="M4" s="1578" t="s">
        <v>525</v>
      </c>
      <c r="N4" s="1580" t="s">
        <v>575</v>
      </c>
      <c r="O4" s="1580" t="s">
        <v>623</v>
      </c>
      <c r="P4" s="1580" t="s">
        <v>624</v>
      </c>
      <c r="Q4" s="1580" t="s">
        <v>625</v>
      </c>
      <c r="R4" s="1576" t="s">
        <v>626</v>
      </c>
      <c r="S4" s="1587" t="s">
        <v>627</v>
      </c>
      <c r="T4" s="1630" t="s">
        <v>628</v>
      </c>
      <c r="U4" s="1630" t="s">
        <v>143</v>
      </c>
      <c r="V4" s="1616" t="s">
        <v>629</v>
      </c>
      <c r="W4" s="1578" t="s">
        <v>630</v>
      </c>
      <c r="X4" s="1578" t="s">
        <v>631</v>
      </c>
      <c r="Y4" s="1578" t="s">
        <v>632</v>
      </c>
      <c r="Z4" s="1691" t="s">
        <v>646</v>
      </c>
      <c r="AA4" s="1580" t="s">
        <v>576</v>
      </c>
      <c r="AB4" s="1614" t="s">
        <v>577</v>
      </c>
      <c r="AC4" s="1571"/>
      <c r="AD4" s="1597" t="s">
        <v>633</v>
      </c>
      <c r="AE4" s="1579" t="s">
        <v>634</v>
      </c>
      <c r="AF4" s="1616" t="s">
        <v>635</v>
      </c>
      <c r="AG4" s="1587" t="s">
        <v>243</v>
      </c>
      <c r="AH4" s="1694"/>
      <c r="AI4" s="1571"/>
      <c r="AJ4" s="1632"/>
      <c r="AK4" s="1633"/>
      <c r="AL4" s="1633"/>
    </row>
    <row r="5" spans="1:39" ht="29.25" thickBot="1">
      <c r="A5" s="1650"/>
      <c r="B5" s="1651"/>
      <c r="C5" s="1652"/>
      <c r="D5" s="1651"/>
      <c r="E5" s="1651"/>
      <c r="F5" s="1653" t="s">
        <v>22</v>
      </c>
      <c r="G5" s="1653" t="s">
        <v>22</v>
      </c>
      <c r="H5" s="1653"/>
      <c r="I5" s="1654" t="s">
        <v>22</v>
      </c>
      <c r="J5" s="1665"/>
      <c r="K5" s="1655"/>
      <c r="L5" s="1653" t="s">
        <v>22</v>
      </c>
      <c r="M5" s="1653" t="s">
        <v>22</v>
      </c>
      <c r="N5" s="1653" t="s">
        <v>22</v>
      </c>
      <c r="O5" s="1656" t="s">
        <v>636</v>
      </c>
      <c r="P5" s="1651" t="s">
        <v>53</v>
      </c>
      <c r="Q5" s="1657" t="s">
        <v>535</v>
      </c>
      <c r="R5" s="1651" t="s">
        <v>536</v>
      </c>
      <c r="S5" s="1658" t="s">
        <v>536</v>
      </c>
      <c r="T5" s="1660" t="s">
        <v>477</v>
      </c>
      <c r="U5" s="1660"/>
      <c r="V5" s="1661" t="s">
        <v>637</v>
      </c>
      <c r="W5" s="1653" t="s">
        <v>275</v>
      </c>
      <c r="X5" s="1653" t="s">
        <v>275</v>
      </c>
      <c r="Y5" s="1653" t="s">
        <v>275</v>
      </c>
      <c r="Z5" s="1652" t="s">
        <v>638</v>
      </c>
      <c r="AA5" s="1651" t="s">
        <v>534</v>
      </c>
      <c r="AB5" s="1658" t="s">
        <v>534</v>
      </c>
      <c r="AC5" s="1571"/>
      <c r="AD5" s="1643" t="s">
        <v>639</v>
      </c>
      <c r="AE5" s="1565" t="s">
        <v>528</v>
      </c>
      <c r="AF5" s="1644" t="s">
        <v>640</v>
      </c>
      <c r="AG5" s="1645" t="s">
        <v>641</v>
      </c>
      <c r="AH5" s="1750" t="s">
        <v>578</v>
      </c>
      <c r="AI5" s="1596"/>
      <c r="AJ5" s="1738" t="s">
        <v>608</v>
      </c>
      <c r="AK5" s="1738" t="s">
        <v>137</v>
      </c>
      <c r="AL5" s="1738" t="s">
        <v>648</v>
      </c>
      <c r="AM5" s="1247" t="s">
        <v>649</v>
      </c>
    </row>
    <row r="6" spans="1:39" ht="24">
      <c r="A6" s="1673">
        <v>3</v>
      </c>
      <c r="B6" s="1327">
        <f>IF(A6=3,6,IF(A6=1,4,IF(A6="bd",1,IF(A6="fwd",1,"Circuit Type"))))</f>
        <v>6</v>
      </c>
      <c r="C6" s="1620">
        <v>1</v>
      </c>
      <c r="D6" s="1609">
        <f t="shared" ref="D6:D11" si="0">B6/C6</f>
        <v>6</v>
      </c>
      <c r="E6" s="1609">
        <v>1</v>
      </c>
      <c r="F6" s="1674">
        <f t="shared" ref="F6:F11" si="1">IF(A6=3,3*G6,IF(A6=1,2*G6,IF(A6="bd",1*G6,IF(A6="fwd",1,"Error"))))</f>
        <v>29.485153693229442</v>
      </c>
      <c r="G6" s="1670">
        <f t="shared" ref="G6:G11" si="2">(-AE6+SQRT(AG6))/2/AD6</f>
        <v>9.8283845644098147</v>
      </c>
      <c r="H6" s="1675">
        <f t="shared" ref="H6:H11" si="3">IF(A6=3,SQRT(3),IF(A6=1,SQRT(2),1))</f>
        <v>1.7320508075688772</v>
      </c>
      <c r="I6" s="1676">
        <f t="shared" ref="I6:I11" si="4">H6*G6</f>
        <v>17.023261421883507</v>
      </c>
      <c r="J6" s="1677" t="s">
        <v>539</v>
      </c>
      <c r="K6" s="1584" t="s">
        <v>540</v>
      </c>
      <c r="L6" s="1603">
        <v>42</v>
      </c>
      <c r="M6" s="1603"/>
      <c r="N6" s="1603">
        <v>280</v>
      </c>
      <c r="O6" s="1678">
        <v>125</v>
      </c>
      <c r="P6" s="1585">
        <v>1.1000000000000001</v>
      </c>
      <c r="Q6" s="1679">
        <v>20</v>
      </c>
      <c r="R6" s="1585">
        <v>1.6</v>
      </c>
      <c r="S6" s="1604">
        <v>0.1</v>
      </c>
      <c r="T6" s="1667">
        <v>6.5</v>
      </c>
      <c r="U6" s="1668" t="s">
        <v>642</v>
      </c>
      <c r="V6" s="1669">
        <f>IF(E6=1,IF(U6="N",LOOKUP(T6,'HS250-DATA'!C$7:C$10,'HS250-DATA'!D$7:D$10),IF(U6="Y",LOOKUP(T6,'HS250-DATA'!C$22:C$25,'HS250-DATA'!D$22:D$25),"FAN?")),IF(U6="N",LOOKUP(T6,'HS250-DATA'!C$14:C$17,'HS250-DATA'!D$14:D$17),IF(U6="Y",LOOKUP(T6,'HS250-DATA'!C$29:C$32,'HS250-DATA'!D$29:D$32),"FAN?")))</f>
        <v>0.36899999999999999</v>
      </c>
      <c r="W6" s="1671">
        <f t="shared" ref="W6:W11" si="5">(G6*H6)^2*Q6*10^-3+G6*P6</f>
        <v>16.607051609606543</v>
      </c>
      <c r="X6" s="1671">
        <f t="shared" ref="X6:X11" si="6">D6*W6</f>
        <v>99.64230965763926</v>
      </c>
      <c r="Y6" s="1671">
        <f t="shared" ref="Y6:Y11" si="7">IF(A6=3,W6*6,IF(A6=1,W6*4,W6))</f>
        <v>99.64230965763926</v>
      </c>
      <c r="Z6" s="1672">
        <f t="shared" ref="Z6:Z11" si="8">O6-5</f>
        <v>120</v>
      </c>
      <c r="AA6" s="1671">
        <f t="shared" ref="AA6:AA11" si="9">D6*W6*V6+AB6</f>
        <v>91.768012263668879</v>
      </c>
      <c r="AB6" s="1610">
        <v>55</v>
      </c>
      <c r="AC6" s="1570"/>
      <c r="AD6" s="1564">
        <f t="shared" ref="AD6:AD11" si="10">Q6*10^-3*H6^2</f>
        <v>5.9999999999999991E-2</v>
      </c>
      <c r="AE6" s="1634">
        <f t="shared" ref="AE6:AE11" si="11">P6</f>
        <v>1.1000000000000001</v>
      </c>
      <c r="AF6" s="1635">
        <f t="shared" ref="AF6:AF11" si="12">(AB6-Z6)/(R6+S6+D6*V6)</f>
        <v>-16.60705160960654</v>
      </c>
      <c r="AG6" s="1636">
        <f t="shared" ref="AG6:AG11" si="13">AE6^2-4*AD6*AF6</f>
        <v>5.1956923863055691</v>
      </c>
      <c r="AH6" s="1747">
        <f t="shared" ref="AH6:AH11" si="14">SUM(AJ6:AL6)</f>
        <v>38.85</v>
      </c>
      <c r="AI6" s="1639"/>
      <c r="AJ6" s="1748">
        <f>C6*LOOKUP(T6,'HS250-DATA'!C$7:C$10,'HS250-DATA'!F$7:F$10)</f>
        <v>16.350000000000001</v>
      </c>
      <c r="AK6" s="1748">
        <f t="shared" ref="AK6:AK11" si="15">IF(U6="Y",C6*12,0)</f>
        <v>0</v>
      </c>
      <c r="AL6" s="1748">
        <f>C6*E6*VLOOKUP(K6,'SCR-Diode DATA'!D$7:M$43,10,FALSE)</f>
        <v>22.5</v>
      </c>
      <c r="AM6" s="1749">
        <f t="shared" ref="AM6:AM11" si="16">AH6/F6</f>
        <v>1.3176122601972724</v>
      </c>
    </row>
    <row r="7" spans="1:39" ht="24">
      <c r="A7" s="1598">
        <v>1</v>
      </c>
      <c r="B7" s="1533">
        <f>IF(A7=3,6,IF(A7=1,4,IF(A7="bd",1,IF(A7="fwd",1,"Circuit Type"))))</f>
        <v>4</v>
      </c>
      <c r="C7" s="1600">
        <v>1</v>
      </c>
      <c r="D7" s="1575">
        <f t="shared" si="0"/>
        <v>4</v>
      </c>
      <c r="E7" s="1575">
        <v>1</v>
      </c>
      <c r="F7" s="1611">
        <f t="shared" si="1"/>
        <v>25.441944582926507</v>
      </c>
      <c r="G7" s="1582">
        <f t="shared" si="2"/>
        <v>12.720972291463253</v>
      </c>
      <c r="H7" s="1583">
        <f t="shared" si="3"/>
        <v>1.4142135623730951</v>
      </c>
      <c r="I7" s="1594">
        <f t="shared" si="4"/>
        <v>17.990171541159683</v>
      </c>
      <c r="J7" s="1666" t="s">
        <v>539</v>
      </c>
      <c r="K7" s="1586" t="s">
        <v>540</v>
      </c>
      <c r="L7" s="1578">
        <v>42</v>
      </c>
      <c r="M7" s="1578"/>
      <c r="N7" s="1578">
        <v>280</v>
      </c>
      <c r="O7" s="1580">
        <v>125</v>
      </c>
      <c r="P7" s="1576">
        <v>1.1000000000000001</v>
      </c>
      <c r="Q7" s="1581">
        <v>20</v>
      </c>
      <c r="R7" s="1576">
        <v>1.6</v>
      </c>
      <c r="S7" s="1587">
        <v>0.1</v>
      </c>
      <c r="T7" s="1624">
        <v>6.5</v>
      </c>
      <c r="U7" s="1616" t="s">
        <v>642</v>
      </c>
      <c r="V7" s="1622">
        <f>IF(E7=1,IF(U7="N",LOOKUP(T7,'HS250-DATA'!C$7:C$10,'HS250-DATA'!D$7:D$10),IF(U7="Y",LOOKUP(T7,'HS250-DATA'!C$22:C$25,'HS250-DATA'!D$22:D$25),"FAN?")),IF(U7="N",LOOKUP(T7,'HS250-DATA'!C$14:C$17,'HS250-DATA'!D$14:D$17),IF(U7="Y",LOOKUP(T7,'HS250-DATA'!C$29:C$32,'HS250-DATA'!D$29:D$32),"FAN?")))</f>
        <v>0.36899999999999999</v>
      </c>
      <c r="W7" s="1602">
        <f t="shared" si="5"/>
        <v>20.465994962216616</v>
      </c>
      <c r="X7" s="1602">
        <f t="shared" si="6"/>
        <v>81.863979848866464</v>
      </c>
      <c r="Y7" s="1602">
        <f t="shared" si="7"/>
        <v>81.863979848866464</v>
      </c>
      <c r="Z7" s="1579">
        <f t="shared" si="8"/>
        <v>120</v>
      </c>
      <c r="AA7" s="1602">
        <f t="shared" si="9"/>
        <v>85.207808564231726</v>
      </c>
      <c r="AB7" s="1588">
        <v>55</v>
      </c>
      <c r="AC7" s="1570"/>
      <c r="AD7" s="1564">
        <f t="shared" si="10"/>
        <v>4.0000000000000008E-2</v>
      </c>
      <c r="AE7" s="1634">
        <f t="shared" si="11"/>
        <v>1.1000000000000001</v>
      </c>
      <c r="AF7" s="1635">
        <f t="shared" si="12"/>
        <v>-20.465994962216623</v>
      </c>
      <c r="AG7" s="1636">
        <f t="shared" si="13"/>
        <v>4.4845591939546603</v>
      </c>
      <c r="AH7" s="1741">
        <f t="shared" si="14"/>
        <v>38.85</v>
      </c>
      <c r="AI7" s="1607"/>
      <c r="AJ7" s="1733">
        <f>C7*LOOKUP(T7,'HS250-DATA'!C$7:C$10,'HS250-DATA'!F$7:F$10)</f>
        <v>16.350000000000001</v>
      </c>
      <c r="AK7" s="1733">
        <f t="shared" si="15"/>
        <v>0</v>
      </c>
      <c r="AL7" s="1733">
        <f>C7*E7*VLOOKUP(K7,'SCR-Diode DATA'!D$7:M$43,10,FALSE)</f>
        <v>22.5</v>
      </c>
      <c r="AM7" s="507">
        <f t="shared" si="16"/>
        <v>1.5270059202185091</v>
      </c>
    </row>
    <row r="8" spans="1:39" ht="18.75">
      <c r="A8" s="1598">
        <v>3</v>
      </c>
      <c r="B8" s="1533">
        <f t="shared" ref="B8:B37" si="17">IF(A8=3,6,IF(A8=1,4,IF(A8="bd",1,IF(A8="fwd",1,"Circuit Type"))))</f>
        <v>6</v>
      </c>
      <c r="C8" s="1600">
        <v>1</v>
      </c>
      <c r="D8" s="1575">
        <f t="shared" si="0"/>
        <v>6</v>
      </c>
      <c r="E8" s="1575">
        <v>1</v>
      </c>
      <c r="F8" s="1611">
        <f t="shared" si="1"/>
        <v>40.618844860971009</v>
      </c>
      <c r="G8" s="1582">
        <f t="shared" si="2"/>
        <v>13.539614953657003</v>
      </c>
      <c r="H8" s="1583">
        <f t="shared" si="3"/>
        <v>1.7320508075688772</v>
      </c>
      <c r="I8" s="1594">
        <f t="shared" si="4"/>
        <v>23.451301014653257</v>
      </c>
      <c r="J8" s="1681" t="s">
        <v>542</v>
      </c>
      <c r="K8" s="1417" t="s">
        <v>543</v>
      </c>
      <c r="L8" s="1414">
        <v>68</v>
      </c>
      <c r="M8" s="1414"/>
      <c r="N8" s="1414">
        <v>380</v>
      </c>
      <c r="O8" s="1413">
        <v>125</v>
      </c>
      <c r="P8" s="1413">
        <v>1</v>
      </c>
      <c r="Q8" s="1415">
        <v>10</v>
      </c>
      <c r="R8" s="1413">
        <v>1.1000000000000001</v>
      </c>
      <c r="S8" s="1688">
        <v>0.1</v>
      </c>
      <c r="T8" s="1624">
        <v>6.5</v>
      </c>
      <c r="U8" s="1616" t="s">
        <v>642</v>
      </c>
      <c r="V8" s="1622">
        <f>IF(E8=1,IF(U8="N",LOOKUP(T8,'HS250-DATA'!C$7:C$10,'HS250-DATA'!D$7:D$10),IF(U8="Y",LOOKUP(T8,'HS250-DATA'!C$22:C$25,'HS250-DATA'!D$22:D$25),"FAN?")),IF(U8="N",LOOKUP(T8,'HS250-DATA'!C$14:C$17,'HS250-DATA'!D$14:D$17),IF(U8="Y",LOOKUP(T8,'HS250-DATA'!C$29:C$32,'HS250-DATA'!D$29:D$32),"FAN?")))</f>
        <v>0.36899999999999999</v>
      </c>
      <c r="W8" s="1602">
        <f t="shared" si="5"/>
        <v>19.039250146455771</v>
      </c>
      <c r="X8" s="1602">
        <f t="shared" si="6"/>
        <v>114.23550087873463</v>
      </c>
      <c r="Y8" s="1602">
        <f t="shared" si="7"/>
        <v>114.23550087873463</v>
      </c>
      <c r="Z8" s="1579">
        <f t="shared" si="8"/>
        <v>120</v>
      </c>
      <c r="AA8" s="1602">
        <f t="shared" si="9"/>
        <v>97.152899824253069</v>
      </c>
      <c r="AB8" s="1588">
        <v>55</v>
      </c>
      <c r="AC8" s="1570"/>
      <c r="AD8" s="1564">
        <f t="shared" si="10"/>
        <v>2.9999999999999995E-2</v>
      </c>
      <c r="AE8" s="1634">
        <f t="shared" si="11"/>
        <v>1</v>
      </c>
      <c r="AF8" s="1635">
        <f t="shared" si="12"/>
        <v>-19.039250146455771</v>
      </c>
      <c r="AG8" s="1636">
        <f t="shared" si="13"/>
        <v>3.2847100175746924</v>
      </c>
      <c r="AH8" s="1741">
        <f t="shared" si="14"/>
        <v>45.150000000000006</v>
      </c>
      <c r="AI8" s="1607"/>
      <c r="AJ8" s="1733">
        <f>C8*LOOKUP(T8,'HS250-DATA'!C$7:C$10,'HS250-DATA'!F$7:F$10)</f>
        <v>16.350000000000001</v>
      </c>
      <c r="AK8" s="1733">
        <f t="shared" si="15"/>
        <v>0</v>
      </c>
      <c r="AL8" s="1733">
        <f>C8*E8*VLOOKUP(K8,'SCR-Diode DATA'!D$7:M$43,10,FALSE)</f>
        <v>28.8</v>
      </c>
      <c r="AM8" s="507">
        <f t="shared" si="16"/>
        <v>1.1115530280227834</v>
      </c>
    </row>
    <row r="9" spans="1:39" ht="18.75">
      <c r="A9" s="1598">
        <v>1</v>
      </c>
      <c r="B9" s="1533">
        <f t="shared" si="17"/>
        <v>4</v>
      </c>
      <c r="C9" s="1600">
        <v>1</v>
      </c>
      <c r="D9" s="1575">
        <f t="shared" si="0"/>
        <v>4</v>
      </c>
      <c r="E9" s="1575">
        <v>1</v>
      </c>
      <c r="F9" s="1611">
        <f t="shared" si="1"/>
        <v>35.778767830176818</v>
      </c>
      <c r="G9" s="1582">
        <f t="shared" si="2"/>
        <v>17.889383915088409</v>
      </c>
      <c r="H9" s="1583">
        <f t="shared" si="3"/>
        <v>1.4142135623730951</v>
      </c>
      <c r="I9" s="1594">
        <f t="shared" si="4"/>
        <v>25.299409355217126</v>
      </c>
      <c r="J9" s="1681" t="s">
        <v>542</v>
      </c>
      <c r="K9" s="1417" t="s">
        <v>543</v>
      </c>
      <c r="L9" s="1414">
        <v>68</v>
      </c>
      <c r="M9" s="1414"/>
      <c r="N9" s="1414">
        <v>380</v>
      </c>
      <c r="O9" s="1413">
        <v>125</v>
      </c>
      <c r="P9" s="1413">
        <v>1</v>
      </c>
      <c r="Q9" s="1415">
        <v>10</v>
      </c>
      <c r="R9" s="1413">
        <v>1.1000000000000001</v>
      </c>
      <c r="S9" s="1688">
        <v>0.1</v>
      </c>
      <c r="T9" s="1624">
        <v>6.5</v>
      </c>
      <c r="U9" s="1616" t="s">
        <v>642</v>
      </c>
      <c r="V9" s="1622">
        <f>IF(E9=1,IF(U9="N",LOOKUP(T9,'HS250-DATA'!C$7:C$10,'HS250-DATA'!D$7:D$10),IF(U9="Y",LOOKUP(T9,'HS250-DATA'!C$22:C$25,'HS250-DATA'!D$22:D$25),"FAN?")),IF(U9="N",LOOKUP(T9,'HS250-DATA'!C$14:C$17,'HS250-DATA'!D$14:D$17),IF(U9="Y",LOOKUP(T9,'HS250-DATA'!C$29:C$32,'HS250-DATA'!D$29:D$32),"FAN?")))</f>
        <v>0.36899999999999999</v>
      </c>
      <c r="W9" s="1602">
        <f t="shared" si="5"/>
        <v>24.289985052316887</v>
      </c>
      <c r="X9" s="1602">
        <f t="shared" si="6"/>
        <v>97.159940209267546</v>
      </c>
      <c r="Y9" s="1602">
        <f t="shared" si="7"/>
        <v>97.159940209267546</v>
      </c>
      <c r="Z9" s="1579">
        <f t="shared" si="8"/>
        <v>120</v>
      </c>
      <c r="AA9" s="1602">
        <f t="shared" si="9"/>
        <v>90.852017937219728</v>
      </c>
      <c r="AB9" s="1588">
        <v>55</v>
      </c>
      <c r="AC9" s="1570"/>
      <c r="AD9" s="1564">
        <f t="shared" si="10"/>
        <v>2.0000000000000004E-2</v>
      </c>
      <c r="AE9" s="1634">
        <f t="shared" si="11"/>
        <v>1</v>
      </c>
      <c r="AF9" s="1635">
        <f t="shared" si="12"/>
        <v>-24.28998505231689</v>
      </c>
      <c r="AG9" s="1636">
        <f t="shared" si="13"/>
        <v>2.9431988041853518</v>
      </c>
      <c r="AH9" s="1741">
        <f t="shared" si="14"/>
        <v>45.150000000000006</v>
      </c>
      <c r="AI9" s="1607"/>
      <c r="AJ9" s="1733">
        <f>C9*LOOKUP(T9,'HS250-DATA'!C$7:C$10,'HS250-DATA'!F$7:F$10)</f>
        <v>16.350000000000001</v>
      </c>
      <c r="AK9" s="1733">
        <f t="shared" si="15"/>
        <v>0</v>
      </c>
      <c r="AL9" s="1733">
        <f>C9*E9*VLOOKUP(K9,'SCR-Diode DATA'!D$7:M$43,10,FALSE)</f>
        <v>28.8</v>
      </c>
      <c r="AM9" s="507">
        <f t="shared" si="16"/>
        <v>1.2619216015013024</v>
      </c>
    </row>
    <row r="10" spans="1:39" ht="18.75">
      <c r="A10" s="1598">
        <v>1</v>
      </c>
      <c r="B10" s="1533">
        <f t="shared" si="17"/>
        <v>4</v>
      </c>
      <c r="C10" s="1600">
        <v>1</v>
      </c>
      <c r="D10" s="1575">
        <f t="shared" si="0"/>
        <v>4</v>
      </c>
      <c r="E10" s="1575">
        <v>1</v>
      </c>
      <c r="F10" s="1611">
        <f t="shared" si="1"/>
        <v>58.609035502793304</v>
      </c>
      <c r="G10" s="1582">
        <f t="shared" si="2"/>
        <v>29.304517751396652</v>
      </c>
      <c r="H10" s="1583">
        <f t="shared" si="3"/>
        <v>1.4142135623730951</v>
      </c>
      <c r="I10" s="1594">
        <f t="shared" si="4"/>
        <v>41.442846442828262</v>
      </c>
      <c r="J10" s="1680" t="s">
        <v>545</v>
      </c>
      <c r="K10" s="1417" t="s">
        <v>503</v>
      </c>
      <c r="L10" s="1414">
        <v>125</v>
      </c>
      <c r="M10" s="1414"/>
      <c r="N10" s="1414">
        <v>1950</v>
      </c>
      <c r="O10" s="1413">
        <v>125</v>
      </c>
      <c r="P10" s="1413">
        <v>0.86</v>
      </c>
      <c r="Q10" s="1415">
        <v>5.5</v>
      </c>
      <c r="R10" s="1413">
        <v>0.3</v>
      </c>
      <c r="S10" s="1688">
        <v>0.1</v>
      </c>
      <c r="T10" s="1624">
        <v>6.5</v>
      </c>
      <c r="U10" s="1616" t="s">
        <v>642</v>
      </c>
      <c r="V10" s="1622">
        <f>IF(E10=1,IF(U10="N",LOOKUP(T10,'HS250-DATA'!C$7:C$10,'HS250-DATA'!D$7:D$10),IF(U10="Y",LOOKUP(T10,'HS250-DATA'!C$22:C$25,'HS250-DATA'!D$22:D$25),"FAN?")),IF(U10="N",LOOKUP(T10,'HS250-DATA'!C$14:C$17,'HS250-DATA'!D$14:D$17),IF(U10="Y",LOOKUP(T10,'HS250-DATA'!C$29:C$32,'HS250-DATA'!D$29:D$32),"FAN?")))</f>
        <v>0.36899999999999999</v>
      </c>
      <c r="W10" s="1602">
        <f t="shared" si="5"/>
        <v>34.64818763326226</v>
      </c>
      <c r="X10" s="1602">
        <f t="shared" si="6"/>
        <v>138.59275053304904</v>
      </c>
      <c r="Y10" s="1602">
        <f t="shared" si="7"/>
        <v>138.59275053304904</v>
      </c>
      <c r="Z10" s="1579">
        <f t="shared" si="8"/>
        <v>120</v>
      </c>
      <c r="AA10" s="1602">
        <f t="shared" si="9"/>
        <v>106.14072494669509</v>
      </c>
      <c r="AB10" s="1588">
        <v>55</v>
      </c>
      <c r="AC10" s="1570"/>
      <c r="AD10" s="1564">
        <f t="shared" si="10"/>
        <v>1.1000000000000001E-2</v>
      </c>
      <c r="AE10" s="1634">
        <f t="shared" si="11"/>
        <v>0.86</v>
      </c>
      <c r="AF10" s="1635">
        <f t="shared" si="12"/>
        <v>-34.64818763326226</v>
      </c>
      <c r="AG10" s="1636">
        <f t="shared" si="13"/>
        <v>2.2641202558635394</v>
      </c>
      <c r="AH10" s="1741">
        <f t="shared" si="14"/>
        <v>40.290000000000006</v>
      </c>
      <c r="AI10" s="1607"/>
      <c r="AJ10" s="1733">
        <f>C10*LOOKUP(T10,'HS250-DATA'!C$7:C$10,'HS250-DATA'!F$7:F$10)</f>
        <v>16.350000000000001</v>
      </c>
      <c r="AK10" s="1733">
        <f t="shared" si="15"/>
        <v>0</v>
      </c>
      <c r="AL10" s="1733">
        <f>C10*E10*VLOOKUP(K10,'SCR-Diode DATA'!D$7:M$43,10,FALSE)</f>
        <v>23.94</v>
      </c>
      <c r="AM10" s="507">
        <f t="shared" si="16"/>
        <v>0.68743666662250036</v>
      </c>
    </row>
    <row r="11" spans="1:39" ht="18.75">
      <c r="A11" s="1598">
        <v>3</v>
      </c>
      <c r="B11" s="1533">
        <f t="shared" si="17"/>
        <v>6</v>
      </c>
      <c r="C11" s="1600">
        <v>1</v>
      </c>
      <c r="D11" s="1575">
        <f t="shared" si="0"/>
        <v>6</v>
      </c>
      <c r="E11" s="1575">
        <v>1</v>
      </c>
      <c r="F11" s="1611">
        <f t="shared" si="1"/>
        <v>62.088374708456286</v>
      </c>
      <c r="G11" s="1582">
        <f t="shared" si="2"/>
        <v>20.696124902818763</v>
      </c>
      <c r="H11" s="1583">
        <f t="shared" si="3"/>
        <v>1.7320508075688772</v>
      </c>
      <c r="I11" s="1594">
        <f t="shared" si="4"/>
        <v>35.846739851473586</v>
      </c>
      <c r="J11" s="1680" t="s">
        <v>542</v>
      </c>
      <c r="K11" s="1417" t="s">
        <v>326</v>
      </c>
      <c r="L11" s="1414">
        <v>170</v>
      </c>
      <c r="M11" s="1423"/>
      <c r="N11" s="1414">
        <v>1950</v>
      </c>
      <c r="O11" s="1413">
        <v>125</v>
      </c>
      <c r="P11" s="1413">
        <v>0.86</v>
      </c>
      <c r="Q11" s="1415">
        <v>5.5</v>
      </c>
      <c r="R11" s="1413">
        <v>0.3</v>
      </c>
      <c r="S11" s="1688">
        <v>0.1</v>
      </c>
      <c r="T11" s="1624">
        <v>6.5</v>
      </c>
      <c r="U11" s="1616" t="s">
        <v>642</v>
      </c>
      <c r="V11" s="1622">
        <f>IF(E11=1,IF(U11="N",LOOKUP(T11,'HS250-DATA'!C$7:C$10,'HS250-DATA'!D$7:D$10),IF(U11="Y",LOOKUP(T11,'HS250-DATA'!C$22:C$25,'HS250-DATA'!D$22:D$25),"FAN?")),IF(U11="N",LOOKUP(T11,'HS250-DATA'!C$14:C$17,'HS250-DATA'!D$14:D$17),IF(U11="Y",LOOKUP(T11,'HS250-DATA'!C$29:C$32,'HS250-DATA'!D$29:D$32),"FAN?")))</f>
        <v>0.36899999999999999</v>
      </c>
      <c r="W11" s="1602">
        <f t="shared" si="5"/>
        <v>24.866105585309871</v>
      </c>
      <c r="X11" s="1602">
        <f t="shared" si="6"/>
        <v>149.19663351185923</v>
      </c>
      <c r="Y11" s="1602">
        <f t="shared" si="7"/>
        <v>149.19663351185923</v>
      </c>
      <c r="Z11" s="1579">
        <f t="shared" si="8"/>
        <v>120</v>
      </c>
      <c r="AA11" s="1602">
        <f t="shared" si="9"/>
        <v>110.05355776587606</v>
      </c>
      <c r="AB11" s="1588">
        <v>55</v>
      </c>
      <c r="AC11" s="1570"/>
      <c r="AD11" s="1564">
        <f t="shared" si="10"/>
        <v>1.6499999999999997E-2</v>
      </c>
      <c r="AE11" s="1634">
        <f t="shared" si="11"/>
        <v>0.86</v>
      </c>
      <c r="AF11" s="1635">
        <f t="shared" si="12"/>
        <v>-24.866105585309871</v>
      </c>
      <c r="AG11" s="1636">
        <f t="shared" si="13"/>
        <v>2.3807629686304512</v>
      </c>
      <c r="AH11" s="1741">
        <f t="shared" si="14"/>
        <v>47.22</v>
      </c>
      <c r="AI11" s="1607"/>
      <c r="AJ11" s="1733">
        <f>C11*LOOKUP(T11,'HS250-DATA'!C$7:C$10,'HS250-DATA'!F$7:F$10)</f>
        <v>16.350000000000001</v>
      </c>
      <c r="AK11" s="1733">
        <f t="shared" si="15"/>
        <v>0</v>
      </c>
      <c r="AL11" s="1733">
        <f>C11*E11*VLOOKUP(K11,'SCR-Diode DATA'!D$7:M$43,10,FALSE)</f>
        <v>30.87</v>
      </c>
      <c r="AM11" s="507">
        <f t="shared" si="16"/>
        <v>0.76052884653089092</v>
      </c>
    </row>
    <row r="12" spans="1:39" ht="11.25" customHeight="1">
      <c r="A12" s="1598"/>
      <c r="B12" s="1533"/>
      <c r="C12" s="1600"/>
      <c r="D12" s="1575"/>
      <c r="E12" s="1575"/>
      <c r="F12" s="1611"/>
      <c r="G12" s="1582"/>
      <c r="H12" s="1583"/>
      <c r="I12" s="1594"/>
      <c r="J12" s="1680"/>
      <c r="K12" s="1417"/>
      <c r="L12" s="1414"/>
      <c r="M12" s="1423"/>
      <c r="N12" s="1414"/>
      <c r="O12" s="1413"/>
      <c r="P12" s="1413"/>
      <c r="Q12" s="1415"/>
      <c r="R12" s="1413"/>
      <c r="S12" s="1688"/>
      <c r="T12" s="1624"/>
      <c r="U12" s="1616"/>
      <c r="V12" s="1622"/>
      <c r="W12" s="1602"/>
      <c r="X12" s="1602"/>
      <c r="Y12" s="1602"/>
      <c r="Z12" s="1579"/>
      <c r="AA12" s="1602"/>
      <c r="AB12" s="1588"/>
      <c r="AC12" s="1570"/>
      <c r="AD12" s="1564"/>
      <c r="AE12" s="1634"/>
      <c r="AF12" s="1635"/>
      <c r="AG12" s="1636"/>
      <c r="AH12" s="1742"/>
      <c r="AI12" s="1607"/>
      <c r="AJ12" s="1607"/>
      <c r="AK12" s="1607"/>
      <c r="AL12" s="1733"/>
      <c r="AM12" s="494"/>
    </row>
    <row r="13" spans="1:39" ht="18.75">
      <c r="A13" s="1598">
        <v>3</v>
      </c>
      <c r="B13" s="1533">
        <f t="shared" si="17"/>
        <v>6</v>
      </c>
      <c r="C13" s="1600">
        <v>1</v>
      </c>
      <c r="D13" s="1575">
        <f>B13/C13</f>
        <v>6</v>
      </c>
      <c r="E13" s="1575">
        <v>3</v>
      </c>
      <c r="F13" s="1611">
        <f>IF(A13=3,3*G13,IF(A13=1,2*G13,IF(A13="bd",1*G13,IF(A13="fwd",1,"Error"))))</f>
        <v>75.431600104688385</v>
      </c>
      <c r="G13" s="1582">
        <f>(-AE13+SQRT(AG13))/2/AD13</f>
        <v>25.143866701562796</v>
      </c>
      <c r="H13" s="1583">
        <f>IF(A13=3,SQRT(3),IF(A13=1,SQRT(2),1))</f>
        <v>1.7320508075688772</v>
      </c>
      <c r="I13" s="1594">
        <f>H13*G13</f>
        <v>43.550454625846044</v>
      </c>
      <c r="J13" s="1680" t="s">
        <v>548</v>
      </c>
      <c r="K13" s="1418" t="s">
        <v>549</v>
      </c>
      <c r="L13" s="1419">
        <v>90</v>
      </c>
      <c r="M13" s="1419">
        <v>150</v>
      </c>
      <c r="N13" s="1419">
        <v>1950</v>
      </c>
      <c r="O13" s="1412">
        <v>125</v>
      </c>
      <c r="P13" s="1416">
        <v>0.9</v>
      </c>
      <c r="Q13" s="1416">
        <v>2</v>
      </c>
      <c r="R13" s="1416">
        <v>0.28000000000000003</v>
      </c>
      <c r="S13" s="1687">
        <v>0.2</v>
      </c>
      <c r="T13" s="1624">
        <v>6.5</v>
      </c>
      <c r="U13" s="1616" t="s">
        <v>642</v>
      </c>
      <c r="V13" s="1622">
        <f>IF(E13=1,IF(U13="N",LOOKUP(T13,'HS250-DATA'!C$7:C$10,'HS250-DATA'!D$7:D$10),IF(U13="Y",LOOKUP(T13,'HS250-DATA'!C$22:C$25,'HS250-DATA'!D$22:D$25),"FAN?")),IF(U13="N",LOOKUP(T13,'HS250-DATA'!C$14:C$17,'HS250-DATA'!D$14:D$17),IF(U13="Y",LOOKUP(T13,'HS250-DATA'!C$29:C$32,'HS250-DATA'!D$29:D$32),"FAN?")))</f>
        <v>0.33</v>
      </c>
      <c r="W13" s="1602">
        <f>(G13*H13)^2*Q13*10^-3+G13*P13</f>
        <v>26.422764227642265</v>
      </c>
      <c r="X13" s="1602">
        <f>D13*W13</f>
        <v>158.5365853658536</v>
      </c>
      <c r="Y13" s="1602">
        <f>IF(A13=3,W13*6,IF(A13=1,W13*4,W13))</f>
        <v>158.5365853658536</v>
      </c>
      <c r="Z13" s="1579">
        <f>O13-5</f>
        <v>120</v>
      </c>
      <c r="AA13" s="1602">
        <f>D13*W13*V13+AB13</f>
        <v>107.31707317073169</v>
      </c>
      <c r="AB13" s="1588">
        <v>55</v>
      </c>
      <c r="AC13" s="1570"/>
      <c r="AD13" s="1564">
        <f>Q13*10^-3*H13^2</f>
        <v>5.9999999999999993E-3</v>
      </c>
      <c r="AE13" s="1634">
        <f>P13</f>
        <v>0.9</v>
      </c>
      <c r="AF13" s="1635">
        <f>(AB13-Z13)/(R13+S13+D13*V13)</f>
        <v>-26.422764227642276</v>
      </c>
      <c r="AG13" s="1636">
        <f>AE13^2-4*AD13*AF13</f>
        <v>1.4441463414634146</v>
      </c>
      <c r="AH13" s="1741">
        <f>SUM(AJ13:AL13)</f>
        <v>55.35</v>
      </c>
      <c r="AI13" s="1607"/>
      <c r="AJ13" s="1733">
        <f>C13*LOOKUP(T13,'HS250-DATA'!C$7:C$10,'HS250-DATA'!F$7:F$10)</f>
        <v>16.350000000000001</v>
      </c>
      <c r="AK13" s="1733">
        <f>IF(U13="Y",C13*12,0)</f>
        <v>0</v>
      </c>
      <c r="AL13" s="1733">
        <f>C13*E13*VLOOKUP(K13,'SCR-Diode DATA'!D$7:M$43,10,FALSE)</f>
        <v>39</v>
      </c>
      <c r="AM13" s="507">
        <f>AH13/F13</f>
        <v>0.73377735489081541</v>
      </c>
    </row>
    <row r="14" spans="1:39" ht="18.75">
      <c r="A14" s="1598">
        <v>3</v>
      </c>
      <c r="B14" s="1533">
        <f t="shared" si="17"/>
        <v>6</v>
      </c>
      <c r="C14" s="1600">
        <v>3</v>
      </c>
      <c r="D14" s="1575">
        <f>B14/C14</f>
        <v>2</v>
      </c>
      <c r="E14" s="1575">
        <v>1</v>
      </c>
      <c r="F14" s="1611">
        <f>IF(A14=3,3*G14,IF(A14=1,2*G14,IF(A14="bd",1*G14,IF(A14="fwd",1,"Error"))))</f>
        <v>136.48895015441875</v>
      </c>
      <c r="G14" s="1582">
        <f>(-AE14+SQRT(AG14))/2/AD14</f>
        <v>45.496316718139582</v>
      </c>
      <c r="H14" s="1583">
        <f>IF(A14=3,SQRT(3),IF(A14=1,SQRT(2),1))</f>
        <v>1.7320508075688772</v>
      </c>
      <c r="I14" s="1594">
        <f>H14*G14</f>
        <v>78.801932113063074</v>
      </c>
      <c r="J14" s="1680" t="s">
        <v>548</v>
      </c>
      <c r="K14" s="1418" t="s">
        <v>549</v>
      </c>
      <c r="L14" s="1419">
        <v>90</v>
      </c>
      <c r="M14" s="1419">
        <v>150</v>
      </c>
      <c r="N14" s="1419">
        <v>1950</v>
      </c>
      <c r="O14" s="1412">
        <v>125</v>
      </c>
      <c r="P14" s="1416">
        <v>0.9</v>
      </c>
      <c r="Q14" s="1416">
        <v>2</v>
      </c>
      <c r="R14" s="1416">
        <v>0.28000000000000003</v>
      </c>
      <c r="S14" s="1687">
        <v>0.2</v>
      </c>
      <c r="T14" s="1624">
        <v>6.5</v>
      </c>
      <c r="U14" s="1616" t="s">
        <v>642</v>
      </c>
      <c r="V14" s="1622">
        <f>IF(E14=1,IF(U14="N",LOOKUP(T14,'HS250-DATA'!C$7:C$10,'HS250-DATA'!D$7:D$10),IF(U14="Y",LOOKUP(T14,'HS250-DATA'!C$22:C$25,'HS250-DATA'!D$22:D$25),"FAN?")),IF(U14="N",LOOKUP(T14,'HS250-DATA'!C$14:C$17,'HS250-DATA'!D$14:D$17),IF(U14="Y",LOOKUP(T14,'HS250-DATA'!C$29:C$32,'HS250-DATA'!D$29:D$32),"FAN?")))</f>
        <v>0.36899999999999999</v>
      </c>
      <c r="W14" s="1602">
        <f>(G14*H14)^2*Q14*10^-3+G14*P14</f>
        <v>53.366174055829234</v>
      </c>
      <c r="X14" s="1602">
        <f>D14*W14</f>
        <v>106.73234811165847</v>
      </c>
      <c r="Y14" s="1602">
        <f>IF(A14=3,W14*6,IF(A14=1,W14*4,W14))</f>
        <v>320.19704433497543</v>
      </c>
      <c r="Z14" s="1579">
        <f>O14-5</f>
        <v>120</v>
      </c>
      <c r="AA14" s="1602">
        <f>D14*W14*V14+AB14</f>
        <v>94.384236453201964</v>
      </c>
      <c r="AB14" s="1588">
        <v>55</v>
      </c>
      <c r="AC14" s="1570"/>
      <c r="AD14" s="1564">
        <f>Q14*10^-3*H14^2</f>
        <v>5.9999999999999993E-3</v>
      </c>
      <c r="AE14" s="1634">
        <f>P14</f>
        <v>0.9</v>
      </c>
      <c r="AF14" s="1635">
        <f>(AB14-Z14)/(R14+S14+D14*V14)</f>
        <v>-53.366174055829227</v>
      </c>
      <c r="AG14" s="1636">
        <f>AE14^2-4*AD14*AF14</f>
        <v>2.0907881773399013</v>
      </c>
      <c r="AH14" s="1741">
        <f>SUM(AJ14:AL14)</f>
        <v>88.050000000000011</v>
      </c>
      <c r="AI14" s="1607"/>
      <c r="AJ14" s="1733">
        <f>C14*LOOKUP(T14,'HS250-DATA'!C$7:C$10,'HS250-DATA'!F$7:F$10)</f>
        <v>49.050000000000004</v>
      </c>
      <c r="AK14" s="1733">
        <f>IF(U14="Y",C14*12,0)</f>
        <v>0</v>
      </c>
      <c r="AL14" s="1733">
        <f>C14*E14*VLOOKUP(K14,'SCR-Diode DATA'!D$7:M$43,10,FALSE)</f>
        <v>39</v>
      </c>
      <c r="AM14" s="507">
        <f>AH14/F14</f>
        <v>0.64510716728631423</v>
      </c>
    </row>
    <row r="15" spans="1:39" ht="18.75">
      <c r="A15" s="1598">
        <v>1</v>
      </c>
      <c r="B15" s="1533">
        <f t="shared" si="17"/>
        <v>4</v>
      </c>
      <c r="C15" s="1600">
        <v>1</v>
      </c>
      <c r="D15" s="1575">
        <f>B15/C15</f>
        <v>4</v>
      </c>
      <c r="E15" s="1575">
        <v>2</v>
      </c>
      <c r="F15" s="1611">
        <f>IF(A15=3,3*G15,IF(A15=1,2*G15,IF(A15="bd",1*G15,IF(A15="fwd",1,"Error"))))</f>
        <v>69.509950784538205</v>
      </c>
      <c r="G15" s="1582">
        <f>(-AE15+SQRT(AG15))/2/AD15</f>
        <v>34.754975392269102</v>
      </c>
      <c r="H15" s="1583">
        <f>IF(A15=3,SQRT(3),IF(A15=1,SQRT(2),1))</f>
        <v>1.4142135623730951</v>
      </c>
      <c r="I15" s="1594">
        <f>H15*G15</f>
        <v>49.150957559690148</v>
      </c>
      <c r="J15" s="1680" t="s">
        <v>552</v>
      </c>
      <c r="K15" s="1418" t="s">
        <v>553</v>
      </c>
      <c r="L15" s="1419">
        <v>90</v>
      </c>
      <c r="M15" s="1419">
        <v>150</v>
      </c>
      <c r="N15" s="1419">
        <v>1950</v>
      </c>
      <c r="O15" s="1412">
        <v>125</v>
      </c>
      <c r="P15" s="1416">
        <v>0.9</v>
      </c>
      <c r="Q15" s="1416">
        <v>2</v>
      </c>
      <c r="R15" s="1416">
        <v>0.28000000000000003</v>
      </c>
      <c r="S15" s="1687">
        <v>0.2</v>
      </c>
      <c r="T15" s="1624">
        <v>6.5</v>
      </c>
      <c r="U15" s="1616" t="s">
        <v>642</v>
      </c>
      <c r="V15" s="1622">
        <f>IF(E15=1,IF(U15="N",LOOKUP(T15,'HS250-DATA'!C$7:C$10,'HS250-DATA'!D$7:D$10),IF(U15="Y",LOOKUP(T15,'HS250-DATA'!C$22:C$25,'HS250-DATA'!D$22:D$25),"FAN?")),IF(U15="N",LOOKUP(T15,'HS250-DATA'!C$14:C$17,'HS250-DATA'!D$14:D$17),IF(U15="Y",LOOKUP(T15,'HS250-DATA'!C$29:C$32,'HS250-DATA'!D$29:D$32),"FAN?")))</f>
        <v>0.33</v>
      </c>
      <c r="W15" s="1602">
        <f>(G15*H15)^2*Q15*10^-3+G15*P15</f>
        <v>36.111111111111114</v>
      </c>
      <c r="X15" s="1602">
        <f>D15*W15</f>
        <v>144.44444444444446</v>
      </c>
      <c r="Y15" s="1602">
        <f>IF(A15=3,W15*6,IF(A15=1,W15*4,W15))</f>
        <v>144.44444444444446</v>
      </c>
      <c r="Z15" s="1579">
        <f>O15-5</f>
        <v>120</v>
      </c>
      <c r="AA15" s="1602">
        <f>D15*W15*V15+AB15</f>
        <v>102.66666666666667</v>
      </c>
      <c r="AB15" s="1588">
        <v>55</v>
      </c>
      <c r="AC15" s="1570"/>
      <c r="AD15" s="1564">
        <f>Q15*10^-3*H15^2</f>
        <v>4.000000000000001E-3</v>
      </c>
      <c r="AE15" s="1634">
        <f>P15</f>
        <v>0.9</v>
      </c>
      <c r="AF15" s="1635">
        <f>(AB15-Z15)/(R15+S15+D15*V15)</f>
        <v>-36.111111111111107</v>
      </c>
      <c r="AG15" s="1636">
        <f>AE15^2-4*AD15*AF15</f>
        <v>1.387777777777778</v>
      </c>
      <c r="AH15" s="1741">
        <f>SUM(AJ15:AL15)</f>
        <v>42.35</v>
      </c>
      <c r="AI15" s="1607"/>
      <c r="AJ15" s="1733">
        <f>C15*LOOKUP(T15,'HS250-DATA'!C$7:C$10,'HS250-DATA'!F$7:F$10)</f>
        <v>16.350000000000001</v>
      </c>
      <c r="AK15" s="1733">
        <f>IF(U15="Y",C15*12,0)</f>
        <v>0</v>
      </c>
      <c r="AL15" s="1733">
        <f>C15*E15*VLOOKUP(K15,'SCR-Diode DATA'!D$7:M$43,10,FALSE)</f>
        <v>26</v>
      </c>
      <c r="AM15" s="507">
        <f>AH15/F15</f>
        <v>0.60926528535854374</v>
      </c>
    </row>
    <row r="16" spans="1:39" ht="18.75">
      <c r="A16" s="1598">
        <v>1</v>
      </c>
      <c r="B16" s="1533">
        <f t="shared" si="17"/>
        <v>4</v>
      </c>
      <c r="C16" s="1600">
        <v>2</v>
      </c>
      <c r="D16" s="1575">
        <f>B16/C16</f>
        <v>2</v>
      </c>
      <c r="E16" s="1575">
        <v>1</v>
      </c>
      <c r="F16" s="1611">
        <f>IF(A16=3,3*G16,IF(A16=1,2*G16,IF(A16="bd",1*G16,IF(A16="fwd",1,"Error"))))</f>
        <v>97.476625596072068</v>
      </c>
      <c r="G16" s="1582">
        <f>(-AE16+SQRT(AG16))/2/AD16</f>
        <v>48.738312798036034</v>
      </c>
      <c r="H16" s="1583">
        <f>IF(A16=3,SQRT(3),IF(A16=1,SQRT(2),1))</f>
        <v>1.4142135623730951</v>
      </c>
      <c r="I16" s="1594">
        <f>H16*G16</f>
        <v>68.926382966164752</v>
      </c>
      <c r="J16" s="1680" t="s">
        <v>552</v>
      </c>
      <c r="K16" s="1418" t="s">
        <v>553</v>
      </c>
      <c r="L16" s="1419">
        <v>90</v>
      </c>
      <c r="M16" s="1419">
        <v>150</v>
      </c>
      <c r="N16" s="1419">
        <v>1950</v>
      </c>
      <c r="O16" s="1412">
        <v>125</v>
      </c>
      <c r="P16" s="1416">
        <v>0.9</v>
      </c>
      <c r="Q16" s="1416">
        <v>2</v>
      </c>
      <c r="R16" s="1416">
        <v>0.28000000000000003</v>
      </c>
      <c r="S16" s="1687">
        <v>0.2</v>
      </c>
      <c r="T16" s="1624">
        <v>6.5</v>
      </c>
      <c r="U16" s="1616" t="s">
        <v>642</v>
      </c>
      <c r="V16" s="1622">
        <f>IF(E16=1,IF(U16="N",LOOKUP(T16,'HS250-DATA'!C$7:C$10,'HS250-DATA'!D$7:D$10),IF(U16="Y",LOOKUP(T16,'HS250-DATA'!C$22:C$25,'HS250-DATA'!D$22:D$25),"FAN?")),IF(U16="N",LOOKUP(T16,'HS250-DATA'!C$14:C$17,'HS250-DATA'!D$14:D$17),IF(U16="Y",LOOKUP(T16,'HS250-DATA'!C$29:C$32,'HS250-DATA'!D$29:D$32),"FAN?")))</f>
        <v>0.36899999999999999</v>
      </c>
      <c r="W16" s="1602">
        <f>(G16*H16)^2*Q16*10^-3+G16*P16</f>
        <v>53.366174055829248</v>
      </c>
      <c r="X16" s="1602">
        <f>D16*W16</f>
        <v>106.7323481116585</v>
      </c>
      <c r="Y16" s="1602">
        <f>IF(A16=3,W16*6,IF(A16=1,W16*4,W16))</f>
        <v>213.46469622331699</v>
      </c>
      <c r="Z16" s="1579">
        <f>O16-5</f>
        <v>120</v>
      </c>
      <c r="AA16" s="1602">
        <f>D16*W16*V16+AB16</f>
        <v>94.384236453201993</v>
      </c>
      <c r="AB16" s="1588">
        <v>55</v>
      </c>
      <c r="AC16" s="1570"/>
      <c r="AD16" s="1564">
        <f>Q16*10^-3*H16^2</f>
        <v>4.000000000000001E-3</v>
      </c>
      <c r="AE16" s="1634">
        <f>P16</f>
        <v>0.9</v>
      </c>
      <c r="AF16" s="1635">
        <f>(AB16-Z16)/(R16+S16+D16*V16)</f>
        <v>-53.366174055829227</v>
      </c>
      <c r="AG16" s="1636">
        <f>AE16^2-4*AD16*AF16</f>
        <v>1.663858784893268</v>
      </c>
      <c r="AH16" s="1741">
        <f>SUM(AJ16:AL16)</f>
        <v>58.7</v>
      </c>
      <c r="AI16" s="1607"/>
      <c r="AJ16" s="1733">
        <f>C16*LOOKUP(T16,'HS250-DATA'!C$7:C$10,'HS250-DATA'!F$7:F$10)</f>
        <v>32.700000000000003</v>
      </c>
      <c r="AK16" s="1733">
        <f>IF(U16="Y",C16*12,0)</f>
        <v>0</v>
      </c>
      <c r="AL16" s="1733">
        <f>C16*E16*VLOOKUP(K16,'SCR-Diode DATA'!D$7:M$43,10,FALSE)</f>
        <v>26</v>
      </c>
      <c r="AM16" s="507">
        <f>AH16/F16</f>
        <v>0.60219565091680183</v>
      </c>
    </row>
    <row r="17" spans="1:39" ht="18.75">
      <c r="A17" s="1598"/>
      <c r="B17" s="1533"/>
      <c r="C17" s="1600"/>
      <c r="D17" s="1575"/>
      <c r="E17" s="1575"/>
      <c r="F17" s="1611"/>
      <c r="G17" s="1582"/>
      <c r="H17" s="1583"/>
      <c r="I17" s="1594"/>
      <c r="J17" s="1680"/>
      <c r="K17" s="1418"/>
      <c r="L17" s="1419"/>
      <c r="M17" s="1419"/>
      <c r="N17" s="1419"/>
      <c r="O17" s="1412"/>
      <c r="P17" s="1416"/>
      <c r="Q17" s="1416"/>
      <c r="R17" s="1416"/>
      <c r="S17" s="1687"/>
      <c r="T17" s="1624"/>
      <c r="U17" s="1616"/>
      <c r="V17" s="1622"/>
      <c r="W17" s="1602"/>
      <c r="X17" s="1602"/>
      <c r="Y17" s="1602"/>
      <c r="Z17" s="1579"/>
      <c r="AA17" s="1602"/>
      <c r="AB17" s="1588"/>
      <c r="AC17" s="1570"/>
      <c r="AD17" s="1564"/>
      <c r="AE17" s="1634"/>
      <c r="AF17" s="1635"/>
      <c r="AG17" s="1636"/>
      <c r="AH17" s="1742"/>
      <c r="AI17" s="1607"/>
      <c r="AJ17" s="1607"/>
      <c r="AK17" s="1607"/>
      <c r="AL17" s="1733"/>
      <c r="AM17" s="1743"/>
    </row>
    <row r="18" spans="1:39" ht="18.75">
      <c r="A18" s="1598">
        <v>3</v>
      </c>
      <c r="B18" s="1533">
        <f t="shared" si="17"/>
        <v>6</v>
      </c>
      <c r="C18" s="1600">
        <v>1</v>
      </c>
      <c r="D18" s="1575">
        <f>B18/C18</f>
        <v>6</v>
      </c>
      <c r="E18" s="1575">
        <v>3</v>
      </c>
      <c r="F18" s="1611">
        <f>IF(A18=3,3*G18,IF(A18=1,2*G18,IF(A18="bd",1*G18,IF(A18="fwd",1,"Error"))))</f>
        <v>88.22494682679924</v>
      </c>
      <c r="G18" s="1582">
        <f>(-AE18+SQRT(AG18))/2/AD18</f>
        <v>29.40831560893308</v>
      </c>
      <c r="H18" s="1583">
        <f>IF(A18=3,SQRT(3),IF(A18=1,SQRT(2),1))</f>
        <v>1.7320508075688772</v>
      </c>
      <c r="I18" s="1594">
        <f>H18*G18</f>
        <v>50.93669679969296</v>
      </c>
      <c r="J18" s="1680" t="s">
        <v>548</v>
      </c>
      <c r="K18" s="1418" t="s">
        <v>554</v>
      </c>
      <c r="L18" s="1419">
        <v>160</v>
      </c>
      <c r="M18" s="1419">
        <v>250</v>
      </c>
      <c r="N18" s="1419">
        <v>4100</v>
      </c>
      <c r="O18" s="1412">
        <v>125</v>
      </c>
      <c r="P18" s="1416">
        <v>0.85</v>
      </c>
      <c r="Q18" s="1416">
        <v>1.5</v>
      </c>
      <c r="R18" s="1416">
        <v>0.17</v>
      </c>
      <c r="S18" s="1687">
        <v>0.1</v>
      </c>
      <c r="T18" s="1624">
        <v>6.5</v>
      </c>
      <c r="U18" s="1616" t="s">
        <v>642</v>
      </c>
      <c r="V18" s="1622">
        <f>IF(E18=1,IF(U18="N",LOOKUP(T18,'HS250-DATA'!C$7:C$10,'HS250-DATA'!D$7:D$10),IF(U18="Y",LOOKUP(T18,'HS250-DATA'!C$22:C$25,'HS250-DATA'!D$22:D$25),"FAN?")),IF(U18="N",LOOKUP(T18,'HS250-DATA'!C$14:C$17,'HS250-DATA'!D$14:D$17),IF(U18="Y",LOOKUP(T18,'HS250-DATA'!C$29:C$32,'HS250-DATA'!D$29:D$32),"FAN?")))</f>
        <v>0.33</v>
      </c>
      <c r="W18" s="1602">
        <f>(G18*H18)^2*Q18*10^-3+G18*P18</f>
        <v>28.888888888888893</v>
      </c>
      <c r="X18" s="1602">
        <f>D18*W18</f>
        <v>173.33333333333337</v>
      </c>
      <c r="Y18" s="1602">
        <f>IF(A18=3,W18*6,IF(A18=1,W18*4,W18))</f>
        <v>173.33333333333337</v>
      </c>
      <c r="Z18" s="1579">
        <f>O18-5</f>
        <v>120</v>
      </c>
      <c r="AA18" s="1602">
        <f>D18*W18*V18+AB18</f>
        <v>112.20000000000002</v>
      </c>
      <c r="AB18" s="1588">
        <v>55</v>
      </c>
      <c r="AC18" s="1570"/>
      <c r="AD18" s="1564">
        <f>Q18*10^-3*H18^2</f>
        <v>4.4999999999999997E-3</v>
      </c>
      <c r="AE18" s="1634">
        <f>P18</f>
        <v>0.85</v>
      </c>
      <c r="AF18" s="1635">
        <f>(AB18-Z18)/(R18+S18+D18*V18)</f>
        <v>-28.888888888888889</v>
      </c>
      <c r="AG18" s="1636">
        <f>AE18^2-4*AD18*AF18</f>
        <v>1.2424999999999999</v>
      </c>
      <c r="AH18" s="1741">
        <f>SUM(AJ18:AL18)</f>
        <v>124.35</v>
      </c>
      <c r="AI18" s="1607"/>
      <c r="AJ18" s="1733">
        <f>C18*LOOKUP(T18,'HS250-DATA'!C$7:C$10,'HS250-DATA'!F$7:F$10)</f>
        <v>16.350000000000001</v>
      </c>
      <c r="AK18" s="1733">
        <f>IF(U18="Y",C18*12,0)</f>
        <v>0</v>
      </c>
      <c r="AL18" s="1733">
        <f>C18*E18*VLOOKUP(K18,'SCR-Diode DATA'!D$7:M$43,10,FALSE)</f>
        <v>108</v>
      </c>
      <c r="AM18" s="507">
        <f>AH18/F18</f>
        <v>1.4094652870023312</v>
      </c>
    </row>
    <row r="19" spans="1:39" ht="18.75">
      <c r="A19" s="1598">
        <v>3</v>
      </c>
      <c r="B19" s="1533">
        <f t="shared" si="17"/>
        <v>6</v>
      </c>
      <c r="C19" s="1600">
        <v>3</v>
      </c>
      <c r="D19" s="1575">
        <f>B19/C19</f>
        <v>2</v>
      </c>
      <c r="E19" s="1575">
        <v>1</v>
      </c>
      <c r="F19" s="1611">
        <f>IF(A19=3,3*G19,IF(A19=1,2*G19,IF(A19="bd",1*G19,IF(A19="fwd",1,"Error"))))</f>
        <v>174.10084963295063</v>
      </c>
      <c r="G19" s="1582">
        <f>(-AE19+SQRT(AG19))/2/AD19</f>
        <v>58.033616544316878</v>
      </c>
      <c r="H19" s="1583">
        <f>IF(A19=3,SQRT(3),IF(A19=1,SQRT(2),1))</f>
        <v>1.7320508075688772</v>
      </c>
      <c r="I19" s="1594">
        <f>H19*G19</f>
        <v>100.5171724017266</v>
      </c>
      <c r="J19" s="1680" t="s">
        <v>548</v>
      </c>
      <c r="K19" s="1418" t="s">
        <v>554</v>
      </c>
      <c r="L19" s="1419">
        <v>160</v>
      </c>
      <c r="M19" s="1419">
        <v>250</v>
      </c>
      <c r="N19" s="1419">
        <v>4100</v>
      </c>
      <c r="O19" s="1412">
        <v>125</v>
      </c>
      <c r="P19" s="1416">
        <v>0.85</v>
      </c>
      <c r="Q19" s="1416">
        <v>1.5</v>
      </c>
      <c r="R19" s="1416">
        <v>0.17</v>
      </c>
      <c r="S19" s="1687">
        <v>0.1</v>
      </c>
      <c r="T19" s="1624">
        <v>6.5</v>
      </c>
      <c r="U19" s="1616" t="s">
        <v>642</v>
      </c>
      <c r="V19" s="1622">
        <f>IF(E19=1,IF(U19="N",LOOKUP(T19,'HS250-DATA'!C$7:C$10,'HS250-DATA'!D$7:D$10),IF(U19="Y",LOOKUP(T19,'HS250-DATA'!C$22:C$25,'HS250-DATA'!D$22:D$25),"FAN?")),IF(U19="N",LOOKUP(T19,'HS250-DATA'!C$14:C$17,'HS250-DATA'!D$14:D$17),IF(U19="Y",LOOKUP(T19,'HS250-DATA'!C$29:C$32,'HS250-DATA'!D$29:D$32),"FAN?")))</f>
        <v>0.36899999999999999</v>
      </c>
      <c r="W19" s="1602">
        <f>(G19*H19)^2*Q19*10^-3+G19*P19</f>
        <v>64.484126984126988</v>
      </c>
      <c r="X19" s="1602">
        <f>D19*W19</f>
        <v>128.96825396825398</v>
      </c>
      <c r="Y19" s="1602">
        <f>IF(A19=3,W19*6,IF(A19=1,W19*4,W19))</f>
        <v>386.90476190476193</v>
      </c>
      <c r="Z19" s="1579">
        <f>O19-5</f>
        <v>120</v>
      </c>
      <c r="AA19" s="1602">
        <f>D19*W19*V19+AB19</f>
        <v>102.58928571428572</v>
      </c>
      <c r="AB19" s="1588">
        <v>55</v>
      </c>
      <c r="AC19" s="1570"/>
      <c r="AD19" s="1564">
        <f>Q19*10^-3*H19^2</f>
        <v>4.4999999999999997E-3</v>
      </c>
      <c r="AE19" s="1634">
        <f>P19</f>
        <v>0.85</v>
      </c>
      <c r="AF19" s="1635">
        <f>(AB19-Z19)/(R19+S19+D19*V19)</f>
        <v>-64.484126984126988</v>
      </c>
      <c r="AG19" s="1636">
        <f>AE19^2-4*AD19*AF19</f>
        <v>1.8832142857142855</v>
      </c>
      <c r="AH19" s="1741">
        <f>SUM(AJ19:AL19)</f>
        <v>157.05000000000001</v>
      </c>
      <c r="AI19" s="1607"/>
      <c r="AJ19" s="1733">
        <f>C19*LOOKUP(T19,'HS250-DATA'!C$7:C$10,'HS250-DATA'!F$7:F$10)</f>
        <v>49.050000000000004</v>
      </c>
      <c r="AK19" s="1733">
        <f>IF(U19="Y",C19*12,0)</f>
        <v>0</v>
      </c>
      <c r="AL19" s="1733">
        <f>C19*E19*VLOOKUP(K19,'SCR-Diode DATA'!D$7:M$43,10,FALSE)</f>
        <v>108</v>
      </c>
      <c r="AM19" s="507">
        <f>AH19/F19</f>
        <v>0.90206337494102873</v>
      </c>
    </row>
    <row r="20" spans="1:39" ht="18.75">
      <c r="A20" s="1598">
        <v>1</v>
      </c>
      <c r="B20" s="1533">
        <f t="shared" si="17"/>
        <v>4</v>
      </c>
      <c r="C20" s="1600">
        <v>1</v>
      </c>
      <c r="D20" s="1575">
        <f>B20/C20</f>
        <v>4</v>
      </c>
      <c r="E20" s="1575">
        <v>2</v>
      </c>
      <c r="F20" s="1611">
        <f>IF(A20=3,3*G20,IF(A20=1,2*G20,IF(A20="bd",1*G20,IF(A20="fwd",1,"Error"))))</f>
        <v>83.79759059433475</v>
      </c>
      <c r="G20" s="1582">
        <f>(-AE20+SQRT(AG20))/2/AD20</f>
        <v>41.898795297167375</v>
      </c>
      <c r="H20" s="1583">
        <f>IF(A20=3,SQRT(3),IF(A20=1,SQRT(2),1))</f>
        <v>1.4142135623730951</v>
      </c>
      <c r="I20" s="1594">
        <f>H20*G20</f>
        <v>59.253844556348156</v>
      </c>
      <c r="J20" s="1680" t="s">
        <v>552</v>
      </c>
      <c r="K20" s="1418" t="s">
        <v>555</v>
      </c>
      <c r="L20" s="1419">
        <v>160</v>
      </c>
      <c r="M20" s="1419">
        <v>250</v>
      </c>
      <c r="N20" s="1419">
        <v>4100</v>
      </c>
      <c r="O20" s="1412">
        <v>125</v>
      </c>
      <c r="P20" s="1416">
        <v>0.85</v>
      </c>
      <c r="Q20" s="1416">
        <v>1.5</v>
      </c>
      <c r="R20" s="1416">
        <v>0.17</v>
      </c>
      <c r="S20" s="1687">
        <v>0.1</v>
      </c>
      <c r="T20" s="1624">
        <v>6.5</v>
      </c>
      <c r="U20" s="1616" t="s">
        <v>642</v>
      </c>
      <c r="V20" s="1622">
        <f>IF(E20=1,IF(U20="N",LOOKUP(T20,'HS250-DATA'!C$7:C$10,'HS250-DATA'!D$7:D$10),IF(U20="Y",LOOKUP(T20,'HS250-DATA'!C$22:C$25,'HS250-DATA'!D$22:D$25),"FAN?")),IF(U20="N",LOOKUP(T20,'HS250-DATA'!C$14:C$17,'HS250-DATA'!D$14:D$17),IF(U20="Y",LOOKUP(T20,'HS250-DATA'!C$29:C$32,'HS250-DATA'!D$29:D$32),"FAN?")))</f>
        <v>0.33</v>
      </c>
      <c r="W20" s="1602">
        <f>(G20*H20)^2*Q20*10^-3+G20*P20</f>
        <v>40.880503144654071</v>
      </c>
      <c r="X20" s="1602">
        <f>D20*W20</f>
        <v>163.52201257861628</v>
      </c>
      <c r="Y20" s="1602">
        <f>IF(A20=3,W20*6,IF(A20=1,W20*4,W20))</f>
        <v>163.52201257861628</v>
      </c>
      <c r="Z20" s="1579">
        <f>O20-5</f>
        <v>120</v>
      </c>
      <c r="AA20" s="1602">
        <f>D20*W20*V20+AB20</f>
        <v>108.96226415094338</v>
      </c>
      <c r="AB20" s="1588">
        <v>55</v>
      </c>
      <c r="AC20" s="1570"/>
      <c r="AD20" s="1564">
        <f>Q20*10^-3*H20^2</f>
        <v>3.0000000000000009E-3</v>
      </c>
      <c r="AE20" s="1634">
        <f>P20</f>
        <v>0.85</v>
      </c>
      <c r="AF20" s="1635">
        <f>(AB20-Z20)/(R20+S20+D20*V20)</f>
        <v>-40.880503144654085</v>
      </c>
      <c r="AG20" s="1636">
        <f>AE20^2-4*AD20*AF20</f>
        <v>1.2130660377358491</v>
      </c>
      <c r="AH20" s="1741">
        <f>SUM(AJ20:AL20)</f>
        <v>88.35</v>
      </c>
      <c r="AI20" s="1607"/>
      <c r="AJ20" s="1733">
        <f>C20*LOOKUP(T20,'HS250-DATA'!C$7:C$10,'HS250-DATA'!F$7:F$10)</f>
        <v>16.350000000000001</v>
      </c>
      <c r="AK20" s="1733">
        <f>IF(U20="Y",C20*12,0)</f>
        <v>0</v>
      </c>
      <c r="AL20" s="1733">
        <f>C20*E20*VLOOKUP(K20,'SCR-Diode DATA'!D$7:M$43,10,FALSE)</f>
        <v>72</v>
      </c>
      <c r="AM20" s="507">
        <f>AH20/F20</f>
        <v>1.0543262565591356</v>
      </c>
    </row>
    <row r="21" spans="1:39" ht="18.75">
      <c r="A21" s="1598">
        <v>1</v>
      </c>
      <c r="B21" s="1533">
        <f t="shared" si="17"/>
        <v>4</v>
      </c>
      <c r="C21" s="1600">
        <v>2</v>
      </c>
      <c r="D21" s="1575">
        <f>B21/C21</f>
        <v>2</v>
      </c>
      <c r="E21" s="1575">
        <v>1</v>
      </c>
      <c r="F21" s="1611">
        <f>IF(A21=3,3*G21,IF(A21=1,2*G21,IF(A21="bd",1*G21,IF(A21="fwd",1,"Error"))))</f>
        <v>124.4124376522328</v>
      </c>
      <c r="G21" s="1582">
        <f>(-AE21+SQRT(AG21))/2/AD21</f>
        <v>62.206218826116398</v>
      </c>
      <c r="H21" s="1583">
        <f>IF(A21=3,SQRT(3),IF(A21=1,SQRT(2),1))</f>
        <v>1.4142135623730951</v>
      </c>
      <c r="I21" s="1594">
        <f>H21*G21</f>
        <v>87.972878327842366</v>
      </c>
      <c r="J21" s="1680" t="s">
        <v>552</v>
      </c>
      <c r="K21" s="1418" t="s">
        <v>555</v>
      </c>
      <c r="L21" s="1419">
        <v>160</v>
      </c>
      <c r="M21" s="1419">
        <v>250</v>
      </c>
      <c r="N21" s="1419">
        <v>4100</v>
      </c>
      <c r="O21" s="1412">
        <v>125</v>
      </c>
      <c r="P21" s="1416">
        <v>0.85</v>
      </c>
      <c r="Q21" s="1416">
        <v>1.5</v>
      </c>
      <c r="R21" s="1416">
        <v>0.17</v>
      </c>
      <c r="S21" s="1687">
        <v>0.1</v>
      </c>
      <c r="T21" s="1624">
        <v>6.5</v>
      </c>
      <c r="U21" s="1616" t="s">
        <v>642</v>
      </c>
      <c r="V21" s="1622">
        <f>IF(E21=1,IF(U21="N",LOOKUP(T21,'HS250-DATA'!C$7:C$10,'HS250-DATA'!D$7:D$10),IF(U21="Y",LOOKUP(T21,'HS250-DATA'!C$22:C$25,'HS250-DATA'!D$22:D$25),"FAN?")),IF(U21="N",LOOKUP(T21,'HS250-DATA'!C$14:C$17,'HS250-DATA'!D$14:D$17),IF(U21="Y",LOOKUP(T21,'HS250-DATA'!C$29:C$32,'HS250-DATA'!D$29:D$32),"FAN?")))</f>
        <v>0.36899999999999999</v>
      </c>
      <c r="W21" s="1602">
        <f>(G21*H21)^2*Q21*10^-3+G21*P21</f>
        <v>64.484126984126974</v>
      </c>
      <c r="X21" s="1602">
        <f>D21*W21</f>
        <v>128.96825396825395</v>
      </c>
      <c r="Y21" s="1602">
        <f>IF(A21=3,W21*6,IF(A21=1,W21*4,W21))</f>
        <v>257.93650793650789</v>
      </c>
      <c r="Z21" s="1579">
        <f>O21-5</f>
        <v>120</v>
      </c>
      <c r="AA21" s="1602">
        <f>D21*W21*V21+AB21</f>
        <v>102.58928571428571</v>
      </c>
      <c r="AB21" s="1588">
        <v>55</v>
      </c>
      <c r="AC21" s="1570"/>
      <c r="AD21" s="1564">
        <f>Q21*10^-3*H21^2</f>
        <v>3.0000000000000009E-3</v>
      </c>
      <c r="AE21" s="1634">
        <f>P21</f>
        <v>0.85</v>
      </c>
      <c r="AF21" s="1635">
        <f>(AB21-Z21)/(R21+S21+D21*V21)</f>
        <v>-64.484126984126988</v>
      </c>
      <c r="AG21" s="1636">
        <f>AE21^2-4*AD21*AF21</f>
        <v>1.4963095238095239</v>
      </c>
      <c r="AH21" s="1741">
        <f>SUM(AJ21:AL21)</f>
        <v>104.7</v>
      </c>
      <c r="AI21" s="1607"/>
      <c r="AJ21" s="1733">
        <f>C21*LOOKUP(T21,'HS250-DATA'!C$7:C$10,'HS250-DATA'!F$7:F$10)</f>
        <v>32.700000000000003</v>
      </c>
      <c r="AK21" s="1733">
        <f>IF(U21="Y",C21*12,0)</f>
        <v>0</v>
      </c>
      <c r="AL21" s="1733">
        <f>C21*E21*VLOOKUP(K21,'SCR-Diode DATA'!D$7:M$43,10,FALSE)</f>
        <v>72</v>
      </c>
      <c r="AM21" s="507">
        <f>AH21/F21</f>
        <v>0.84155573169191877</v>
      </c>
    </row>
    <row r="22" spans="1:39" ht="18.75">
      <c r="A22" s="1598"/>
      <c r="B22" s="1533"/>
      <c r="C22" s="1600"/>
      <c r="D22" s="1575"/>
      <c r="E22" s="1575"/>
      <c r="F22" s="1611"/>
      <c r="G22" s="1582"/>
      <c r="H22" s="1583"/>
      <c r="I22" s="1594"/>
      <c r="J22" s="1680"/>
      <c r="K22" s="1418"/>
      <c r="L22" s="1419"/>
      <c r="M22" s="1419"/>
      <c r="N22" s="1419"/>
      <c r="O22" s="1412"/>
      <c r="P22" s="1416"/>
      <c r="Q22" s="1416"/>
      <c r="R22" s="1416"/>
      <c r="S22" s="1687"/>
      <c r="T22" s="1624"/>
      <c r="U22" s="1616"/>
      <c r="V22" s="1622"/>
      <c r="W22" s="1602"/>
      <c r="X22" s="1602"/>
      <c r="Y22" s="1602"/>
      <c r="Z22" s="1579"/>
      <c r="AA22" s="1602"/>
      <c r="AB22" s="1588"/>
      <c r="AC22" s="1570"/>
      <c r="AD22" s="1564"/>
      <c r="AE22" s="1634"/>
      <c r="AF22" s="1635"/>
      <c r="AG22" s="1636"/>
      <c r="AH22" s="1742"/>
      <c r="AI22" s="1607"/>
      <c r="AJ22" s="1607"/>
      <c r="AK22" s="1607"/>
      <c r="AL22" s="1733"/>
      <c r="AM22" s="1743"/>
    </row>
    <row r="23" spans="1:39" ht="18.75">
      <c r="A23" s="1598">
        <v>3</v>
      </c>
      <c r="B23" s="1533">
        <f t="shared" si="17"/>
        <v>6</v>
      </c>
      <c r="C23" s="1600">
        <v>1</v>
      </c>
      <c r="D23" s="1575">
        <f>B23/C23</f>
        <v>6</v>
      </c>
      <c r="E23" s="1575">
        <v>3</v>
      </c>
      <c r="F23" s="1611">
        <f>IF(A23=3,3*G23,IF(A23=1,2*G23,IF(A23="bd",1*G23,IF(A23="fwd",1,"Error"))))</f>
        <v>101.76953136561178</v>
      </c>
      <c r="G23" s="1582">
        <f>(-AE23+SQRT(AG23))/2/AD23</f>
        <v>33.923177121870594</v>
      </c>
      <c r="H23" s="1583">
        <f>IF(A23=3,SQRT(3),IF(A23=1,SQRT(2),1))</f>
        <v>1.7320508075688772</v>
      </c>
      <c r="I23" s="1594">
        <f>H23*G23</f>
        <v>58.756666329238023</v>
      </c>
      <c r="J23" s="1680" t="s">
        <v>548</v>
      </c>
      <c r="K23" s="1418" t="s">
        <v>469</v>
      </c>
      <c r="L23" s="1419">
        <v>250</v>
      </c>
      <c r="M23" s="1419">
        <v>393</v>
      </c>
      <c r="N23" s="1419">
        <v>8800</v>
      </c>
      <c r="O23" s="1412">
        <v>125</v>
      </c>
      <c r="P23" s="1416">
        <v>0.81899999999999995</v>
      </c>
      <c r="Q23" s="1416">
        <v>0.58899999999999997</v>
      </c>
      <c r="R23" s="1416">
        <v>0.14000000000000001</v>
      </c>
      <c r="S23" s="1687">
        <v>0.06</v>
      </c>
      <c r="T23" s="1624">
        <v>6.5</v>
      </c>
      <c r="U23" s="1616" t="s">
        <v>642</v>
      </c>
      <c r="V23" s="1622">
        <f>IF(E23=1,IF(U23="N",LOOKUP(T23,'HS250-DATA'!C$7:C$10,'HS250-DATA'!D$7:D$10),IF(U23="Y",LOOKUP(T23,'HS250-DATA'!C$22:C$25,'HS250-DATA'!D$22:D$25),"FAN?")),IF(U23="N",LOOKUP(T23,'HS250-DATA'!C$14:C$17,'HS250-DATA'!D$14:D$17),IF(U23="Y",LOOKUP(T23,'HS250-DATA'!C$29:C$32,'HS250-DATA'!D$29:D$32),"FAN?")))</f>
        <v>0.33</v>
      </c>
      <c r="W23" s="1602">
        <f>(G23*H23)^2*Q23*10^-3+G23*P23</f>
        <v>29.816513761467881</v>
      </c>
      <c r="X23" s="1602">
        <f>D23*W23</f>
        <v>178.89908256880727</v>
      </c>
      <c r="Y23" s="1602">
        <f>IF(A23=3,W23*6,IF(A23=1,W23*4,W23))</f>
        <v>178.89908256880727</v>
      </c>
      <c r="Z23" s="1579">
        <f>O23-5</f>
        <v>120</v>
      </c>
      <c r="AA23" s="1602">
        <f>D23*W23*V23+AB23</f>
        <v>114.0366972477064</v>
      </c>
      <c r="AB23" s="1588">
        <v>55</v>
      </c>
      <c r="AC23" s="1570"/>
      <c r="AD23" s="1564">
        <f>Q23*10^-3*H23^2</f>
        <v>1.7669999999999997E-3</v>
      </c>
      <c r="AE23" s="1634">
        <f>P23</f>
        <v>0.81899999999999995</v>
      </c>
      <c r="AF23" s="1635">
        <f>(AB23-Z23)/(R23+S23+D23*V23)</f>
        <v>-29.816513761467888</v>
      </c>
      <c r="AG23" s="1636">
        <f>AE23^2-4*AD23*AF23</f>
        <v>0.88150411926605488</v>
      </c>
      <c r="AH23" s="1741">
        <f>SUM(AJ23:AL23)</f>
        <v>241.35</v>
      </c>
      <c r="AI23" s="1607"/>
      <c r="AJ23" s="1733">
        <f>C23*LOOKUP(T23,'HS250-DATA'!C$7:C$10,'HS250-DATA'!F$7:F$10)</f>
        <v>16.350000000000001</v>
      </c>
      <c r="AK23" s="1733">
        <f>IF(U23="Y",C23*12,0)</f>
        <v>0</v>
      </c>
      <c r="AL23" s="1733">
        <f>C23*E23*VLOOKUP(K23,'SCR-Diode DATA'!D$7:M$43,10,FALSE)</f>
        <v>225</v>
      </c>
      <c r="AM23" s="507">
        <f>AH23/F23</f>
        <v>2.3715349452965335</v>
      </c>
    </row>
    <row r="24" spans="1:39" ht="18.75">
      <c r="A24" s="1598">
        <v>3</v>
      </c>
      <c r="B24" s="1533">
        <f t="shared" si="17"/>
        <v>6</v>
      </c>
      <c r="C24" s="1600">
        <v>3</v>
      </c>
      <c r="D24" s="1575">
        <f>B24/C24</f>
        <v>2</v>
      </c>
      <c r="E24" s="1575">
        <v>1</v>
      </c>
      <c r="F24" s="1611">
        <f>IF(A24=3,3*G24,IF(A24=1,2*G24,IF(A24="bd",1*G24,IF(A24="fwd",1,"Error"))))</f>
        <v>219.2591104170441</v>
      </c>
      <c r="G24" s="1582">
        <f>(-AE24+SQRT(AG24))/2/AD24</f>
        <v>73.086370139014704</v>
      </c>
      <c r="H24" s="1583">
        <f>IF(A24=3,SQRT(3),IF(A24=1,SQRT(2),1))</f>
        <v>1.7320508075688772</v>
      </c>
      <c r="I24" s="1594">
        <f>H24*G24</f>
        <v>126.58930642155829</v>
      </c>
      <c r="J24" s="1680" t="s">
        <v>548</v>
      </c>
      <c r="K24" s="1418" t="s">
        <v>469</v>
      </c>
      <c r="L24" s="1419">
        <v>250</v>
      </c>
      <c r="M24" s="1419">
        <v>393</v>
      </c>
      <c r="N24" s="1419">
        <v>8800</v>
      </c>
      <c r="O24" s="1412">
        <v>125</v>
      </c>
      <c r="P24" s="1416">
        <v>0.81899999999999995</v>
      </c>
      <c r="Q24" s="1416">
        <v>0.58899999999999997</v>
      </c>
      <c r="R24" s="1416">
        <v>0.14000000000000001</v>
      </c>
      <c r="S24" s="1687">
        <v>0.06</v>
      </c>
      <c r="T24" s="1624">
        <v>6.5</v>
      </c>
      <c r="U24" s="1616" t="s">
        <v>642</v>
      </c>
      <c r="V24" s="1622">
        <f>IF(E24=1,IF(U24="N",LOOKUP(T24,'HS250-DATA'!C$7:C$10,'HS250-DATA'!D$7:D$10),IF(U24="Y",LOOKUP(T24,'HS250-DATA'!C$22:C$25,'HS250-DATA'!D$22:D$25),"FAN?")),IF(U24="N",LOOKUP(T24,'HS250-DATA'!C$14:C$17,'HS250-DATA'!D$14:D$17),IF(U24="Y",LOOKUP(T24,'HS250-DATA'!C$29:C$32,'HS250-DATA'!D$29:D$32),"FAN?")))</f>
        <v>0.36899999999999999</v>
      </c>
      <c r="W24" s="1602">
        <f>(G24*H24)^2*Q24*10^-3+G24*P24</f>
        <v>69.296375266524535</v>
      </c>
      <c r="X24" s="1602">
        <f>D24*W24</f>
        <v>138.59275053304907</v>
      </c>
      <c r="Y24" s="1602">
        <f>IF(A24=3,W24*6,IF(A24=1,W24*4,W24))</f>
        <v>415.77825159914721</v>
      </c>
      <c r="Z24" s="1579">
        <f>O24-5</f>
        <v>120</v>
      </c>
      <c r="AA24" s="1602">
        <f>D24*W24*V24+AB24</f>
        <v>106.14072494669512</v>
      </c>
      <c r="AB24" s="1588">
        <v>55</v>
      </c>
      <c r="AC24" s="1570"/>
      <c r="AD24" s="1564">
        <f>Q24*10^-3*H24^2</f>
        <v>1.7669999999999997E-3</v>
      </c>
      <c r="AE24" s="1634">
        <f>P24</f>
        <v>0.81899999999999995</v>
      </c>
      <c r="AF24" s="1635">
        <f>(AB24-Z24)/(R24+S24+D24*V24)</f>
        <v>-69.296375266524521</v>
      </c>
      <c r="AG24" s="1636">
        <f>AE24^2-4*AD24*AF24</f>
        <v>1.1605477803837951</v>
      </c>
      <c r="AH24" s="1741">
        <f>SUM(AJ24:AL24)</f>
        <v>274.05</v>
      </c>
      <c r="AI24" s="1607"/>
      <c r="AJ24" s="1733">
        <f>C24*LOOKUP(T24,'HS250-DATA'!C$7:C$10,'HS250-DATA'!F$7:F$10)</f>
        <v>49.050000000000004</v>
      </c>
      <c r="AK24" s="1733">
        <f>IF(U24="Y",C24*12,0)</f>
        <v>0</v>
      </c>
      <c r="AL24" s="1733">
        <f>C24*E24*VLOOKUP(K24,'SCR-Diode DATA'!D$7:M$43,10,FALSE)</f>
        <v>225</v>
      </c>
      <c r="AM24" s="507">
        <f>AH24/F24</f>
        <v>1.2498910511802239</v>
      </c>
    </row>
    <row r="25" spans="1:39" ht="18.75">
      <c r="A25" s="1598">
        <v>1</v>
      </c>
      <c r="B25" s="1533">
        <f t="shared" si="17"/>
        <v>4</v>
      </c>
      <c r="C25" s="1600">
        <v>1</v>
      </c>
      <c r="D25" s="1575">
        <f>B25/C25</f>
        <v>4</v>
      </c>
      <c r="E25" s="1575">
        <v>2</v>
      </c>
      <c r="F25" s="1611">
        <f>IF(A25=3,3*G25,IF(A25=1,2*G25,IF(A25="bd",1*G25,IF(A25="fwd",1,"Error"))))</f>
        <v>97.579916879711419</v>
      </c>
      <c r="G25" s="1582">
        <f>(-AE25+SQRT(AG25))/2/AD25</f>
        <v>48.78995843985571</v>
      </c>
      <c r="H25" s="1583">
        <f>IF(A25=3,SQRT(3),IF(A25=1,SQRT(2),1))</f>
        <v>1.4142135623730951</v>
      </c>
      <c r="I25" s="1594">
        <f>H25*G25</f>
        <v>68.999420933263607</v>
      </c>
      <c r="J25" s="1680" t="s">
        <v>552</v>
      </c>
      <c r="K25" s="1418" t="s">
        <v>556</v>
      </c>
      <c r="L25" s="1419">
        <v>250</v>
      </c>
      <c r="M25" s="1419">
        <v>393</v>
      </c>
      <c r="N25" s="1419">
        <v>8800</v>
      </c>
      <c r="O25" s="1412">
        <v>125</v>
      </c>
      <c r="P25" s="1416">
        <v>0.81899999999999995</v>
      </c>
      <c r="Q25" s="1416">
        <v>0.58899999999999997</v>
      </c>
      <c r="R25" s="1416">
        <v>0.14000000000000001</v>
      </c>
      <c r="S25" s="1687">
        <v>0.06</v>
      </c>
      <c r="T25" s="1624">
        <v>6.5</v>
      </c>
      <c r="U25" s="1616" t="s">
        <v>642</v>
      </c>
      <c r="V25" s="1622">
        <f>IF(E25=1,IF(U25="N",LOOKUP(T25,'HS250-DATA'!C$7:C$10,'HS250-DATA'!D$7:D$10),IF(U25="Y",LOOKUP(T25,'HS250-DATA'!C$22:C$25,'HS250-DATA'!D$22:D$25),"FAN?")),IF(U25="N",LOOKUP(T25,'HS250-DATA'!C$14:C$17,'HS250-DATA'!D$14:D$17),IF(U25="Y",LOOKUP(T25,'HS250-DATA'!C$29:C$32,'HS250-DATA'!D$29:D$32),"FAN?")))</f>
        <v>0.33</v>
      </c>
      <c r="W25" s="1602">
        <f>(G25*H25)^2*Q25*10^-3+G25*P25</f>
        <v>42.763157894736857</v>
      </c>
      <c r="X25" s="1602">
        <f>D25*W25</f>
        <v>171.05263157894743</v>
      </c>
      <c r="Y25" s="1602">
        <f>IF(A25=3,W25*6,IF(A25=1,W25*4,W25))</f>
        <v>171.05263157894743</v>
      </c>
      <c r="Z25" s="1579">
        <f>O25-5</f>
        <v>120</v>
      </c>
      <c r="AA25" s="1602">
        <f>D25*W25*V25+AB25</f>
        <v>111.44736842105266</v>
      </c>
      <c r="AB25" s="1588">
        <v>55</v>
      </c>
      <c r="AC25" s="1570"/>
      <c r="AD25" s="1564">
        <f>Q25*10^-3*H25^2</f>
        <v>1.1780000000000002E-3</v>
      </c>
      <c r="AE25" s="1634">
        <f>P25</f>
        <v>0.81899999999999995</v>
      </c>
      <c r="AF25" s="1635">
        <f>(AB25-Z25)/(R25+S25+D25*V25)</f>
        <v>-42.763157894736842</v>
      </c>
      <c r="AG25" s="1636">
        <f>AE25^2-4*AD25*AF25</f>
        <v>0.87226099999999995</v>
      </c>
      <c r="AH25" s="1741">
        <f>SUM(AJ25:AL25)</f>
        <v>166.35</v>
      </c>
      <c r="AI25" s="1607"/>
      <c r="AJ25" s="1733">
        <f>C25*LOOKUP(T25,'HS250-DATA'!C$7:C$10,'HS250-DATA'!F$7:F$10)</f>
        <v>16.350000000000001</v>
      </c>
      <c r="AK25" s="1733">
        <f>IF(U25="Y",C25*12,0)</f>
        <v>0</v>
      </c>
      <c r="AL25" s="1733">
        <f>C25*E25*VLOOKUP(K25,'SCR-Diode DATA'!D$7:M$43,10,FALSE)</f>
        <v>150</v>
      </c>
      <c r="AM25" s="507">
        <f>AH25/F25</f>
        <v>1.7047565249011509</v>
      </c>
    </row>
    <row r="26" spans="1:39" ht="18.75">
      <c r="A26" s="1598">
        <v>1</v>
      </c>
      <c r="B26" s="1533">
        <f t="shared" si="17"/>
        <v>4</v>
      </c>
      <c r="C26" s="1600">
        <v>2</v>
      </c>
      <c r="D26" s="1575">
        <f>B26/C26</f>
        <v>2</v>
      </c>
      <c r="E26" s="1575">
        <v>1</v>
      </c>
      <c r="F26" s="1611">
        <f>IF(A26=3,3*G26,IF(A26=1,2*G26,IF(A26="bd",1*G26,IF(A26="fwd",1,"Error"))))</f>
        <v>152.49731564149903</v>
      </c>
      <c r="G26" s="1582">
        <f>(-AE26+SQRT(AG26))/2/AD26</f>
        <v>76.248657820749514</v>
      </c>
      <c r="H26" s="1583">
        <f>IF(A26=3,SQRT(3),IF(A26=1,SQRT(2),1))</f>
        <v>1.4142135623730951</v>
      </c>
      <c r="I26" s="1594">
        <f>H26*G26</f>
        <v>107.83188600284933</v>
      </c>
      <c r="J26" s="1680" t="s">
        <v>552</v>
      </c>
      <c r="K26" s="1418" t="s">
        <v>556</v>
      </c>
      <c r="L26" s="1419">
        <v>250</v>
      </c>
      <c r="M26" s="1419">
        <v>393</v>
      </c>
      <c r="N26" s="1419">
        <v>8800</v>
      </c>
      <c r="O26" s="1412">
        <v>125</v>
      </c>
      <c r="P26" s="1416">
        <v>0.81899999999999995</v>
      </c>
      <c r="Q26" s="1416">
        <v>0.58899999999999997</v>
      </c>
      <c r="R26" s="1416">
        <v>0.14000000000000001</v>
      </c>
      <c r="S26" s="1687">
        <v>0.06</v>
      </c>
      <c r="T26" s="1624">
        <v>6.5</v>
      </c>
      <c r="U26" s="1616" t="s">
        <v>642</v>
      </c>
      <c r="V26" s="1622">
        <f>IF(E26=1,IF(U26="N",LOOKUP(T26,'HS250-DATA'!C$7:C$10,'HS250-DATA'!D$7:D$10),IF(U26="Y",LOOKUP(T26,'HS250-DATA'!C$22:C$25,'HS250-DATA'!D$22:D$25),"FAN?")),IF(U26="N",LOOKUP(T26,'HS250-DATA'!C$14:C$17,'HS250-DATA'!D$14:D$17),IF(U26="Y",LOOKUP(T26,'HS250-DATA'!C$29:C$32,'HS250-DATA'!D$29:D$32),"FAN?")))</f>
        <v>0.36899999999999999</v>
      </c>
      <c r="W26" s="1602">
        <f>(G26*H26)^2*Q26*10^-3+G26*P26</f>
        <v>69.296375266524493</v>
      </c>
      <c r="X26" s="1602">
        <f>D26*W26</f>
        <v>138.59275053304899</v>
      </c>
      <c r="Y26" s="1602">
        <f>IF(A26=3,W26*6,IF(A26=1,W26*4,W26))</f>
        <v>277.18550106609797</v>
      </c>
      <c r="Z26" s="1579">
        <f>O26-5</f>
        <v>120</v>
      </c>
      <c r="AA26" s="1602">
        <f>D26*W26*V26+AB26</f>
        <v>106.14072494669507</v>
      </c>
      <c r="AB26" s="1588">
        <v>55</v>
      </c>
      <c r="AC26" s="1570"/>
      <c r="AD26" s="1564">
        <f>Q26*10^-3*H26^2</f>
        <v>1.1780000000000002E-3</v>
      </c>
      <c r="AE26" s="1634">
        <f>P26</f>
        <v>0.81899999999999995</v>
      </c>
      <c r="AF26" s="1635">
        <f>(AB26-Z26)/(R26+S26+D26*V26)</f>
        <v>-69.296375266524521</v>
      </c>
      <c r="AG26" s="1636">
        <f>AE26^2-4*AD26*AF26</f>
        <v>0.99728552025586348</v>
      </c>
      <c r="AH26" s="1741">
        <f>SUM(AJ26:AL26)</f>
        <v>182.7</v>
      </c>
      <c r="AI26" s="1607"/>
      <c r="AJ26" s="1733">
        <f>C26*LOOKUP(T26,'HS250-DATA'!C$7:C$10,'HS250-DATA'!F$7:F$10)</f>
        <v>32.700000000000003</v>
      </c>
      <c r="AK26" s="1733">
        <f>IF(U26="Y",C26*12,0)</f>
        <v>0</v>
      </c>
      <c r="AL26" s="1733">
        <f>C26*E26*VLOOKUP(K26,'SCR-Diode DATA'!D$7:M$43,10,FALSE)</f>
        <v>150</v>
      </c>
      <c r="AM26" s="507">
        <f>AH26/F26</f>
        <v>1.19805387544987</v>
      </c>
    </row>
    <row r="27" spans="1:39" ht="18.75">
      <c r="A27" s="1598"/>
      <c r="B27" s="1533"/>
      <c r="C27" s="1600"/>
      <c r="D27" s="1575"/>
      <c r="E27" s="1575"/>
      <c r="F27" s="1611"/>
      <c r="G27" s="1582"/>
      <c r="H27" s="1583"/>
      <c r="I27" s="1594"/>
      <c r="J27" s="1680"/>
      <c r="K27" s="1418"/>
      <c r="L27" s="1419"/>
      <c r="M27" s="1419"/>
      <c r="N27" s="1419"/>
      <c r="O27" s="1412"/>
      <c r="P27" s="1416"/>
      <c r="Q27" s="1416"/>
      <c r="R27" s="1416"/>
      <c r="S27" s="1687"/>
      <c r="T27" s="1624"/>
      <c r="U27" s="1616"/>
      <c r="V27" s="1622"/>
      <c r="W27" s="1602"/>
      <c r="X27" s="1602"/>
      <c r="Y27" s="1602"/>
      <c r="Z27" s="1579"/>
      <c r="AA27" s="1602"/>
      <c r="AB27" s="1588"/>
      <c r="AC27" s="1570"/>
      <c r="AD27" s="1564"/>
      <c r="AE27" s="1634"/>
      <c r="AF27" s="1635"/>
      <c r="AG27" s="1636"/>
      <c r="AH27" s="1742"/>
      <c r="AI27" s="1607"/>
      <c r="AJ27" s="1607"/>
      <c r="AK27" s="1607"/>
      <c r="AL27" s="1733"/>
      <c r="AM27" s="1743"/>
    </row>
    <row r="28" spans="1:39" ht="18.75">
      <c r="A28" s="1598">
        <v>3</v>
      </c>
      <c r="B28" s="1533">
        <f t="shared" si="17"/>
        <v>6</v>
      </c>
      <c r="C28" s="1600">
        <v>1</v>
      </c>
      <c r="D28" s="1575">
        <f>B28/C28</f>
        <v>6</v>
      </c>
      <c r="E28" s="1575">
        <v>3</v>
      </c>
      <c r="F28" s="1611">
        <f>IF(A28=3,3*G28,IF(A28=1,2*G28,IF(A28="bd",1*G28,IF(A28="fwd",1,"Error"))))</f>
        <v>111.65619602543123</v>
      </c>
      <c r="G28" s="1582">
        <f>(-AE28+SQRT(AG28))/2/AD28</f>
        <v>37.218732008477076</v>
      </c>
      <c r="H28" s="1583">
        <f>IF(A28=3,SQRT(3),IF(A28=1,SQRT(2),1))</f>
        <v>1.7320508075688772</v>
      </c>
      <c r="I28" s="1594">
        <f>H28*G28</f>
        <v>64.464734831972336</v>
      </c>
      <c r="J28" s="1680" t="s">
        <v>548</v>
      </c>
      <c r="K28" s="1418" t="s">
        <v>470</v>
      </c>
      <c r="L28" s="1419">
        <v>500</v>
      </c>
      <c r="M28" s="1419">
        <v>900</v>
      </c>
      <c r="N28" s="1419">
        <v>16300</v>
      </c>
      <c r="O28" s="1412">
        <v>125</v>
      </c>
      <c r="P28" s="1416">
        <v>0.81</v>
      </c>
      <c r="Q28" s="1416">
        <v>0.32</v>
      </c>
      <c r="R28" s="1416">
        <v>6.5000000000000002E-2</v>
      </c>
      <c r="S28" s="1687">
        <v>0.02</v>
      </c>
      <c r="T28" s="1624">
        <v>6.5</v>
      </c>
      <c r="U28" s="1616" t="s">
        <v>642</v>
      </c>
      <c r="V28" s="1622">
        <f>IF(E28=1,IF(U28="N",LOOKUP(T28,'HS250-DATA'!C$7:C$10,'HS250-DATA'!D$7:D$10),IF(U28="Y",LOOKUP(T28,'HS250-DATA'!C$22:C$25,'HS250-DATA'!D$22:D$25),"FAN?")),IF(U28="N",LOOKUP(T28,'HS250-DATA'!C$14:C$17,'HS250-DATA'!D$14:D$17),IF(U28="Y",LOOKUP(T28,'HS250-DATA'!C$29:C$32,'HS250-DATA'!D$29:D$32),"FAN?")))</f>
        <v>0.33</v>
      </c>
      <c r="W28" s="1602">
        <f>(G28*H28)^2*Q28*10^-3+G28*P28</f>
        <v>31.476997578692515</v>
      </c>
      <c r="X28" s="1602">
        <f>D28*W28</f>
        <v>188.86198547215508</v>
      </c>
      <c r="Y28" s="1602">
        <f>IF(A28=3,W28*6,IF(A28=1,W28*4,W28))</f>
        <v>188.86198547215508</v>
      </c>
      <c r="Z28" s="1579">
        <f>O28-5</f>
        <v>120</v>
      </c>
      <c r="AA28" s="1602">
        <f>D28*W28*V28+AB28</f>
        <v>117.32445520581118</v>
      </c>
      <c r="AB28" s="1588">
        <v>55</v>
      </c>
      <c r="AC28" s="1570"/>
      <c r="AD28" s="1564">
        <f>Q28*10^-3*H28^2</f>
        <v>9.5999999999999992E-4</v>
      </c>
      <c r="AE28" s="1634">
        <f>P28</f>
        <v>0.81</v>
      </c>
      <c r="AF28" s="1635">
        <f>(AB28-Z28)/(R28+S28+D28*V28)</f>
        <v>-31.476997578692494</v>
      </c>
      <c r="AG28" s="1636">
        <f>AE28^2-4*AD28*AF28</f>
        <v>0.77697167070217932</v>
      </c>
      <c r="AH28" s="1741">
        <f>SUM(AJ28:AL28)</f>
        <v>421.35</v>
      </c>
      <c r="AI28" s="1607"/>
      <c r="AJ28" s="1733">
        <f>C28*LOOKUP(T28,'HS250-DATA'!C$7:C$10,'HS250-DATA'!F$7:F$10)</f>
        <v>16.350000000000001</v>
      </c>
      <c r="AK28" s="1733">
        <f>IF(U28="Y",C28*12,0)</f>
        <v>0</v>
      </c>
      <c r="AL28" s="1733">
        <f>C28*E28*VLOOKUP(K28,'SCR-Diode DATA'!D$7:M$43,10,FALSE)</f>
        <v>405</v>
      </c>
      <c r="AM28" s="507">
        <f>AH28/F28</f>
        <v>3.7736374245100719</v>
      </c>
    </row>
    <row r="29" spans="1:39" ht="18.75">
      <c r="A29" s="1598">
        <v>3</v>
      </c>
      <c r="B29" s="1533">
        <f t="shared" si="17"/>
        <v>6</v>
      </c>
      <c r="C29" s="1600">
        <v>3</v>
      </c>
      <c r="D29" s="1575">
        <f>B29/C29</f>
        <v>2</v>
      </c>
      <c r="E29" s="1575">
        <v>1</v>
      </c>
      <c r="F29" s="1611">
        <f>IF(A29=3,3*G29,IF(A29=1,2*G29,IF(A29="bd",1*G29,IF(A29="fwd",1,"Error"))))</f>
        <v>264.81218895914839</v>
      </c>
      <c r="G29" s="1582">
        <f>(-AE29+SQRT(AG29))/2/AD29</f>
        <v>88.270729653049457</v>
      </c>
      <c r="H29" s="1583">
        <f>IF(A29=3,SQRT(3),IF(A29=1,SQRT(2),1))</f>
        <v>1.7320508075688772</v>
      </c>
      <c r="I29" s="1594">
        <f>H29*G29</f>
        <v>152.88938858025836</v>
      </c>
      <c r="J29" s="1680" t="s">
        <v>548</v>
      </c>
      <c r="K29" s="1418" t="s">
        <v>470</v>
      </c>
      <c r="L29" s="1419">
        <v>500</v>
      </c>
      <c r="M29" s="1419">
        <v>900</v>
      </c>
      <c r="N29" s="1419">
        <v>16300</v>
      </c>
      <c r="O29" s="1412">
        <v>125</v>
      </c>
      <c r="P29" s="1416">
        <v>0.81</v>
      </c>
      <c r="Q29" s="1416">
        <v>0.32</v>
      </c>
      <c r="R29" s="1416">
        <v>6.5000000000000002E-2</v>
      </c>
      <c r="S29" s="1687">
        <v>0.02</v>
      </c>
      <c r="T29" s="1624">
        <v>6.5</v>
      </c>
      <c r="U29" s="1616" t="s">
        <v>642</v>
      </c>
      <c r="V29" s="1622">
        <f>IF(E29=1,IF(U29="N",LOOKUP(T29,'HS250-DATA'!C$7:C$10,'HS250-DATA'!D$7:D$10),IF(U29="Y",LOOKUP(T29,'HS250-DATA'!C$22:C$25,'HS250-DATA'!D$22:D$25),"FAN?")),IF(U29="N",LOOKUP(T29,'HS250-DATA'!C$14:C$17,'HS250-DATA'!D$14:D$17),IF(U29="Y",LOOKUP(T29,'HS250-DATA'!C$29:C$32,'HS250-DATA'!D$29:D$32),"FAN?")))</f>
        <v>0.36899999999999999</v>
      </c>
      <c r="W29" s="1602">
        <f>(G29*H29)^2*Q29*10^-3+G29*P29</f>
        <v>78.979343863912547</v>
      </c>
      <c r="X29" s="1602">
        <f>D29*W29</f>
        <v>157.95868772782509</v>
      </c>
      <c r="Y29" s="1602">
        <f>IF(A29=3,W29*6,IF(A29=1,W29*4,W29))</f>
        <v>473.87606318347525</v>
      </c>
      <c r="Z29" s="1579">
        <f>O29-5</f>
        <v>120</v>
      </c>
      <c r="AA29" s="1602">
        <f>D29*W29*V29+AB29</f>
        <v>113.28675577156746</v>
      </c>
      <c r="AB29" s="1588">
        <v>55</v>
      </c>
      <c r="AC29" s="1570"/>
      <c r="AD29" s="1564">
        <f>Q29*10^-3*H29^2</f>
        <v>9.5999999999999992E-4</v>
      </c>
      <c r="AE29" s="1634">
        <f>P29</f>
        <v>0.81</v>
      </c>
      <c r="AF29" s="1635">
        <f>(AB29-Z29)/(R29+S29+D29*V29)</f>
        <v>-78.979343863912518</v>
      </c>
      <c r="AG29" s="1636">
        <f>AE29^2-4*AD29*AF29</f>
        <v>0.95938068043742419</v>
      </c>
      <c r="AH29" s="1741">
        <f>SUM(AJ29:AL29)</f>
        <v>454.05</v>
      </c>
      <c r="AI29" s="1607"/>
      <c r="AJ29" s="1733">
        <f>C29*LOOKUP(T29,'HS250-DATA'!C$7:C$10,'HS250-DATA'!F$7:F$10)</f>
        <v>49.050000000000004</v>
      </c>
      <c r="AK29" s="1733">
        <f>IF(U29="Y",C29*12,0)</f>
        <v>0</v>
      </c>
      <c r="AL29" s="1733">
        <f>C29*E29*VLOOKUP(K29,'SCR-Diode DATA'!D$7:M$43,10,FALSE)</f>
        <v>405</v>
      </c>
      <c r="AM29" s="507">
        <f>AH29/F29</f>
        <v>1.7146114073700915</v>
      </c>
    </row>
    <row r="30" spans="1:39" ht="18.75">
      <c r="A30" s="1598"/>
      <c r="B30" s="1533"/>
      <c r="C30" s="1600"/>
      <c r="D30" s="1575"/>
      <c r="E30" s="1575"/>
      <c r="F30" s="1611"/>
      <c r="G30" s="1582"/>
      <c r="H30" s="1583"/>
      <c r="I30" s="1594"/>
      <c r="J30" s="1680"/>
      <c r="K30" s="1418"/>
      <c r="L30" s="1419"/>
      <c r="M30" s="1419"/>
      <c r="N30" s="1419"/>
      <c r="O30" s="1412"/>
      <c r="P30" s="1416"/>
      <c r="Q30" s="1416"/>
      <c r="R30" s="1416"/>
      <c r="S30" s="1687"/>
      <c r="T30" s="1624"/>
      <c r="U30" s="1616"/>
      <c r="V30" s="1622"/>
      <c r="W30" s="1602"/>
      <c r="X30" s="1602"/>
      <c r="Y30" s="1602"/>
      <c r="Z30" s="1579"/>
      <c r="AA30" s="1602"/>
      <c r="AB30" s="1588"/>
      <c r="AC30" s="1570"/>
      <c r="AD30" s="1564"/>
      <c r="AE30" s="1634"/>
      <c r="AF30" s="1635"/>
      <c r="AG30" s="1636"/>
      <c r="AH30" s="1742"/>
      <c r="AI30" s="1607"/>
      <c r="AJ30" s="1607"/>
      <c r="AK30" s="1607"/>
      <c r="AL30" s="1733"/>
      <c r="AM30" s="1743"/>
    </row>
    <row r="31" spans="1:39" ht="18.75">
      <c r="A31" s="1598">
        <v>3</v>
      </c>
      <c r="B31" s="1533">
        <f t="shared" si="17"/>
        <v>6</v>
      </c>
      <c r="C31" s="1600">
        <v>1</v>
      </c>
      <c r="D31" s="1575">
        <f>B31/C31</f>
        <v>6</v>
      </c>
      <c r="E31" s="1575">
        <v>3</v>
      </c>
      <c r="F31" s="1611">
        <f>IF(A31=3,3*G31,IF(A31=1,2*G31,IF(A31="bd",1*G31,IF(A31="fwd",1,"Error"))))</f>
        <v>130.45911138529266</v>
      </c>
      <c r="G31" s="1582">
        <f>(-AE31+SQRT(AG31))/2/AD31</f>
        <v>43.486370461764224</v>
      </c>
      <c r="H31" s="1583">
        <f>IF(A31=3,SQRT(3),IF(A31=1,SQRT(2),1))</f>
        <v>1.7320508075688772</v>
      </c>
      <c r="I31" s="1594">
        <f>H31*G31</f>
        <v>75.320603076538092</v>
      </c>
      <c r="J31" s="1680" t="s">
        <v>548</v>
      </c>
      <c r="K31" s="1418" t="s">
        <v>471</v>
      </c>
      <c r="L31" s="1419">
        <v>700</v>
      </c>
      <c r="M31" s="1419">
        <v>1100</v>
      </c>
      <c r="N31" s="1419">
        <v>36500</v>
      </c>
      <c r="O31" s="1412">
        <v>125</v>
      </c>
      <c r="P31" s="1416">
        <v>0.70299999999999996</v>
      </c>
      <c r="Q31" s="1416">
        <v>0.184</v>
      </c>
      <c r="R31" s="1416">
        <v>5.8000000000000003E-2</v>
      </c>
      <c r="S31" s="1687">
        <v>1.7999999999999999E-2</v>
      </c>
      <c r="T31" s="1624">
        <v>6.5</v>
      </c>
      <c r="U31" s="1616" t="s">
        <v>642</v>
      </c>
      <c r="V31" s="1622">
        <f>IF(E31=1,IF(U31="N",LOOKUP(T31,'HS250-DATA'!C$7:C$10,'HS250-DATA'!D$7:D$10),IF(U31="Y",LOOKUP(T31,'HS250-DATA'!C$22:C$25,'HS250-DATA'!D$22:D$25),"FAN?")),IF(U31="N",LOOKUP(T31,'HS250-DATA'!C$14:C$17,'HS250-DATA'!D$14:D$17),IF(U31="Y",LOOKUP(T31,'HS250-DATA'!C$29:C$32,'HS250-DATA'!D$29:D$32),"FAN?")))</f>
        <v>0.33</v>
      </c>
      <c r="W31" s="1602">
        <f>(G31*H31)^2*Q31*10^-3+G31*P31</f>
        <v>31.614785992217911</v>
      </c>
      <c r="X31" s="1602">
        <f>D31*W31</f>
        <v>189.68871595330745</v>
      </c>
      <c r="Y31" s="1602">
        <f>IF(A31=3,W31*6,IF(A31=1,W31*4,W31))</f>
        <v>189.68871595330745</v>
      </c>
      <c r="Z31" s="1579">
        <f>O31-5</f>
        <v>120</v>
      </c>
      <c r="AA31" s="1602">
        <f>D31*W31*V31+AB31</f>
        <v>117.59727626459147</v>
      </c>
      <c r="AB31" s="1588">
        <v>55</v>
      </c>
      <c r="AC31" s="1570"/>
      <c r="AD31" s="1564">
        <f>Q31*10^-3*H31^2</f>
        <v>5.5199999999999986E-4</v>
      </c>
      <c r="AE31" s="1634">
        <f>P31</f>
        <v>0.70299999999999996</v>
      </c>
      <c r="AF31" s="1635">
        <f>(AB31-Z31)/(R31+S31+D31*V31)</f>
        <v>-31.614785992217897</v>
      </c>
      <c r="AG31" s="1636">
        <f>AE31^2-4*AD31*AF31</f>
        <v>0.56401444747081708</v>
      </c>
      <c r="AH31" s="1741">
        <f>SUM(AJ31:AL31)</f>
        <v>991.35</v>
      </c>
      <c r="AI31" s="1607"/>
      <c r="AJ31" s="1733">
        <f>C31*LOOKUP(T31,'HS250-DATA'!C$7:C$10,'HS250-DATA'!F$7:F$10)</f>
        <v>16.350000000000001</v>
      </c>
      <c r="AK31" s="1733">
        <f>IF(U31="Y",C31*12,0)</f>
        <v>0</v>
      </c>
      <c r="AL31" s="1733">
        <f>C31*E31*VLOOKUP(K31,'SCR-Diode DATA'!D$7:M$43,10,FALSE)</f>
        <v>975</v>
      </c>
      <c r="AM31" s="507">
        <f>AH31/F31</f>
        <v>7.5989326423678225</v>
      </c>
    </row>
    <row r="32" spans="1:39" ht="18.75">
      <c r="A32" s="1598">
        <v>3</v>
      </c>
      <c r="B32" s="1533">
        <f t="shared" si="17"/>
        <v>6</v>
      </c>
      <c r="C32" s="1600">
        <v>3</v>
      </c>
      <c r="D32" s="1575">
        <f>B32/C32</f>
        <v>2</v>
      </c>
      <c r="E32" s="1575">
        <v>1</v>
      </c>
      <c r="F32" s="1611">
        <f>IF(A32=3,3*G32,IF(A32=1,2*G32,IF(A32="bd",1*G32,IF(A32="fwd",1,"Error"))))</f>
        <v>314.82334515662558</v>
      </c>
      <c r="G32" s="1582">
        <f>(-AE32+SQRT(AG32))/2/AD32</f>
        <v>104.94111505220853</v>
      </c>
      <c r="H32" s="1583">
        <f>IF(A32=3,SQRT(3),IF(A32=1,SQRT(2),1))</f>
        <v>1.7320508075688772</v>
      </c>
      <c r="I32" s="1594">
        <f>H32*G32</f>
        <v>181.76334307335625</v>
      </c>
      <c r="J32" s="1680" t="s">
        <v>548</v>
      </c>
      <c r="K32" s="1418" t="s">
        <v>471</v>
      </c>
      <c r="L32" s="1419">
        <v>700</v>
      </c>
      <c r="M32" s="1419">
        <v>1100</v>
      </c>
      <c r="N32" s="1419">
        <v>36500</v>
      </c>
      <c r="O32" s="1412">
        <v>125</v>
      </c>
      <c r="P32" s="1416">
        <v>0.70299999999999996</v>
      </c>
      <c r="Q32" s="1416">
        <v>0.184</v>
      </c>
      <c r="R32" s="1416">
        <v>5.8000000000000003E-2</v>
      </c>
      <c r="S32" s="1687">
        <v>1.7999999999999999E-2</v>
      </c>
      <c r="T32" s="1624">
        <v>6.5</v>
      </c>
      <c r="U32" s="1616" t="s">
        <v>642</v>
      </c>
      <c r="V32" s="1622">
        <f>IF(E32=1,IF(U32="N",LOOKUP(T32,'HS250-DATA'!C$7:C$10,'HS250-DATA'!D$7:D$10),IF(U32="Y",LOOKUP(T32,'HS250-DATA'!C$22:C$25,'HS250-DATA'!D$22:D$25),"FAN?")),IF(U32="N",LOOKUP(T32,'HS250-DATA'!C$14:C$17,'HS250-DATA'!D$14:D$17),IF(U32="Y",LOOKUP(T32,'HS250-DATA'!C$29:C$32,'HS250-DATA'!D$29:D$32),"FAN?")))</f>
        <v>0.36899999999999999</v>
      </c>
      <c r="W32" s="1602">
        <f>(G32*H32)^2*Q32*10^-3+G32*P32</f>
        <v>79.852579852579879</v>
      </c>
      <c r="X32" s="1602">
        <f>D32*W32</f>
        <v>159.70515970515976</v>
      </c>
      <c r="Y32" s="1602">
        <f>IF(A32=3,W32*6,IF(A32=1,W32*4,W32))</f>
        <v>479.11547911547927</v>
      </c>
      <c r="Z32" s="1579">
        <f>O32-5</f>
        <v>120</v>
      </c>
      <c r="AA32" s="1602">
        <f>D32*W32*V32+AB32</f>
        <v>113.93120393120395</v>
      </c>
      <c r="AB32" s="1588">
        <v>55</v>
      </c>
      <c r="AC32" s="1570"/>
      <c r="AD32" s="1564">
        <f>Q32*10^-3*H32^2</f>
        <v>5.5199999999999986E-4</v>
      </c>
      <c r="AE32" s="1634">
        <f>P32</f>
        <v>0.70299999999999996</v>
      </c>
      <c r="AF32" s="1635">
        <f>(AB32-Z32)/(R32+S32+D32*V32)</f>
        <v>-79.852579852579865</v>
      </c>
      <c r="AG32" s="1636">
        <f>AE32^2-4*AD32*AF32</f>
        <v>0.67052349631449626</v>
      </c>
      <c r="AH32" s="1741">
        <f>SUM(AJ32:AL32)</f>
        <v>1024.05</v>
      </c>
      <c r="AI32" s="1607"/>
      <c r="AJ32" s="1733">
        <f>C32*LOOKUP(T32,'HS250-DATA'!C$7:C$10,'HS250-DATA'!F$7:F$10)</f>
        <v>49.050000000000004</v>
      </c>
      <c r="AK32" s="1733">
        <f>IF(U32="Y",C32*12,0)</f>
        <v>0</v>
      </c>
      <c r="AL32" s="1733">
        <f>C32*E32*VLOOKUP(K32,'SCR-Diode DATA'!D$7:M$43,10,FALSE)</f>
        <v>975</v>
      </c>
      <c r="AM32" s="507">
        <f>AH32/F32</f>
        <v>3.2527765674128517</v>
      </c>
    </row>
    <row r="33" spans="1:39" ht="18.75">
      <c r="A33" s="1598"/>
      <c r="B33" s="1533"/>
      <c r="C33" s="1600"/>
      <c r="D33" s="1575"/>
      <c r="E33" s="1575"/>
      <c r="F33" s="1611"/>
      <c r="G33" s="1582"/>
      <c r="H33" s="1583"/>
      <c r="I33" s="1594"/>
      <c r="J33" s="1680"/>
      <c r="K33" s="1418"/>
      <c r="L33" s="1419"/>
      <c r="M33" s="1419"/>
      <c r="N33" s="1419"/>
      <c r="O33" s="1412"/>
      <c r="P33" s="1416"/>
      <c r="Q33" s="1416"/>
      <c r="R33" s="1416"/>
      <c r="S33" s="1687"/>
      <c r="T33" s="1624"/>
      <c r="U33" s="1616"/>
      <c r="V33" s="1622"/>
      <c r="W33" s="1602"/>
      <c r="X33" s="1602"/>
      <c r="Y33" s="1602"/>
      <c r="Z33" s="1579"/>
      <c r="AA33" s="1602"/>
      <c r="AB33" s="1588"/>
      <c r="AC33" s="1570"/>
      <c r="AD33" s="1564"/>
      <c r="AE33" s="1634"/>
      <c r="AF33" s="1635"/>
      <c r="AG33" s="1636"/>
      <c r="AH33" s="1742"/>
      <c r="AI33" s="1607"/>
      <c r="AJ33" s="1607"/>
      <c r="AK33" s="1607"/>
      <c r="AL33" s="1733"/>
      <c r="AM33" s="1743"/>
    </row>
    <row r="34" spans="1:39" ht="18.75">
      <c r="A34" s="1598">
        <v>3</v>
      </c>
      <c r="B34" s="1533">
        <f t="shared" si="17"/>
        <v>6</v>
      </c>
      <c r="C34" s="1600">
        <v>1</v>
      </c>
      <c r="D34" s="1575">
        <f>B34/C34</f>
        <v>6</v>
      </c>
      <c r="E34" s="1575">
        <v>6</v>
      </c>
      <c r="F34" s="1611">
        <f>IF(A34=3,3*G34,IF(A34=1,2*G34,IF(A34="bd",1*G34,IF(A34="fwd",1,"Error"))))</f>
        <v>137.40182085917473</v>
      </c>
      <c r="G34" s="1582">
        <f>(-AE34+SQRT(AG34))/2/AD34</f>
        <v>45.800606953058242</v>
      </c>
      <c r="H34" s="1583">
        <f>IF(A34=3,SQRT(3),IF(A34=1,SQRT(2),1))</f>
        <v>1.7320508075688772</v>
      </c>
      <c r="I34" s="1594">
        <f>H34*G34</f>
        <v>79.32897826018926</v>
      </c>
      <c r="J34" s="1680" t="s">
        <v>558</v>
      </c>
      <c r="K34" s="1418" t="s">
        <v>472</v>
      </c>
      <c r="L34" s="1419">
        <v>1500</v>
      </c>
      <c r="M34" s="1419">
        <v>2355</v>
      </c>
      <c r="N34" s="1419">
        <v>62000</v>
      </c>
      <c r="O34" s="1412">
        <v>125</v>
      </c>
      <c r="P34" s="1416">
        <v>0.69099999999999995</v>
      </c>
      <c r="Q34" s="1412">
        <v>0.10199999999999999</v>
      </c>
      <c r="R34" s="1412">
        <v>2.4E-2</v>
      </c>
      <c r="S34" s="1687">
        <v>8.9999999999999993E-3</v>
      </c>
      <c r="T34" s="1624">
        <v>6.5</v>
      </c>
      <c r="U34" s="1616" t="s">
        <v>642</v>
      </c>
      <c r="V34" s="1622">
        <f>IF(E34=1,IF(U34="N",LOOKUP(T34,'HS250-DATA'!C$7:C$10,'HS250-DATA'!D$7:D$10),IF(U34="Y",LOOKUP(T34,'HS250-DATA'!C$22:C$25,'HS250-DATA'!D$22:D$25),"FAN?")),IF(U34="N",LOOKUP(T34,'HS250-DATA'!C$14:C$17,'HS250-DATA'!D$14:D$17),IF(U34="Y",LOOKUP(T34,'HS250-DATA'!C$29:C$32,'HS250-DATA'!D$29:D$32),"FAN?")))</f>
        <v>0.33</v>
      </c>
      <c r="W34" s="1602">
        <f>(G34*H34)^2*Q34*10^-3+G34*P34</f>
        <v>32.29011425732741</v>
      </c>
      <c r="X34" s="1602">
        <f>D34*W34</f>
        <v>193.74068554396445</v>
      </c>
      <c r="Y34" s="1602">
        <f>IF(A34=3,W34*6,IF(A34=1,W34*4,W34))</f>
        <v>193.74068554396445</v>
      </c>
      <c r="Z34" s="1579">
        <f>O34-5</f>
        <v>120</v>
      </c>
      <c r="AA34" s="1602">
        <f>D34*W34*V34+AB34</f>
        <v>118.93442622950826</v>
      </c>
      <c r="AB34" s="1588">
        <v>55</v>
      </c>
      <c r="AC34" s="1570"/>
      <c r="AD34" s="1564">
        <f>Q34*10^-3*H34^2</f>
        <v>3.0599999999999996E-4</v>
      </c>
      <c r="AE34" s="1634">
        <f>P34</f>
        <v>0.69099999999999995</v>
      </c>
      <c r="AF34" s="1635">
        <f>(AB34-Z34)/(R34+S34+D34*V34)</f>
        <v>-32.290114257327375</v>
      </c>
      <c r="AG34" s="1636">
        <f>AE34^2-4*AD34*AF34</f>
        <v>0.51700409985096862</v>
      </c>
      <c r="AH34" s="1741">
        <f>SUM(AJ34:AL34)</f>
        <v>1156.3499999999999</v>
      </c>
      <c r="AI34" s="1607"/>
      <c r="AJ34" s="1733">
        <f>C34*LOOKUP(T34,'HS250-DATA'!C$7:C$10,'HS250-DATA'!F$7:F$10)</f>
        <v>16.350000000000001</v>
      </c>
      <c r="AK34" s="1733">
        <f>IF(U34="Y",C34*12,0)</f>
        <v>0</v>
      </c>
      <c r="AL34" s="1733">
        <f>C34*E34*VLOOKUP(K34,'SCR-Diode DATA'!D$7:M$43,10,FALSE)</f>
        <v>1140</v>
      </c>
      <c r="AM34" s="507">
        <f>AH34/F34</f>
        <v>8.4158273359794915</v>
      </c>
    </row>
    <row r="35" spans="1:39" ht="18.75">
      <c r="A35" s="1598">
        <v>3</v>
      </c>
      <c r="B35" s="1533">
        <f t="shared" si="17"/>
        <v>6</v>
      </c>
      <c r="C35" s="1600">
        <v>2</v>
      </c>
      <c r="D35" s="1575">
        <f>B35/C35</f>
        <v>3</v>
      </c>
      <c r="E35" s="1575">
        <v>3</v>
      </c>
      <c r="F35" s="1611">
        <f>IF(A35=3,3*G35,IF(A35=1,2*G35,IF(A35="bd",1*G35,IF(A35="fwd",1,"Error"))))</f>
        <v>265.45347328006926</v>
      </c>
      <c r="G35" s="1582">
        <f>(-AE35+SQRT(AG35))/2/AD35</f>
        <v>88.484491093356411</v>
      </c>
      <c r="H35" s="1583">
        <f>IF(A35=3,SQRT(3),IF(A35=1,SQRT(2),1))</f>
        <v>1.7320508075688772</v>
      </c>
      <c r="I35" s="1594">
        <f>H35*G35</f>
        <v>153.2596342555691</v>
      </c>
      <c r="J35" s="1680" t="s">
        <v>558</v>
      </c>
      <c r="K35" s="1418" t="s">
        <v>472</v>
      </c>
      <c r="L35" s="1419">
        <v>1500</v>
      </c>
      <c r="M35" s="1419">
        <v>2355</v>
      </c>
      <c r="N35" s="1419">
        <v>62000</v>
      </c>
      <c r="O35" s="1412">
        <v>125</v>
      </c>
      <c r="P35" s="1416">
        <v>0.69099999999999995</v>
      </c>
      <c r="Q35" s="1412">
        <v>0.10199999999999999</v>
      </c>
      <c r="R35" s="1412">
        <v>2.4E-2</v>
      </c>
      <c r="S35" s="1687">
        <v>8.9999999999999993E-3</v>
      </c>
      <c r="T35" s="1624">
        <v>6.5</v>
      </c>
      <c r="U35" s="1616" t="s">
        <v>642</v>
      </c>
      <c r="V35" s="1622">
        <f>IF(E35=1,IF(U35="N",LOOKUP(T35,'HS250-DATA'!C$7:C$10,'HS250-DATA'!D$7:D$10),IF(U35="Y",LOOKUP(T35,'HS250-DATA'!C$22:C$25,'HS250-DATA'!D$22:D$25),"FAN?")),IF(U35="N",LOOKUP(T35,'HS250-DATA'!C$14:C$17,'HS250-DATA'!D$14:D$17),IF(U35="Y",LOOKUP(T35,'HS250-DATA'!C$29:C$32,'HS250-DATA'!D$29:D$32),"FAN?")))</f>
        <v>0.33</v>
      </c>
      <c r="W35" s="1602">
        <f>(G35*H35)^2*Q35*10^-3+G35*P35</f>
        <v>63.538611925708658</v>
      </c>
      <c r="X35" s="1602">
        <f>D35*W35</f>
        <v>190.61583577712597</v>
      </c>
      <c r="Y35" s="1602">
        <f>IF(A35=3,W35*6,IF(A35=1,W35*4,W35))</f>
        <v>381.23167155425193</v>
      </c>
      <c r="Z35" s="1579">
        <f>O35-5</f>
        <v>120</v>
      </c>
      <c r="AA35" s="1602">
        <f>D35*W35*V35+AB35</f>
        <v>117.90322580645157</v>
      </c>
      <c r="AB35" s="1588">
        <v>55</v>
      </c>
      <c r="AC35" s="1570"/>
      <c r="AD35" s="1564">
        <f>Q35*10^-3*H35^2</f>
        <v>3.0599999999999996E-4</v>
      </c>
      <c r="AE35" s="1634">
        <f>P35</f>
        <v>0.69099999999999995</v>
      </c>
      <c r="AF35" s="1635">
        <f>(AB35-Z35)/(R35+S35+D35*V35)</f>
        <v>-63.538611925708707</v>
      </c>
      <c r="AG35" s="1636">
        <f>AE35^2-4*AD35*AF35</f>
        <v>0.55525226099706737</v>
      </c>
      <c r="AH35" s="1741">
        <f>SUM(AJ35:AL35)</f>
        <v>1172.7</v>
      </c>
      <c r="AI35" s="1607"/>
      <c r="AJ35" s="1733">
        <f>C35*LOOKUP(T35,'HS250-DATA'!C$7:C$10,'HS250-DATA'!F$7:F$10)</f>
        <v>32.700000000000003</v>
      </c>
      <c r="AK35" s="1733">
        <f>IF(U35="Y",C35*12,0)</f>
        <v>0</v>
      </c>
      <c r="AL35" s="1733">
        <f>C35*E35*VLOOKUP(K35,'SCR-Diode DATA'!D$7:M$43,10,FALSE)</f>
        <v>1140</v>
      </c>
      <c r="AM35" s="507">
        <f>AH35/F35</f>
        <v>4.4177233226959194</v>
      </c>
    </row>
    <row r="36" spans="1:39" ht="18.75">
      <c r="A36" s="1598">
        <v>3</v>
      </c>
      <c r="B36" s="1533">
        <f t="shared" si="17"/>
        <v>6</v>
      </c>
      <c r="C36" s="1600">
        <v>3</v>
      </c>
      <c r="D36" s="1575">
        <f>B36/C36</f>
        <v>2</v>
      </c>
      <c r="E36" s="1575">
        <v>2</v>
      </c>
      <c r="F36" s="1611">
        <f>IF(A36=3,3*G36,IF(A36=1,2*G36,IF(A36="bd",1*G36,IF(A36="fwd",1,"Error"))))</f>
        <v>385.30059797885565</v>
      </c>
      <c r="G36" s="1582">
        <f>(-AE36+SQRT(AG36))/2/AD36</f>
        <v>128.43353265961855</v>
      </c>
      <c r="H36" s="1583">
        <f>IF(A36=3,SQRT(3),IF(A36=1,SQRT(2),1))</f>
        <v>1.7320508075688772</v>
      </c>
      <c r="I36" s="1594">
        <f>H36*G36</f>
        <v>222.45340396201607</v>
      </c>
      <c r="J36" s="1680" t="s">
        <v>558</v>
      </c>
      <c r="K36" s="1418" t="s">
        <v>472</v>
      </c>
      <c r="L36" s="1419">
        <v>1500</v>
      </c>
      <c r="M36" s="1419">
        <v>2355</v>
      </c>
      <c r="N36" s="1419">
        <v>62000</v>
      </c>
      <c r="O36" s="1412">
        <v>125</v>
      </c>
      <c r="P36" s="1416">
        <v>0.69099999999999995</v>
      </c>
      <c r="Q36" s="1412">
        <v>0.10199999999999999</v>
      </c>
      <c r="R36" s="1412">
        <v>2.4E-2</v>
      </c>
      <c r="S36" s="1687">
        <v>8.9999999999999993E-3</v>
      </c>
      <c r="T36" s="1624">
        <v>6.5</v>
      </c>
      <c r="U36" s="1616" t="s">
        <v>642</v>
      </c>
      <c r="V36" s="1622">
        <f>IF(E36=1,IF(U36="N",LOOKUP(T36,'HS250-DATA'!C$7:C$10,'HS250-DATA'!D$7:D$10),IF(U36="Y",LOOKUP(T36,'HS250-DATA'!C$22:C$25,'HS250-DATA'!D$22:D$25),"FAN?")),IF(U36="N",LOOKUP(T36,'HS250-DATA'!C$14:C$17,'HS250-DATA'!D$14:D$17),IF(U36="Y",LOOKUP(T36,'HS250-DATA'!C$29:C$32,'HS250-DATA'!D$29:D$32),"FAN?")))</f>
        <v>0.33</v>
      </c>
      <c r="W36" s="1602">
        <f>(G36*H36)^2*Q36*10^-3+G36*P36</f>
        <v>93.795093795093777</v>
      </c>
      <c r="X36" s="1602">
        <f>D36*W36</f>
        <v>187.59018759018755</v>
      </c>
      <c r="Y36" s="1602">
        <f>IF(A36=3,W36*6,IF(A36=1,W36*4,W36))</f>
        <v>562.77056277056272</v>
      </c>
      <c r="Z36" s="1579">
        <f>O36-5</f>
        <v>120</v>
      </c>
      <c r="AA36" s="1602">
        <f>D36*W36*V36+AB36</f>
        <v>116.9047619047619</v>
      </c>
      <c r="AB36" s="1588">
        <v>55</v>
      </c>
      <c r="AC36" s="1570"/>
      <c r="AD36" s="1564">
        <f>Q36*10^-3*H36^2</f>
        <v>3.0599999999999996E-4</v>
      </c>
      <c r="AE36" s="1634">
        <f>P36</f>
        <v>0.69099999999999995</v>
      </c>
      <c r="AF36" s="1635">
        <f>(AB36-Z36)/(R36+S36+D36*V36)</f>
        <v>-93.795093795093791</v>
      </c>
      <c r="AG36" s="1636">
        <f>AE36^2-4*AD36*AF36</f>
        <v>0.59228619480519473</v>
      </c>
      <c r="AH36" s="1741">
        <f>SUM(AJ36:AL36)</f>
        <v>1189.05</v>
      </c>
      <c r="AI36" s="1607"/>
      <c r="AJ36" s="1733">
        <f>C36*LOOKUP(T36,'HS250-DATA'!C$7:C$10,'HS250-DATA'!F$7:F$10)</f>
        <v>49.050000000000004</v>
      </c>
      <c r="AK36" s="1733">
        <f>IF(U36="Y",C36*12,0)</f>
        <v>0</v>
      </c>
      <c r="AL36" s="1733">
        <f>C36*E36*VLOOKUP(K36,'SCR-Diode DATA'!D$7:M$43,10,FALSE)</f>
        <v>1140</v>
      </c>
      <c r="AM36" s="507">
        <f>AH36/F36</f>
        <v>3.0860320649314228</v>
      </c>
    </row>
    <row r="37" spans="1:39" ht="18.75">
      <c r="A37" s="1598">
        <v>3</v>
      </c>
      <c r="B37" s="1533">
        <f t="shared" si="17"/>
        <v>6</v>
      </c>
      <c r="C37" s="1600">
        <v>6</v>
      </c>
      <c r="D37" s="1575">
        <f>B37/C37</f>
        <v>1</v>
      </c>
      <c r="E37" s="1575">
        <v>1</v>
      </c>
      <c r="F37" s="1611">
        <f>IF(A37=3,3*G37,IF(A37=1,2*G37,IF(A37="bd",1*G37,IF(A37="fwd",1,"Error"))))</f>
        <v>641.28445710965104</v>
      </c>
      <c r="G37" s="1582">
        <f>(-AE37+SQRT(AG37))/2/AD37</f>
        <v>213.76148570321701</v>
      </c>
      <c r="H37" s="1583">
        <f>IF(A37=3,SQRT(3),IF(A37=1,SQRT(2),1))</f>
        <v>1.7320508075688772</v>
      </c>
      <c r="I37" s="1594">
        <f>H37*G37</f>
        <v>370.24575393937999</v>
      </c>
      <c r="J37" s="1680" t="s">
        <v>558</v>
      </c>
      <c r="K37" s="1418" t="s">
        <v>472</v>
      </c>
      <c r="L37" s="1419">
        <v>1500</v>
      </c>
      <c r="M37" s="1419">
        <v>2355</v>
      </c>
      <c r="N37" s="1419">
        <v>62000</v>
      </c>
      <c r="O37" s="1412">
        <v>125</v>
      </c>
      <c r="P37" s="1416">
        <v>0.69099999999999995</v>
      </c>
      <c r="Q37" s="1412">
        <v>0.10199999999999999</v>
      </c>
      <c r="R37" s="1412">
        <v>2.4E-2</v>
      </c>
      <c r="S37" s="1687">
        <v>8.9999999999999993E-3</v>
      </c>
      <c r="T37" s="1624">
        <v>6.5</v>
      </c>
      <c r="U37" s="1616" t="s">
        <v>642</v>
      </c>
      <c r="V37" s="1622">
        <f>IF(E37=1,IF(U37="N",LOOKUP(T37,'HS250-DATA'!C$7:C$10,'HS250-DATA'!D$7:D$10),IF(U37="Y",LOOKUP(T37,'HS250-DATA'!C$22:C$25,'HS250-DATA'!D$22:D$25),"FAN?")),IF(U37="N",LOOKUP(T37,'HS250-DATA'!C$14:C$17,'HS250-DATA'!D$14:D$17),IF(U37="Y",LOOKUP(T37,'HS250-DATA'!C$29:C$32,'HS250-DATA'!D$29:D$32),"FAN?")))</f>
        <v>0.36899999999999999</v>
      </c>
      <c r="W37" s="1602">
        <f>(G37*H37)^2*Q37*10^-3+G37*P37</f>
        <v>161.6915422885572</v>
      </c>
      <c r="X37" s="1602">
        <f>D37*W37</f>
        <v>161.6915422885572</v>
      </c>
      <c r="Y37" s="1602">
        <f>IF(A37=3,W37*6,IF(A37=1,W37*4,W37))</f>
        <v>970.14925373134315</v>
      </c>
      <c r="Z37" s="1579">
        <f>O37-5</f>
        <v>120</v>
      </c>
      <c r="AA37" s="1602">
        <f>D37*W37*V37+AB37</f>
        <v>114.6641791044776</v>
      </c>
      <c r="AB37" s="1588">
        <v>55</v>
      </c>
      <c r="AC37" s="1570"/>
      <c r="AD37" s="1564">
        <f>Q37*10^-3*H37^2</f>
        <v>3.0599999999999996E-4</v>
      </c>
      <c r="AE37" s="1634">
        <f>P37</f>
        <v>0.69099999999999995</v>
      </c>
      <c r="AF37" s="1635">
        <f>(AB37-Z37)/(R37+S37+D37*V37)</f>
        <v>-161.6915422885572</v>
      </c>
      <c r="AG37" s="1636">
        <f>AE37^2-4*AD37*AF37</f>
        <v>0.67539144776119397</v>
      </c>
      <c r="AH37" s="1741">
        <f>SUM(AJ37:AL37)</f>
        <v>1238.0999999999999</v>
      </c>
      <c r="AI37" s="1607"/>
      <c r="AJ37" s="1733">
        <f>C37*LOOKUP(T37,'HS250-DATA'!C$7:C$10,'HS250-DATA'!F$7:F$10)</f>
        <v>98.100000000000009</v>
      </c>
      <c r="AK37" s="1733">
        <f>IF(U37="Y",C37*12,0)</f>
        <v>0</v>
      </c>
      <c r="AL37" s="1733">
        <f>C37*E37*VLOOKUP(K37,'SCR-Diode DATA'!D$7:M$43,10,FALSE)</f>
        <v>1140</v>
      </c>
      <c r="AM37" s="507">
        <f>AH37/F37</f>
        <v>1.9306564914738007</v>
      </c>
    </row>
    <row r="38" spans="1:39" ht="19.5" thickBot="1">
      <c r="A38" s="1599"/>
      <c r="B38" s="1692"/>
      <c r="C38" s="1601"/>
      <c r="D38" s="1591"/>
      <c r="E38" s="1591"/>
      <c r="F38" s="1662"/>
      <c r="G38" s="1589"/>
      <c r="H38" s="1590"/>
      <c r="I38" s="1595"/>
      <c r="J38" s="1693"/>
      <c r="K38" s="1686"/>
      <c r="L38" s="1685"/>
      <c r="M38" s="1685"/>
      <c r="N38" s="1685"/>
      <c r="O38" s="1684"/>
      <c r="P38" s="1683"/>
      <c r="Q38" s="1683"/>
      <c r="R38" s="1683"/>
      <c r="S38" s="1682"/>
      <c r="T38" s="1569"/>
      <c r="U38" s="1568"/>
      <c r="V38" s="1567"/>
      <c r="W38" s="1605"/>
      <c r="X38" s="1605"/>
      <c r="Y38" s="1605"/>
      <c r="Z38" s="1566"/>
      <c r="AA38" s="1605"/>
      <c r="AB38" s="1592"/>
      <c r="AC38" s="1570"/>
      <c r="AD38" s="1564"/>
      <c r="AE38" s="1634"/>
      <c r="AF38" s="1635"/>
      <c r="AG38" s="1636"/>
      <c r="AH38" s="1744"/>
      <c r="AI38" s="1608"/>
      <c r="AJ38" s="1608"/>
      <c r="AK38" s="1608"/>
      <c r="AL38" s="1745"/>
      <c r="AM38" s="1746"/>
    </row>
    <row r="39" spans="1:39" ht="13.5" thickBot="1"/>
    <row r="40" spans="1:39" ht="24">
      <c r="A40" s="1673">
        <v>3</v>
      </c>
      <c r="B40" s="1327">
        <f>IF(A40=3,6,IF(A40=1,4,IF(A40="bd",1,IF(A40="fwd",1,"Circuit Type"))))</f>
        <v>6</v>
      </c>
      <c r="C40" s="1620">
        <v>1</v>
      </c>
      <c r="D40" s="1609">
        <f t="shared" ref="D40:D45" si="18">B40/C40</f>
        <v>6</v>
      </c>
      <c r="E40" s="1609">
        <v>1</v>
      </c>
      <c r="F40" s="1674">
        <f t="shared" ref="F40:F45" si="19">IF(A40=3,3*G40,IF(A40=1,2*G40,IF(A40="bd",1*G40,IF(A40="fwd",1,"Error"))))</f>
        <v>32.839583894947303</v>
      </c>
      <c r="G40" s="1670">
        <f t="shared" ref="G40:G45" si="20">(-AE40+SQRT(AG40))/2/AD40</f>
        <v>10.946527964982435</v>
      </c>
      <c r="H40" s="1675">
        <f t="shared" ref="H40:H45" si="21">IF(A40=3,SQRT(3),IF(A40=1,SQRT(2),1))</f>
        <v>1.7320508075688772</v>
      </c>
      <c r="I40" s="1676">
        <f t="shared" ref="I40:I45" si="22">H40*G40</f>
        <v>18.959942601823123</v>
      </c>
      <c r="J40" s="1677" t="s">
        <v>539</v>
      </c>
      <c r="K40" s="1584" t="s">
        <v>540</v>
      </c>
      <c r="L40" s="1603">
        <v>42</v>
      </c>
      <c r="M40" s="1603"/>
      <c r="N40" s="1603">
        <v>280</v>
      </c>
      <c r="O40" s="1678">
        <v>125</v>
      </c>
      <c r="P40" s="1585">
        <v>1.1000000000000001</v>
      </c>
      <c r="Q40" s="1679">
        <v>20</v>
      </c>
      <c r="R40" s="1585">
        <v>1.6</v>
      </c>
      <c r="S40" s="1604">
        <v>0.1</v>
      </c>
      <c r="T40" s="1667">
        <v>10</v>
      </c>
      <c r="U40" s="1668" t="s">
        <v>642</v>
      </c>
      <c r="V40" s="1669">
        <f>IF(E40=1,IF(U40="N",LOOKUP(T40,'HS250-DATA'!C$7:C$10,'HS250-DATA'!D$7:D$10),IF(U40="Y",LOOKUP(T40,'HS250-DATA'!C$22:C$25,'HS250-DATA'!D$22:D$25),"FAN?")),IF(U40="N",LOOKUP(T40,'HS250-DATA'!C$14:C$17,'HS250-DATA'!D$14:D$17),IF(U40="Y",LOOKUP(T40,'HS250-DATA'!C$29:C$32,'HS250-DATA'!D$29:D$32),"FAN?")))</f>
        <v>0.28000000000000003</v>
      </c>
      <c r="W40" s="1671">
        <f t="shared" ref="W40:W45" si="23">(G40*H40)^2*Q40*10^-3+G40*P40</f>
        <v>19.230769230769226</v>
      </c>
      <c r="X40" s="1671">
        <f t="shared" ref="X40:X45" si="24">D40*W40</f>
        <v>115.38461538461536</v>
      </c>
      <c r="Y40" s="1671">
        <f t="shared" ref="Y40:Y45" si="25">IF(A40=3,W40*6,IF(A40=1,W40*4,W40))</f>
        <v>115.38461538461536</v>
      </c>
      <c r="Z40" s="1672">
        <f t="shared" ref="Z40:Z45" si="26">O40-5</f>
        <v>120</v>
      </c>
      <c r="AA40" s="1671">
        <f t="shared" ref="AA40:AA45" si="27">D40*W40*V40+AB40</f>
        <v>87.307692307692307</v>
      </c>
      <c r="AB40" s="1610">
        <v>55</v>
      </c>
      <c r="AC40" s="1570"/>
      <c r="AD40" s="1564">
        <f t="shared" ref="AD40:AD45" si="28">Q40*10^-3*H40^2</f>
        <v>5.9999999999999991E-2</v>
      </c>
      <c r="AE40" s="1634">
        <f t="shared" ref="AE40:AE45" si="29">P40</f>
        <v>1.1000000000000001</v>
      </c>
      <c r="AF40" s="1635">
        <f t="shared" ref="AF40:AF45" si="30">(AB40-Z40)/(R40+S40+D40*V40)</f>
        <v>-19.23076923076923</v>
      </c>
      <c r="AG40" s="1636">
        <f t="shared" ref="AG40:AG45" si="31">AE40^2-4*AD40*AF40</f>
        <v>5.8253846153846141</v>
      </c>
      <c r="AH40" s="1747">
        <f t="shared" ref="AH40:AH45" si="32">SUM(AJ40:AL40)</f>
        <v>42.36</v>
      </c>
      <c r="AI40" s="1639"/>
      <c r="AJ40" s="1748">
        <f>C40*LOOKUP(T40,'HS250-DATA'!C$7:C$10,'HS250-DATA'!F$7:F$10)</f>
        <v>19.86</v>
      </c>
      <c r="AK40" s="1748">
        <f t="shared" ref="AK40:AK45" si="33">IF(U40="Y",C40*12,0)</f>
        <v>0</v>
      </c>
      <c r="AL40" s="1748">
        <f>C40*E40*VLOOKUP(K40,'SCR-Diode DATA'!D$7:M$43,10,FALSE)</f>
        <v>22.5</v>
      </c>
      <c r="AM40" s="1749">
        <f t="shared" ref="AM40:AM45" si="34">AH40/F40</f>
        <v>1.2899067215805224</v>
      </c>
    </row>
    <row r="41" spans="1:39" ht="24">
      <c r="A41" s="1598">
        <v>1</v>
      </c>
      <c r="B41" s="1533">
        <f>IF(A41=3,6,IF(A41=1,4,IF(A41="bd",1,IF(A41="fwd",1,"Circuit Type"))))</f>
        <v>4</v>
      </c>
      <c r="C41" s="1600">
        <v>1</v>
      </c>
      <c r="D41" s="1575">
        <f t="shared" si="18"/>
        <v>4</v>
      </c>
      <c r="E41" s="1575">
        <v>1</v>
      </c>
      <c r="F41" s="1611">
        <f t="shared" si="19"/>
        <v>27.828243592283791</v>
      </c>
      <c r="G41" s="1582">
        <f t="shared" si="20"/>
        <v>13.914121796141895</v>
      </c>
      <c r="H41" s="1583">
        <f t="shared" si="21"/>
        <v>1.4142135623730951</v>
      </c>
      <c r="I41" s="1594">
        <f t="shared" si="22"/>
        <v>19.677539752614958</v>
      </c>
      <c r="J41" s="1666" t="s">
        <v>539</v>
      </c>
      <c r="K41" s="1586" t="s">
        <v>540</v>
      </c>
      <c r="L41" s="1578">
        <v>42</v>
      </c>
      <c r="M41" s="1578"/>
      <c r="N41" s="1578">
        <v>280</v>
      </c>
      <c r="O41" s="1580">
        <v>125</v>
      </c>
      <c r="P41" s="1576">
        <v>1.1000000000000001</v>
      </c>
      <c r="Q41" s="1581">
        <v>20</v>
      </c>
      <c r="R41" s="1576">
        <v>1.6</v>
      </c>
      <c r="S41" s="1587">
        <v>0.1</v>
      </c>
      <c r="T41" s="1624">
        <v>10</v>
      </c>
      <c r="U41" s="1616" t="s">
        <v>642</v>
      </c>
      <c r="V41" s="1622">
        <f>IF(E41=1,IF(U41="N",LOOKUP(T41,'HS250-DATA'!C$7:C$10,'HS250-DATA'!D$7:D$10),IF(U41="Y",LOOKUP(T41,'HS250-DATA'!C$22:C$25,'HS250-DATA'!D$22:D$25),"FAN?")),IF(U41="N",LOOKUP(T41,'HS250-DATA'!C$14:C$17,'HS250-DATA'!D$14:D$17),IF(U41="Y",LOOKUP(T41,'HS250-DATA'!C$29:C$32,'HS250-DATA'!D$29:D$32),"FAN?")))</f>
        <v>0.28000000000000003</v>
      </c>
      <c r="W41" s="1602">
        <f t="shared" si="23"/>
        <v>23.049645390070925</v>
      </c>
      <c r="X41" s="1602">
        <f t="shared" si="24"/>
        <v>92.198581560283699</v>
      </c>
      <c r="Y41" s="1602">
        <f t="shared" si="25"/>
        <v>92.198581560283699</v>
      </c>
      <c r="Z41" s="1579">
        <f t="shared" si="26"/>
        <v>120</v>
      </c>
      <c r="AA41" s="1602">
        <f t="shared" si="27"/>
        <v>80.815602836879435</v>
      </c>
      <c r="AB41" s="1588">
        <v>55</v>
      </c>
      <c r="AC41" s="1570"/>
      <c r="AD41" s="1564">
        <f t="shared" si="28"/>
        <v>4.0000000000000008E-2</v>
      </c>
      <c r="AE41" s="1634">
        <f t="shared" si="29"/>
        <v>1.1000000000000001</v>
      </c>
      <c r="AF41" s="1635">
        <f t="shared" si="30"/>
        <v>-23.049645390070921</v>
      </c>
      <c r="AG41" s="1636">
        <f t="shared" si="31"/>
        <v>4.8979432624113484</v>
      </c>
      <c r="AH41" s="1741">
        <f t="shared" si="32"/>
        <v>42.36</v>
      </c>
      <c r="AI41" s="1607"/>
      <c r="AJ41" s="1733">
        <f>C41*LOOKUP(T41,'HS250-DATA'!C$7:C$10,'HS250-DATA'!F$7:F$10)</f>
        <v>19.86</v>
      </c>
      <c r="AK41" s="1733">
        <f t="shared" si="33"/>
        <v>0</v>
      </c>
      <c r="AL41" s="1733">
        <f>C41*E41*VLOOKUP(K41,'SCR-Diode DATA'!D$7:M$43,10,FALSE)</f>
        <v>22.5</v>
      </c>
      <c r="AM41" s="507">
        <f t="shared" si="34"/>
        <v>1.5221945236869197</v>
      </c>
    </row>
    <row r="42" spans="1:39" ht="18.75">
      <c r="A42" s="1598">
        <v>3</v>
      </c>
      <c r="B42" s="1533">
        <f t="shared" ref="B42:B71" si="35">IF(A42=3,6,IF(A42=1,4,IF(A42="bd",1,IF(A42="fwd",1,"Circuit Type"))))</f>
        <v>6</v>
      </c>
      <c r="C42" s="1600">
        <v>1</v>
      </c>
      <c r="D42" s="1575">
        <f t="shared" si="18"/>
        <v>6</v>
      </c>
      <c r="E42" s="1575">
        <v>1</v>
      </c>
      <c r="F42" s="1611">
        <f t="shared" si="19"/>
        <v>46.285166735761194</v>
      </c>
      <c r="G42" s="1582">
        <f t="shared" si="20"/>
        <v>15.428388911920397</v>
      </c>
      <c r="H42" s="1583">
        <f t="shared" si="21"/>
        <v>1.7320508075688772</v>
      </c>
      <c r="I42" s="1594">
        <f t="shared" si="22"/>
        <v>26.722753474378433</v>
      </c>
      <c r="J42" s="1681" t="s">
        <v>542</v>
      </c>
      <c r="K42" s="1417" t="s">
        <v>543</v>
      </c>
      <c r="L42" s="1414">
        <v>68</v>
      </c>
      <c r="M42" s="1414"/>
      <c r="N42" s="1414">
        <v>380</v>
      </c>
      <c r="O42" s="1413">
        <v>125</v>
      </c>
      <c r="P42" s="1413">
        <v>1</v>
      </c>
      <c r="Q42" s="1415">
        <v>10</v>
      </c>
      <c r="R42" s="1413">
        <v>1.1000000000000001</v>
      </c>
      <c r="S42" s="1688">
        <v>0.1</v>
      </c>
      <c r="T42" s="1624">
        <v>10</v>
      </c>
      <c r="U42" s="1616" t="s">
        <v>642</v>
      </c>
      <c r="V42" s="1622">
        <f>IF(E42=1,IF(U42="N",LOOKUP(T42,'HS250-DATA'!C$7:C$10,'HS250-DATA'!D$7:D$10),IF(U42="Y",LOOKUP(T42,'HS250-DATA'!C$22:C$25,'HS250-DATA'!D$22:D$25),"FAN?")),IF(U42="N",LOOKUP(T42,'HS250-DATA'!C$14:C$17,'HS250-DATA'!D$14:D$17),IF(U42="Y",LOOKUP(T42,'HS250-DATA'!C$29:C$32,'HS250-DATA'!D$29:D$32),"FAN?")))</f>
        <v>0.28000000000000003</v>
      </c>
      <c r="W42" s="1602">
        <f t="shared" si="23"/>
        <v>22.569444444444443</v>
      </c>
      <c r="X42" s="1602">
        <f t="shared" si="24"/>
        <v>135.41666666666666</v>
      </c>
      <c r="Y42" s="1602">
        <f t="shared" si="25"/>
        <v>135.41666666666666</v>
      </c>
      <c r="Z42" s="1579">
        <f t="shared" si="26"/>
        <v>120</v>
      </c>
      <c r="AA42" s="1602">
        <f t="shared" si="27"/>
        <v>92.916666666666657</v>
      </c>
      <c r="AB42" s="1588">
        <v>55</v>
      </c>
      <c r="AC42" s="1570"/>
      <c r="AD42" s="1564">
        <f t="shared" si="28"/>
        <v>2.9999999999999995E-2</v>
      </c>
      <c r="AE42" s="1634">
        <f t="shared" si="29"/>
        <v>1</v>
      </c>
      <c r="AF42" s="1635">
        <f t="shared" si="30"/>
        <v>-22.569444444444443</v>
      </c>
      <c r="AG42" s="1636">
        <f t="shared" si="31"/>
        <v>3.7083333333333326</v>
      </c>
      <c r="AH42" s="1741">
        <f t="shared" si="32"/>
        <v>48.66</v>
      </c>
      <c r="AI42" s="1607"/>
      <c r="AJ42" s="1733">
        <f>C42*LOOKUP(T42,'HS250-DATA'!C$7:C$10,'HS250-DATA'!F$7:F$10)</f>
        <v>19.86</v>
      </c>
      <c r="AK42" s="1733">
        <f t="shared" si="33"/>
        <v>0</v>
      </c>
      <c r="AL42" s="1733">
        <f>C42*E42*VLOOKUP(K42,'SCR-Diode DATA'!D$7:M$43,10,FALSE)</f>
        <v>28.8</v>
      </c>
      <c r="AM42" s="507">
        <f t="shared" si="34"/>
        <v>1.0513087330504081</v>
      </c>
    </row>
    <row r="43" spans="1:39" ht="18.75">
      <c r="A43" s="1598">
        <v>1</v>
      </c>
      <c r="B43" s="1533">
        <f t="shared" si="35"/>
        <v>4</v>
      </c>
      <c r="C43" s="1600">
        <v>1</v>
      </c>
      <c r="D43" s="1575">
        <f t="shared" si="18"/>
        <v>4</v>
      </c>
      <c r="E43" s="1575">
        <v>1</v>
      </c>
      <c r="F43" s="1611">
        <f t="shared" si="19"/>
        <v>40.019155049700778</v>
      </c>
      <c r="G43" s="1582">
        <f t="shared" si="20"/>
        <v>20.009577524850389</v>
      </c>
      <c r="H43" s="1583">
        <f t="shared" si="21"/>
        <v>1.4142135623730951</v>
      </c>
      <c r="I43" s="1594">
        <f t="shared" si="22"/>
        <v>28.297815912999287</v>
      </c>
      <c r="J43" s="1681" t="s">
        <v>542</v>
      </c>
      <c r="K43" s="1417" t="s">
        <v>543</v>
      </c>
      <c r="L43" s="1414">
        <v>68</v>
      </c>
      <c r="M43" s="1414"/>
      <c r="N43" s="1414">
        <v>380</v>
      </c>
      <c r="O43" s="1413">
        <v>125</v>
      </c>
      <c r="P43" s="1413">
        <v>1</v>
      </c>
      <c r="Q43" s="1415">
        <v>10</v>
      </c>
      <c r="R43" s="1413">
        <v>1.1000000000000001</v>
      </c>
      <c r="S43" s="1688">
        <v>0.1</v>
      </c>
      <c r="T43" s="1624">
        <v>10</v>
      </c>
      <c r="U43" s="1616" t="s">
        <v>642</v>
      </c>
      <c r="V43" s="1622">
        <f>IF(E43=1,IF(U43="N",LOOKUP(T43,'HS250-DATA'!C$7:C$10,'HS250-DATA'!D$7:D$10),IF(U43="Y",LOOKUP(T43,'HS250-DATA'!C$22:C$25,'HS250-DATA'!D$22:D$25),"FAN?")),IF(U43="N",LOOKUP(T43,'HS250-DATA'!C$14:C$17,'HS250-DATA'!D$14:D$17),IF(U43="Y",LOOKUP(T43,'HS250-DATA'!C$29:C$32,'HS250-DATA'!D$29:D$32),"FAN?")))</f>
        <v>0.28000000000000003</v>
      </c>
      <c r="W43" s="1602">
        <f t="shared" si="23"/>
        <v>28.017241379310345</v>
      </c>
      <c r="X43" s="1602">
        <f t="shared" si="24"/>
        <v>112.06896551724138</v>
      </c>
      <c r="Y43" s="1602">
        <f t="shared" si="25"/>
        <v>112.06896551724138</v>
      </c>
      <c r="Z43" s="1579">
        <f t="shared" si="26"/>
        <v>120</v>
      </c>
      <c r="AA43" s="1602">
        <f t="shared" si="27"/>
        <v>86.379310344827587</v>
      </c>
      <c r="AB43" s="1588">
        <v>55</v>
      </c>
      <c r="AC43" s="1570"/>
      <c r="AD43" s="1564">
        <f t="shared" si="28"/>
        <v>2.0000000000000004E-2</v>
      </c>
      <c r="AE43" s="1634">
        <f t="shared" si="29"/>
        <v>1</v>
      </c>
      <c r="AF43" s="1635">
        <f t="shared" si="30"/>
        <v>-28.017241379310342</v>
      </c>
      <c r="AG43" s="1636">
        <f t="shared" si="31"/>
        <v>3.2413793103448278</v>
      </c>
      <c r="AH43" s="1741">
        <f t="shared" si="32"/>
        <v>48.66</v>
      </c>
      <c r="AI43" s="1607"/>
      <c r="AJ43" s="1733">
        <f>C43*LOOKUP(T43,'HS250-DATA'!C$7:C$10,'HS250-DATA'!F$7:F$10)</f>
        <v>19.86</v>
      </c>
      <c r="AK43" s="1733">
        <f t="shared" si="33"/>
        <v>0</v>
      </c>
      <c r="AL43" s="1733">
        <f>C43*E43*VLOOKUP(K43,'SCR-Diode DATA'!D$7:M$43,10,FALSE)</f>
        <v>28.8</v>
      </c>
      <c r="AM43" s="507">
        <f t="shared" si="34"/>
        <v>1.2159177258882137</v>
      </c>
    </row>
    <row r="44" spans="1:39" ht="18.75">
      <c r="A44" s="1598">
        <v>1</v>
      </c>
      <c r="B44" s="1533">
        <f t="shared" si="35"/>
        <v>4</v>
      </c>
      <c r="C44" s="1600">
        <v>1</v>
      </c>
      <c r="D44" s="1575">
        <f t="shared" si="18"/>
        <v>4</v>
      </c>
      <c r="E44" s="1575">
        <v>1</v>
      </c>
      <c r="F44" s="1611">
        <f t="shared" si="19"/>
        <v>69.00050388392664</v>
      </c>
      <c r="G44" s="1582">
        <f t="shared" si="20"/>
        <v>34.50025194196332</v>
      </c>
      <c r="H44" s="1583">
        <f t="shared" si="21"/>
        <v>1.4142135623730951</v>
      </c>
      <c r="I44" s="1594">
        <f t="shared" si="22"/>
        <v>48.790724201613244</v>
      </c>
      <c r="J44" s="1680" t="s">
        <v>545</v>
      </c>
      <c r="K44" s="1417" t="s">
        <v>503</v>
      </c>
      <c r="L44" s="1414">
        <v>125</v>
      </c>
      <c r="M44" s="1414"/>
      <c r="N44" s="1414">
        <v>1950</v>
      </c>
      <c r="O44" s="1413">
        <v>125</v>
      </c>
      <c r="P44" s="1413">
        <v>0.86</v>
      </c>
      <c r="Q44" s="1415">
        <v>5.5</v>
      </c>
      <c r="R44" s="1413">
        <v>0.3</v>
      </c>
      <c r="S44" s="1688">
        <v>0.1</v>
      </c>
      <c r="T44" s="1624">
        <v>10</v>
      </c>
      <c r="U44" s="1616" t="s">
        <v>642</v>
      </c>
      <c r="V44" s="1622">
        <f>IF(E44=1,IF(U44="N",LOOKUP(T44,'HS250-DATA'!C$7:C$10,'HS250-DATA'!D$7:D$10),IF(U44="Y",LOOKUP(T44,'HS250-DATA'!C$22:C$25,'HS250-DATA'!D$22:D$25),"FAN?")),IF(U44="N",LOOKUP(T44,'HS250-DATA'!C$14:C$17,'HS250-DATA'!D$14:D$17),IF(U44="Y",LOOKUP(T44,'HS250-DATA'!C$29:C$32,'HS250-DATA'!D$29:D$32),"FAN?")))</f>
        <v>0.28000000000000003</v>
      </c>
      <c r="W44" s="1602">
        <f t="shared" si="23"/>
        <v>42.763157894736835</v>
      </c>
      <c r="X44" s="1602">
        <f t="shared" si="24"/>
        <v>171.05263157894734</v>
      </c>
      <c r="Y44" s="1602">
        <f t="shared" si="25"/>
        <v>171.05263157894734</v>
      </c>
      <c r="Z44" s="1579">
        <f t="shared" si="26"/>
        <v>120</v>
      </c>
      <c r="AA44" s="1602">
        <f t="shared" si="27"/>
        <v>102.89473684210526</v>
      </c>
      <c r="AB44" s="1588">
        <v>55</v>
      </c>
      <c r="AC44" s="1570"/>
      <c r="AD44" s="1564">
        <f t="shared" si="28"/>
        <v>1.1000000000000001E-2</v>
      </c>
      <c r="AE44" s="1634">
        <f t="shared" si="29"/>
        <v>0.86</v>
      </c>
      <c r="AF44" s="1635">
        <f t="shared" si="30"/>
        <v>-42.763157894736842</v>
      </c>
      <c r="AG44" s="1636">
        <f t="shared" si="31"/>
        <v>2.6211789473684211</v>
      </c>
      <c r="AH44" s="1741">
        <f t="shared" si="32"/>
        <v>43.8</v>
      </c>
      <c r="AI44" s="1607"/>
      <c r="AJ44" s="1733">
        <f>C44*LOOKUP(T44,'HS250-DATA'!C$7:C$10,'HS250-DATA'!F$7:F$10)</f>
        <v>19.86</v>
      </c>
      <c r="AK44" s="1733">
        <f t="shared" si="33"/>
        <v>0</v>
      </c>
      <c r="AL44" s="1733">
        <f>C44*E44*VLOOKUP(K44,'SCR-Diode DATA'!D$7:M$43,10,FALSE)</f>
        <v>23.94</v>
      </c>
      <c r="AM44" s="507">
        <f t="shared" si="34"/>
        <v>0.634777973124382</v>
      </c>
    </row>
    <row r="45" spans="1:39" ht="18.75">
      <c r="A45" s="1598">
        <v>3</v>
      </c>
      <c r="B45" s="1533">
        <f t="shared" si="35"/>
        <v>6</v>
      </c>
      <c r="C45" s="1600">
        <v>1</v>
      </c>
      <c r="D45" s="1575">
        <f t="shared" si="18"/>
        <v>6</v>
      </c>
      <c r="E45" s="1575">
        <v>1</v>
      </c>
      <c r="F45" s="1611">
        <f t="shared" si="19"/>
        <v>73.995220952439595</v>
      </c>
      <c r="G45" s="1582">
        <f t="shared" si="20"/>
        <v>24.665073650813198</v>
      </c>
      <c r="H45" s="1583">
        <f t="shared" si="21"/>
        <v>1.7320508075688772</v>
      </c>
      <c r="I45" s="1594">
        <f t="shared" si="22"/>
        <v>42.721160735636836</v>
      </c>
      <c r="J45" s="1680" t="s">
        <v>542</v>
      </c>
      <c r="K45" s="1417" t="s">
        <v>326</v>
      </c>
      <c r="L45" s="1414">
        <v>170</v>
      </c>
      <c r="M45" s="1423"/>
      <c r="N45" s="1414">
        <v>1950</v>
      </c>
      <c r="O45" s="1413">
        <v>125</v>
      </c>
      <c r="P45" s="1413">
        <v>0.86</v>
      </c>
      <c r="Q45" s="1415">
        <v>5.5</v>
      </c>
      <c r="R45" s="1413">
        <v>0.3</v>
      </c>
      <c r="S45" s="1688">
        <v>0.1</v>
      </c>
      <c r="T45" s="1624">
        <v>10</v>
      </c>
      <c r="U45" s="1616" t="s">
        <v>642</v>
      </c>
      <c r="V45" s="1622">
        <f>IF(E45=1,IF(U45="N",LOOKUP(T45,'HS250-DATA'!C$7:C$10,'HS250-DATA'!D$7:D$10),IF(U45="Y",LOOKUP(T45,'HS250-DATA'!C$22:C$25,'HS250-DATA'!D$22:D$25),"FAN?")),IF(U45="N",LOOKUP(T45,'HS250-DATA'!C$14:C$17,'HS250-DATA'!D$14:D$17),IF(U45="Y",LOOKUP(T45,'HS250-DATA'!C$29:C$32,'HS250-DATA'!D$29:D$32),"FAN?")))</f>
        <v>0.28000000000000003</v>
      </c>
      <c r="W45" s="1602">
        <f t="shared" si="23"/>
        <v>31.250000000000004</v>
      </c>
      <c r="X45" s="1602">
        <f t="shared" si="24"/>
        <v>187.50000000000003</v>
      </c>
      <c r="Y45" s="1602">
        <f t="shared" si="25"/>
        <v>187.50000000000003</v>
      </c>
      <c r="Z45" s="1579">
        <f t="shared" si="26"/>
        <v>120</v>
      </c>
      <c r="AA45" s="1602">
        <f t="shared" si="27"/>
        <v>107.50000000000001</v>
      </c>
      <c r="AB45" s="1588">
        <v>55</v>
      </c>
      <c r="AC45" s="1570"/>
      <c r="AD45" s="1564">
        <f t="shared" si="28"/>
        <v>1.6499999999999997E-2</v>
      </c>
      <c r="AE45" s="1634">
        <f t="shared" si="29"/>
        <v>0.86</v>
      </c>
      <c r="AF45" s="1635">
        <f t="shared" si="30"/>
        <v>-31.25</v>
      </c>
      <c r="AG45" s="1636">
        <f t="shared" si="31"/>
        <v>2.8020999999999994</v>
      </c>
      <c r="AH45" s="1741">
        <f t="shared" si="32"/>
        <v>50.730000000000004</v>
      </c>
      <c r="AI45" s="1607"/>
      <c r="AJ45" s="1733">
        <f>C45*LOOKUP(T45,'HS250-DATA'!C$7:C$10,'HS250-DATA'!F$7:F$10)</f>
        <v>19.86</v>
      </c>
      <c r="AK45" s="1733">
        <f t="shared" si="33"/>
        <v>0</v>
      </c>
      <c r="AL45" s="1733">
        <f>C45*E45*VLOOKUP(K45,'SCR-Diode DATA'!D$7:M$43,10,FALSE)</f>
        <v>30.87</v>
      </c>
      <c r="AM45" s="507">
        <f t="shared" si="34"/>
        <v>0.68558481678981265</v>
      </c>
    </row>
    <row r="46" spans="1:39" ht="11.25" customHeight="1">
      <c r="A46" s="1598"/>
      <c r="B46" s="1533"/>
      <c r="C46" s="1600"/>
      <c r="D46" s="1575"/>
      <c r="E46" s="1575"/>
      <c r="F46" s="1611"/>
      <c r="G46" s="1582"/>
      <c r="H46" s="1583"/>
      <c r="I46" s="1594"/>
      <c r="J46" s="1680"/>
      <c r="K46" s="1417"/>
      <c r="L46" s="1414"/>
      <c r="M46" s="1423"/>
      <c r="N46" s="1414"/>
      <c r="O46" s="1413"/>
      <c r="P46" s="1413"/>
      <c r="Q46" s="1415"/>
      <c r="R46" s="1413"/>
      <c r="S46" s="1688"/>
      <c r="T46" s="1624"/>
      <c r="U46" s="1616"/>
      <c r="V46" s="1622"/>
      <c r="W46" s="1602"/>
      <c r="X46" s="1602"/>
      <c r="Y46" s="1602"/>
      <c r="Z46" s="1579"/>
      <c r="AA46" s="1602"/>
      <c r="AB46" s="1588"/>
      <c r="AC46" s="1570"/>
      <c r="AD46" s="1564"/>
      <c r="AE46" s="1634"/>
      <c r="AF46" s="1635"/>
      <c r="AG46" s="1636"/>
      <c r="AH46" s="1742"/>
      <c r="AI46" s="1607"/>
      <c r="AJ46" s="1607"/>
      <c r="AK46" s="1607"/>
      <c r="AL46" s="1733"/>
      <c r="AM46" s="494"/>
    </row>
    <row r="47" spans="1:39" ht="18.75">
      <c r="A47" s="1598">
        <v>3</v>
      </c>
      <c r="B47" s="1533">
        <f t="shared" si="35"/>
        <v>6</v>
      </c>
      <c r="C47" s="1600">
        <v>1</v>
      </c>
      <c r="D47" s="1575">
        <f>B47/C47</f>
        <v>6</v>
      </c>
      <c r="E47" s="1575">
        <v>3</v>
      </c>
      <c r="F47" s="1611">
        <f>IF(A47=3,3*G47,IF(A47=1,2*G47,IF(A47="bd",1*G47,IF(A47="fwd",1,"Error"))))</f>
        <v>93.194992040260701</v>
      </c>
      <c r="G47" s="1582">
        <f>(-AE47+SQRT(AG47))/2/AD47</f>
        <v>31.064997346753568</v>
      </c>
      <c r="H47" s="1583">
        <f>IF(A47=3,SQRT(3),IF(A47=1,SQRT(2),1))</f>
        <v>1.7320508075688772</v>
      </c>
      <c r="I47" s="1594">
        <f>H47*G47</f>
        <v>53.806153741569545</v>
      </c>
      <c r="J47" s="1680" t="s">
        <v>548</v>
      </c>
      <c r="K47" s="1418" t="s">
        <v>549</v>
      </c>
      <c r="L47" s="1419">
        <v>90</v>
      </c>
      <c r="M47" s="1419">
        <v>150</v>
      </c>
      <c r="N47" s="1419">
        <v>1950</v>
      </c>
      <c r="O47" s="1412">
        <v>125</v>
      </c>
      <c r="P47" s="1416">
        <v>0.9</v>
      </c>
      <c r="Q47" s="1416">
        <v>2</v>
      </c>
      <c r="R47" s="1416">
        <v>0.28000000000000003</v>
      </c>
      <c r="S47" s="1687">
        <v>0.2</v>
      </c>
      <c r="T47" s="1624">
        <v>10</v>
      </c>
      <c r="U47" s="1616" t="s">
        <v>642</v>
      </c>
      <c r="V47" s="1622">
        <f>IF(E47=1,IF(U47="N",LOOKUP(T47,'HS250-DATA'!C$7:C$10,'HS250-DATA'!D$7:D$10),IF(U47="Y",LOOKUP(T47,'HS250-DATA'!C$22:C$25,'HS250-DATA'!D$22:D$25),"FAN?")),IF(U47="N",LOOKUP(T47,'HS250-DATA'!C$14:C$17,'HS250-DATA'!D$14:D$17),IF(U47="Y",LOOKUP(T47,'HS250-DATA'!C$29:C$32,'HS250-DATA'!D$29:D$32),"FAN?")))</f>
        <v>0.24099999999999999</v>
      </c>
      <c r="W47" s="1602">
        <f>(G47*H47)^2*Q47*10^-3+G47*P47</f>
        <v>33.748701973001047</v>
      </c>
      <c r="X47" s="1602">
        <f>D47*W47</f>
        <v>202.49221183800628</v>
      </c>
      <c r="Y47" s="1602">
        <f>IF(A47=3,W47*6,IF(A47=1,W47*4,W47))</f>
        <v>202.49221183800628</v>
      </c>
      <c r="Z47" s="1579">
        <f>O47-5</f>
        <v>120</v>
      </c>
      <c r="AA47" s="1602">
        <f>D47*W47*V47+AB47</f>
        <v>103.80062305295951</v>
      </c>
      <c r="AB47" s="1588">
        <v>55</v>
      </c>
      <c r="AC47" s="1570"/>
      <c r="AD47" s="1564">
        <f>Q47*10^-3*H47^2</f>
        <v>5.9999999999999993E-3</v>
      </c>
      <c r="AE47" s="1634">
        <f>P47</f>
        <v>0.9</v>
      </c>
      <c r="AF47" s="1635">
        <f>(AB47-Z47)/(R47+S47+D47*V47)</f>
        <v>-33.74870197300104</v>
      </c>
      <c r="AG47" s="1636">
        <f>AE47^2-4*AD47*AF47</f>
        <v>1.6199688473520251</v>
      </c>
      <c r="AH47" s="1741">
        <f>SUM(AJ47:AL47)</f>
        <v>58.86</v>
      </c>
      <c r="AI47" s="1607"/>
      <c r="AJ47" s="1733">
        <f>C47*LOOKUP(T47,'HS250-DATA'!C$7:C$10,'HS250-DATA'!F$7:F$10)</f>
        <v>19.86</v>
      </c>
      <c r="AK47" s="1733">
        <f>IF(U47="Y",C47*12,0)</f>
        <v>0</v>
      </c>
      <c r="AL47" s="1733">
        <f>C47*E47*VLOOKUP(K47,'SCR-Diode DATA'!D$7:M$43,10,FALSE)</f>
        <v>39</v>
      </c>
      <c r="AM47" s="507">
        <f>AH47/F47</f>
        <v>0.6315790013112742</v>
      </c>
    </row>
    <row r="48" spans="1:39" ht="18.75">
      <c r="A48" s="1598">
        <v>3</v>
      </c>
      <c r="B48" s="1533">
        <f t="shared" si="35"/>
        <v>6</v>
      </c>
      <c r="C48" s="1600">
        <v>3</v>
      </c>
      <c r="D48" s="1575">
        <f>B48/C48</f>
        <v>2</v>
      </c>
      <c r="E48" s="1575">
        <v>1</v>
      </c>
      <c r="F48" s="1611">
        <f>IF(A48=3,3*G48,IF(A48=1,2*G48,IF(A48="bd",1*G48,IF(A48="fwd",1,"Error"))))</f>
        <v>154.96710383926657</v>
      </c>
      <c r="G48" s="1582">
        <f>(-AE48+SQRT(AG48))/2/AD48</f>
        <v>51.655701279755526</v>
      </c>
      <c r="H48" s="1583">
        <f>IF(A48=3,SQRT(3),IF(A48=1,SQRT(2),1))</f>
        <v>1.7320508075688772</v>
      </c>
      <c r="I48" s="1594">
        <f>H48*G48</f>
        <v>89.470299117137245</v>
      </c>
      <c r="J48" s="1680" t="s">
        <v>548</v>
      </c>
      <c r="K48" s="1418" t="s">
        <v>549</v>
      </c>
      <c r="L48" s="1419">
        <v>90</v>
      </c>
      <c r="M48" s="1419">
        <v>150</v>
      </c>
      <c r="N48" s="1419">
        <v>1950</v>
      </c>
      <c r="O48" s="1412">
        <v>125</v>
      </c>
      <c r="P48" s="1416">
        <v>0.9</v>
      </c>
      <c r="Q48" s="1416">
        <v>2</v>
      </c>
      <c r="R48" s="1416">
        <v>0.28000000000000003</v>
      </c>
      <c r="S48" s="1687">
        <v>0.2</v>
      </c>
      <c r="T48" s="1624">
        <v>10</v>
      </c>
      <c r="U48" s="1616" t="s">
        <v>642</v>
      </c>
      <c r="V48" s="1622">
        <f>IF(E48=1,IF(U48="N",LOOKUP(T48,'HS250-DATA'!C$7:C$10,'HS250-DATA'!D$7:D$10),IF(U48="Y",LOOKUP(T48,'HS250-DATA'!C$22:C$25,'HS250-DATA'!D$22:D$25),"FAN?")),IF(U48="N",LOOKUP(T48,'HS250-DATA'!C$14:C$17,'HS250-DATA'!D$14:D$17),IF(U48="Y",LOOKUP(T48,'HS250-DATA'!C$29:C$32,'HS250-DATA'!D$29:D$32),"FAN?")))</f>
        <v>0.28000000000000003</v>
      </c>
      <c r="W48" s="1602">
        <f>(G48*H48)^2*Q48*10^-3+G48*P48</f>
        <v>62.5</v>
      </c>
      <c r="X48" s="1602">
        <f>D48*W48</f>
        <v>125</v>
      </c>
      <c r="Y48" s="1602">
        <f>IF(A48=3,W48*6,IF(A48=1,W48*4,W48))</f>
        <v>375</v>
      </c>
      <c r="Z48" s="1579">
        <f>O48-5</f>
        <v>120</v>
      </c>
      <c r="AA48" s="1602">
        <f>D48*W48*V48+AB48</f>
        <v>90</v>
      </c>
      <c r="AB48" s="1588">
        <v>55</v>
      </c>
      <c r="AC48" s="1570"/>
      <c r="AD48" s="1564">
        <f>Q48*10^-3*H48^2</f>
        <v>5.9999999999999993E-3</v>
      </c>
      <c r="AE48" s="1634">
        <f>P48</f>
        <v>0.9</v>
      </c>
      <c r="AF48" s="1635">
        <f>(AB48-Z48)/(R48+S48+D48*V48)</f>
        <v>-62.5</v>
      </c>
      <c r="AG48" s="1636">
        <f>AE48^2-4*AD48*AF48</f>
        <v>2.3099999999999996</v>
      </c>
      <c r="AH48" s="1741">
        <f>SUM(AJ48:AL48)</f>
        <v>98.58</v>
      </c>
      <c r="AI48" s="1607"/>
      <c r="AJ48" s="1733">
        <f>C48*LOOKUP(T48,'HS250-DATA'!C$7:C$10,'HS250-DATA'!F$7:F$10)</f>
        <v>59.58</v>
      </c>
      <c r="AK48" s="1733">
        <f>IF(U48="Y",C48*12,0)</f>
        <v>0</v>
      </c>
      <c r="AL48" s="1733">
        <f>C48*E48*VLOOKUP(K48,'SCR-Diode DATA'!D$7:M$43,10,FALSE)</f>
        <v>39</v>
      </c>
      <c r="AM48" s="507">
        <f>AH48/F48</f>
        <v>0.63613500902906572</v>
      </c>
    </row>
    <row r="49" spans="1:39" ht="18.75">
      <c r="A49" s="1598">
        <v>1</v>
      </c>
      <c r="B49" s="1533">
        <f t="shared" si="35"/>
        <v>4</v>
      </c>
      <c r="C49" s="1600">
        <v>1</v>
      </c>
      <c r="D49" s="1575">
        <f>B49/C49</f>
        <v>4</v>
      </c>
      <c r="E49" s="1575">
        <v>2</v>
      </c>
      <c r="F49" s="1611">
        <f>IF(A49=3,3*G49,IF(A49=1,2*G49,IF(A49="bd",1*G49,IF(A49="fwd",1,"Error"))))</f>
        <v>84.255315905017952</v>
      </c>
      <c r="G49" s="1582">
        <f>(-AE49+SQRT(AG49))/2/AD49</f>
        <v>42.127657952508976</v>
      </c>
      <c r="H49" s="1583">
        <f>IF(A49=3,SQRT(3),IF(A49=1,SQRT(2),1))</f>
        <v>1.4142135623730951</v>
      </c>
      <c r="I49" s="1594">
        <f>H49*G49</f>
        <v>59.577505227452967</v>
      </c>
      <c r="J49" s="1680" t="s">
        <v>552</v>
      </c>
      <c r="K49" s="1418" t="s">
        <v>553</v>
      </c>
      <c r="L49" s="1419">
        <v>90</v>
      </c>
      <c r="M49" s="1419">
        <v>150</v>
      </c>
      <c r="N49" s="1419">
        <v>1950</v>
      </c>
      <c r="O49" s="1412">
        <v>125</v>
      </c>
      <c r="P49" s="1416">
        <v>0.9</v>
      </c>
      <c r="Q49" s="1416">
        <v>2</v>
      </c>
      <c r="R49" s="1416">
        <v>0.28000000000000003</v>
      </c>
      <c r="S49" s="1687">
        <v>0.2</v>
      </c>
      <c r="T49" s="1624">
        <v>10</v>
      </c>
      <c r="U49" s="1616" t="s">
        <v>642</v>
      </c>
      <c r="V49" s="1622">
        <f>IF(E49=1,IF(U49="N",LOOKUP(T49,'HS250-DATA'!C$7:C$10,'HS250-DATA'!D$7:D$10),IF(U49="Y",LOOKUP(T49,'HS250-DATA'!C$22:C$25,'HS250-DATA'!D$22:D$25),"FAN?")),IF(U49="N",LOOKUP(T49,'HS250-DATA'!C$14:C$17,'HS250-DATA'!D$14:D$17),IF(U49="Y",LOOKUP(T49,'HS250-DATA'!C$29:C$32,'HS250-DATA'!D$29:D$32),"FAN?")))</f>
        <v>0.24099999999999999</v>
      </c>
      <c r="W49" s="1602">
        <f>(G49*H49)^2*Q49*10^-3+G49*P49</f>
        <v>45.013850415512451</v>
      </c>
      <c r="X49" s="1602">
        <f>D49*W49</f>
        <v>180.0554016620498</v>
      </c>
      <c r="Y49" s="1602">
        <f>IF(A49=3,W49*6,IF(A49=1,W49*4,W49))</f>
        <v>180.0554016620498</v>
      </c>
      <c r="Z49" s="1579">
        <f>O49-5</f>
        <v>120</v>
      </c>
      <c r="AA49" s="1602">
        <f>D49*W49*V49+AB49</f>
        <v>98.393351800554001</v>
      </c>
      <c r="AB49" s="1588">
        <v>55</v>
      </c>
      <c r="AC49" s="1570"/>
      <c r="AD49" s="1564">
        <f>Q49*10^-3*H49^2</f>
        <v>4.000000000000001E-3</v>
      </c>
      <c r="AE49" s="1634">
        <f>P49</f>
        <v>0.9</v>
      </c>
      <c r="AF49" s="1635">
        <f>(AB49-Z49)/(R49+S49+D49*V49)</f>
        <v>-45.013850415512465</v>
      </c>
      <c r="AG49" s="1636">
        <f>AE49^2-4*AD49*AF49</f>
        <v>1.5302216066481997</v>
      </c>
      <c r="AH49" s="1741">
        <f>SUM(AJ49:AL49)</f>
        <v>45.86</v>
      </c>
      <c r="AI49" s="1607"/>
      <c r="AJ49" s="1733">
        <f>C49*LOOKUP(T49,'HS250-DATA'!C$7:C$10,'HS250-DATA'!F$7:F$10)</f>
        <v>19.86</v>
      </c>
      <c r="AK49" s="1733">
        <f>IF(U49="Y",C49*12,0)</f>
        <v>0</v>
      </c>
      <c r="AL49" s="1733">
        <f>C49*E49*VLOOKUP(K49,'SCR-Diode DATA'!D$7:M$43,10,FALSE)</f>
        <v>26</v>
      </c>
      <c r="AM49" s="507">
        <f>AH49/F49</f>
        <v>0.54429800075402412</v>
      </c>
    </row>
    <row r="50" spans="1:39" ht="18.75">
      <c r="A50" s="1598">
        <v>1</v>
      </c>
      <c r="B50" s="1533">
        <f t="shared" si="35"/>
        <v>4</v>
      </c>
      <c r="C50" s="1600">
        <v>2</v>
      </c>
      <c r="D50" s="1575">
        <f>B50/C50</f>
        <v>2</v>
      </c>
      <c r="E50" s="1575">
        <v>1</v>
      </c>
      <c r="F50" s="1611">
        <f>IF(A50=3,3*G50,IF(A50=1,2*G50,IF(A50="bd",1*G50,IF(A50="fwd",1,"Error"))))</f>
        <v>111.34060117684275</v>
      </c>
      <c r="G50" s="1582">
        <f>(-AE50+SQRT(AG50))/2/AD50</f>
        <v>55.670300588421377</v>
      </c>
      <c r="H50" s="1583">
        <f>IF(A50=3,SQRT(3),IF(A50=1,SQRT(2),1))</f>
        <v>1.4142135623730951</v>
      </c>
      <c r="I50" s="1594">
        <f>H50*G50</f>
        <v>78.729694113532403</v>
      </c>
      <c r="J50" s="1680" t="s">
        <v>552</v>
      </c>
      <c r="K50" s="1418" t="s">
        <v>553</v>
      </c>
      <c r="L50" s="1419">
        <v>90</v>
      </c>
      <c r="M50" s="1419">
        <v>150</v>
      </c>
      <c r="N50" s="1419">
        <v>1950</v>
      </c>
      <c r="O50" s="1412">
        <v>125</v>
      </c>
      <c r="P50" s="1416">
        <v>0.9</v>
      </c>
      <c r="Q50" s="1416">
        <v>2</v>
      </c>
      <c r="R50" s="1416">
        <v>0.28000000000000003</v>
      </c>
      <c r="S50" s="1687">
        <v>0.2</v>
      </c>
      <c r="T50" s="1624">
        <v>10</v>
      </c>
      <c r="U50" s="1616" t="s">
        <v>642</v>
      </c>
      <c r="V50" s="1622">
        <f>IF(E50=1,IF(U50="N",LOOKUP(T50,'HS250-DATA'!C$7:C$10,'HS250-DATA'!D$7:D$10),IF(U50="Y",LOOKUP(T50,'HS250-DATA'!C$22:C$25,'HS250-DATA'!D$22:D$25),"FAN?")),IF(U50="N",LOOKUP(T50,'HS250-DATA'!C$14:C$17,'HS250-DATA'!D$14:D$17),IF(U50="Y",LOOKUP(T50,'HS250-DATA'!C$29:C$32,'HS250-DATA'!D$29:D$32),"FAN?")))</f>
        <v>0.28000000000000003</v>
      </c>
      <c r="W50" s="1602">
        <f>(G50*H50)^2*Q50*10^-3+G50*P50</f>
        <v>62.5</v>
      </c>
      <c r="X50" s="1602">
        <f>D50*W50</f>
        <v>125</v>
      </c>
      <c r="Y50" s="1602">
        <f>IF(A50=3,W50*6,IF(A50=1,W50*4,W50))</f>
        <v>250</v>
      </c>
      <c r="Z50" s="1579">
        <f>O50-5</f>
        <v>120</v>
      </c>
      <c r="AA50" s="1602">
        <f>D50*W50*V50+AB50</f>
        <v>90</v>
      </c>
      <c r="AB50" s="1588">
        <v>55</v>
      </c>
      <c r="AC50" s="1570"/>
      <c r="AD50" s="1564">
        <f>Q50*10^-3*H50^2</f>
        <v>4.000000000000001E-3</v>
      </c>
      <c r="AE50" s="1634">
        <f>P50</f>
        <v>0.9</v>
      </c>
      <c r="AF50" s="1635">
        <f>(AB50-Z50)/(R50+S50+D50*V50)</f>
        <v>-62.5</v>
      </c>
      <c r="AG50" s="1636">
        <f>AE50^2-4*AD50*AF50</f>
        <v>1.8100000000000003</v>
      </c>
      <c r="AH50" s="1741">
        <f>SUM(AJ50:AL50)</f>
        <v>65.72</v>
      </c>
      <c r="AI50" s="1607"/>
      <c r="AJ50" s="1733">
        <f>C50*LOOKUP(T50,'HS250-DATA'!C$7:C$10,'HS250-DATA'!F$7:F$10)</f>
        <v>39.72</v>
      </c>
      <c r="AK50" s="1733">
        <f>IF(U50="Y",C50*12,0)</f>
        <v>0</v>
      </c>
      <c r="AL50" s="1733">
        <f>C50*E50*VLOOKUP(K50,'SCR-Diode DATA'!D$7:M$43,10,FALSE)</f>
        <v>26</v>
      </c>
      <c r="AM50" s="507">
        <f>AH50/F50</f>
        <v>0.59026086894947372</v>
      </c>
    </row>
    <row r="51" spans="1:39" ht="18.75">
      <c r="A51" s="1598"/>
      <c r="B51" s="1533"/>
      <c r="C51" s="1600"/>
      <c r="D51" s="1575"/>
      <c r="E51" s="1575"/>
      <c r="F51" s="1611"/>
      <c r="G51" s="1582"/>
      <c r="H51" s="1583"/>
      <c r="I51" s="1594"/>
      <c r="J51" s="1680"/>
      <c r="K51" s="1418"/>
      <c r="L51" s="1419"/>
      <c r="M51" s="1419"/>
      <c r="N51" s="1419"/>
      <c r="O51" s="1412"/>
      <c r="P51" s="1416"/>
      <c r="Q51" s="1416"/>
      <c r="R51" s="1416"/>
      <c r="S51" s="1687"/>
      <c r="T51" s="1624"/>
      <c r="U51" s="1616"/>
      <c r="V51" s="1622"/>
      <c r="W51" s="1602"/>
      <c r="X51" s="1602"/>
      <c r="Y51" s="1602"/>
      <c r="Z51" s="1579"/>
      <c r="AA51" s="1602"/>
      <c r="AB51" s="1588"/>
      <c r="AC51" s="1570"/>
      <c r="AD51" s="1564"/>
      <c r="AE51" s="1634"/>
      <c r="AF51" s="1635"/>
      <c r="AG51" s="1636"/>
      <c r="AH51" s="1742"/>
      <c r="AI51" s="1607"/>
      <c r="AJ51" s="1607"/>
      <c r="AK51" s="1607"/>
      <c r="AL51" s="1733"/>
      <c r="AM51" s="1743"/>
    </row>
    <row r="52" spans="1:39" ht="18.75">
      <c r="A52" s="1598">
        <v>3</v>
      </c>
      <c r="B52" s="1533">
        <f t="shared" si="35"/>
        <v>6</v>
      </c>
      <c r="C52" s="1600">
        <v>1</v>
      </c>
      <c r="D52" s="1575">
        <f>B52/C52</f>
        <v>6</v>
      </c>
      <c r="E52" s="1575">
        <v>3</v>
      </c>
      <c r="F52" s="1611">
        <f>IF(A52=3,3*G52,IF(A52=1,2*G52,IF(A52="bd",1*G52,IF(A52="fwd",1,"Error"))))</f>
        <v>111.67977219020946</v>
      </c>
      <c r="G52" s="1582">
        <f>(-AE52+SQRT(AG52))/2/AD52</f>
        <v>37.226590730069823</v>
      </c>
      <c r="H52" s="1583">
        <f>IF(A52=3,SQRT(3),IF(A52=1,SQRT(2),1))</f>
        <v>1.7320508075688772</v>
      </c>
      <c r="I52" s="1594">
        <f>H52*G52</f>
        <v>64.478346537053511</v>
      </c>
      <c r="J52" s="1680" t="s">
        <v>548</v>
      </c>
      <c r="K52" s="1418" t="s">
        <v>554</v>
      </c>
      <c r="L52" s="1419">
        <v>160</v>
      </c>
      <c r="M52" s="1419">
        <v>250</v>
      </c>
      <c r="N52" s="1419">
        <v>4100</v>
      </c>
      <c r="O52" s="1412">
        <v>125</v>
      </c>
      <c r="P52" s="1416">
        <v>0.85</v>
      </c>
      <c r="Q52" s="1416">
        <v>1.5</v>
      </c>
      <c r="R52" s="1416">
        <v>0.17</v>
      </c>
      <c r="S52" s="1687">
        <v>0.1</v>
      </c>
      <c r="T52" s="1624">
        <v>10</v>
      </c>
      <c r="U52" s="1616" t="s">
        <v>642</v>
      </c>
      <c r="V52" s="1622">
        <f>IF(E52=1,IF(U52="N",LOOKUP(T52,'HS250-DATA'!C$7:C$10,'HS250-DATA'!D$7:D$10),IF(U52="Y",LOOKUP(T52,'HS250-DATA'!C$22:C$25,'HS250-DATA'!D$22:D$25),"FAN?")),IF(U52="N",LOOKUP(T52,'HS250-DATA'!C$14:C$17,'HS250-DATA'!D$14:D$17),IF(U52="Y",LOOKUP(T52,'HS250-DATA'!C$29:C$32,'HS250-DATA'!D$29:D$32),"FAN?")))</f>
        <v>0.24099999999999999</v>
      </c>
      <c r="W52" s="1602">
        <f>(G52*H52)^2*Q52*10^-3+G52*P52</f>
        <v>37.87878787878789</v>
      </c>
      <c r="X52" s="1602">
        <f>D52*W52</f>
        <v>227.27272727272734</v>
      </c>
      <c r="Y52" s="1602">
        <f>IF(A52=3,W52*6,IF(A52=1,W52*4,W52))</f>
        <v>227.27272727272734</v>
      </c>
      <c r="Z52" s="1579">
        <f>O52-5</f>
        <v>120</v>
      </c>
      <c r="AA52" s="1602">
        <f>D52*W52*V52+AB52</f>
        <v>109.77272727272728</v>
      </c>
      <c r="AB52" s="1588">
        <v>55</v>
      </c>
      <c r="AC52" s="1570"/>
      <c r="AD52" s="1564">
        <f>Q52*10^-3*H52^2</f>
        <v>4.4999999999999997E-3</v>
      </c>
      <c r="AE52" s="1634">
        <f>P52</f>
        <v>0.85</v>
      </c>
      <c r="AF52" s="1635">
        <f>(AB52-Z52)/(R52+S52+D52*V52)</f>
        <v>-37.878787878787882</v>
      </c>
      <c r="AG52" s="1636">
        <f>AE52^2-4*AD52*AF52</f>
        <v>1.4043181818181818</v>
      </c>
      <c r="AH52" s="1741">
        <f>SUM(AJ52:AL52)</f>
        <v>127.86</v>
      </c>
      <c r="AI52" s="1607"/>
      <c r="AJ52" s="1733">
        <f>C52*LOOKUP(T52,'HS250-DATA'!C$7:C$10,'HS250-DATA'!F$7:F$10)</f>
        <v>19.86</v>
      </c>
      <c r="AK52" s="1733">
        <f>IF(U52="Y",C52*12,0)</f>
        <v>0</v>
      </c>
      <c r="AL52" s="1733">
        <f>C52*E52*VLOOKUP(K52,'SCR-Diode DATA'!D$7:M$43,10,FALSE)</f>
        <v>108</v>
      </c>
      <c r="AM52" s="507">
        <f>AH52/F52</f>
        <v>1.14488055887357</v>
      </c>
    </row>
    <row r="53" spans="1:39" ht="18.75">
      <c r="A53" s="1598">
        <v>3</v>
      </c>
      <c r="B53" s="1533">
        <f t="shared" si="35"/>
        <v>6</v>
      </c>
      <c r="C53" s="1600">
        <v>3</v>
      </c>
      <c r="D53" s="1575">
        <f>B53/C53</f>
        <v>2</v>
      </c>
      <c r="E53" s="1575">
        <v>1</v>
      </c>
      <c r="F53" s="1611">
        <f>IF(A53=3,3*G53,IF(A53=1,2*G53,IF(A53="bd",1*G53,IF(A53="fwd",1,"Error"))))</f>
        <v>203.39480824251001</v>
      </c>
      <c r="G53" s="1582">
        <f>(-AE53+SQRT(AG53))/2/AD53</f>
        <v>67.798269414170008</v>
      </c>
      <c r="H53" s="1583">
        <f>IF(A53=3,SQRT(3),IF(A53=1,SQRT(2),1))</f>
        <v>1.7320508075688772</v>
      </c>
      <c r="I53" s="1594">
        <f>H53*G53</f>
        <v>117.43004729058546</v>
      </c>
      <c r="J53" s="1680" t="s">
        <v>548</v>
      </c>
      <c r="K53" s="1418" t="s">
        <v>554</v>
      </c>
      <c r="L53" s="1419">
        <v>160</v>
      </c>
      <c r="M53" s="1419">
        <v>250</v>
      </c>
      <c r="N53" s="1419">
        <v>4100</v>
      </c>
      <c r="O53" s="1412">
        <v>125</v>
      </c>
      <c r="P53" s="1416">
        <v>0.85</v>
      </c>
      <c r="Q53" s="1416">
        <v>1.5</v>
      </c>
      <c r="R53" s="1416">
        <v>0.17</v>
      </c>
      <c r="S53" s="1687">
        <v>0.1</v>
      </c>
      <c r="T53" s="1624">
        <v>10</v>
      </c>
      <c r="U53" s="1616" t="s">
        <v>642</v>
      </c>
      <c r="V53" s="1622">
        <f>IF(E53=1,IF(U53="N",LOOKUP(T53,'HS250-DATA'!C$7:C$10,'HS250-DATA'!D$7:D$10),IF(U53="Y",LOOKUP(T53,'HS250-DATA'!C$22:C$25,'HS250-DATA'!D$22:D$25),"FAN?")),IF(U53="N",LOOKUP(T53,'HS250-DATA'!C$14:C$17,'HS250-DATA'!D$14:D$17),IF(U53="Y",LOOKUP(T53,'HS250-DATA'!C$29:C$32,'HS250-DATA'!D$29:D$32),"FAN?")))</f>
        <v>0.28000000000000003</v>
      </c>
      <c r="W53" s="1602">
        <f>(G53*H53)^2*Q53*10^-3+G53*P53</f>
        <v>78.313253012048207</v>
      </c>
      <c r="X53" s="1602">
        <f>D53*W53</f>
        <v>156.62650602409641</v>
      </c>
      <c r="Y53" s="1602">
        <f>IF(A53=3,W53*6,IF(A53=1,W53*4,W53))</f>
        <v>469.87951807228922</v>
      </c>
      <c r="Z53" s="1579">
        <f>O53-5</f>
        <v>120</v>
      </c>
      <c r="AA53" s="1602">
        <f>D53*W53*V53+AB53</f>
        <v>98.855421686747007</v>
      </c>
      <c r="AB53" s="1588">
        <v>55</v>
      </c>
      <c r="AC53" s="1570"/>
      <c r="AD53" s="1564">
        <f>Q53*10^-3*H53^2</f>
        <v>4.4999999999999997E-3</v>
      </c>
      <c r="AE53" s="1634">
        <f>P53</f>
        <v>0.85</v>
      </c>
      <c r="AF53" s="1635">
        <f>(AB53-Z53)/(R53+S53+D53*V53)</f>
        <v>-78.313253012048193</v>
      </c>
      <c r="AG53" s="1636">
        <f>AE53^2-4*AD53*AF53</f>
        <v>2.1321385542168674</v>
      </c>
      <c r="AH53" s="1741">
        <f>SUM(AJ53:AL53)</f>
        <v>167.57999999999998</v>
      </c>
      <c r="AI53" s="1607"/>
      <c r="AJ53" s="1733">
        <f>C53*LOOKUP(T53,'HS250-DATA'!C$7:C$10,'HS250-DATA'!F$7:F$10)</f>
        <v>59.58</v>
      </c>
      <c r="AK53" s="1733">
        <f>IF(U53="Y",C53*12,0)</f>
        <v>0</v>
      </c>
      <c r="AL53" s="1733">
        <f>C53*E53*VLOOKUP(K53,'SCR-Diode DATA'!D$7:M$43,10,FALSE)</f>
        <v>108</v>
      </c>
      <c r="AM53" s="507">
        <f>AH53/F53</f>
        <v>0.82391483562447865</v>
      </c>
    </row>
    <row r="54" spans="1:39" ht="18.75">
      <c r="A54" s="1598">
        <v>1</v>
      </c>
      <c r="B54" s="1533">
        <f t="shared" si="35"/>
        <v>4</v>
      </c>
      <c r="C54" s="1600">
        <v>1</v>
      </c>
      <c r="D54" s="1575">
        <f>B54/C54</f>
        <v>4</v>
      </c>
      <c r="E54" s="1575">
        <v>2</v>
      </c>
      <c r="F54" s="1611">
        <f>IF(A54=3,3*G54,IF(A54=1,2*G54,IF(A54="bd",1*G54,IF(A54="fwd",1,"Error"))))</f>
        <v>104.6229588426461</v>
      </c>
      <c r="G54" s="1582">
        <f>(-AE54+SQRT(AG54))/2/AD54</f>
        <v>52.31147942132305</v>
      </c>
      <c r="H54" s="1583">
        <f>IF(A54=3,SQRT(3),IF(A54=1,SQRT(2),1))</f>
        <v>1.4142135623730951</v>
      </c>
      <c r="I54" s="1594">
        <f>H54*G54</f>
        <v>73.97960366543613</v>
      </c>
      <c r="J54" s="1680" t="s">
        <v>552</v>
      </c>
      <c r="K54" s="1418" t="s">
        <v>555</v>
      </c>
      <c r="L54" s="1419">
        <v>160</v>
      </c>
      <c r="M54" s="1419">
        <v>250</v>
      </c>
      <c r="N54" s="1419">
        <v>4100</v>
      </c>
      <c r="O54" s="1412">
        <v>125</v>
      </c>
      <c r="P54" s="1416">
        <v>0.85</v>
      </c>
      <c r="Q54" s="1416">
        <v>1.5</v>
      </c>
      <c r="R54" s="1416">
        <v>0.17</v>
      </c>
      <c r="S54" s="1687">
        <v>0.1</v>
      </c>
      <c r="T54" s="1624">
        <v>10</v>
      </c>
      <c r="U54" s="1616" t="s">
        <v>642</v>
      </c>
      <c r="V54" s="1622">
        <f>IF(E54=1,IF(U54="N",LOOKUP(T54,'HS250-DATA'!C$7:C$10,'HS250-DATA'!D$7:D$10),IF(U54="Y",LOOKUP(T54,'HS250-DATA'!C$22:C$25,'HS250-DATA'!D$22:D$25),"FAN?")),IF(U54="N",LOOKUP(T54,'HS250-DATA'!C$14:C$17,'HS250-DATA'!D$14:D$17),IF(U54="Y",LOOKUP(T54,'HS250-DATA'!C$29:C$32,'HS250-DATA'!D$29:D$32),"FAN?")))</f>
        <v>0.24099999999999999</v>
      </c>
      <c r="W54" s="1602">
        <f>(G54*H54)^2*Q54*10^-3+G54*P54</f>
        <v>52.674230145867107</v>
      </c>
      <c r="X54" s="1602">
        <f>D54*W54</f>
        <v>210.69692058346843</v>
      </c>
      <c r="Y54" s="1602">
        <f>IF(A54=3,W54*6,IF(A54=1,W54*4,W54))</f>
        <v>210.69692058346843</v>
      </c>
      <c r="Z54" s="1579">
        <f>O54-5</f>
        <v>120</v>
      </c>
      <c r="AA54" s="1602">
        <f>D54*W54*V54+AB54</f>
        <v>105.77795786061589</v>
      </c>
      <c r="AB54" s="1588">
        <v>55</v>
      </c>
      <c r="AC54" s="1570"/>
      <c r="AD54" s="1564">
        <f>Q54*10^-3*H54^2</f>
        <v>3.0000000000000009E-3</v>
      </c>
      <c r="AE54" s="1634">
        <f>P54</f>
        <v>0.85</v>
      </c>
      <c r="AF54" s="1635">
        <f>(AB54-Z54)/(R54+S54+D54*V54)</f>
        <v>-52.674230145867099</v>
      </c>
      <c r="AG54" s="1636">
        <f>AE54^2-4*AD54*AF54</f>
        <v>1.3545907617504054</v>
      </c>
      <c r="AH54" s="1741">
        <f>SUM(AJ54:AL54)</f>
        <v>91.86</v>
      </c>
      <c r="AI54" s="1607"/>
      <c r="AJ54" s="1733">
        <f>C54*LOOKUP(T54,'HS250-DATA'!C$7:C$10,'HS250-DATA'!F$7:F$10)</f>
        <v>19.86</v>
      </c>
      <c r="AK54" s="1733">
        <f>IF(U54="Y",C54*12,0)</f>
        <v>0</v>
      </c>
      <c r="AL54" s="1733">
        <f>C54*E54*VLOOKUP(K54,'SCR-Diode DATA'!D$7:M$43,10,FALSE)</f>
        <v>72</v>
      </c>
      <c r="AM54" s="507">
        <f>AH54/F54</f>
        <v>0.8780099608744415</v>
      </c>
    </row>
    <row r="55" spans="1:39" ht="18.75">
      <c r="A55" s="1598">
        <v>1</v>
      </c>
      <c r="B55" s="1533">
        <f t="shared" si="35"/>
        <v>4</v>
      </c>
      <c r="C55" s="1600">
        <v>2</v>
      </c>
      <c r="D55" s="1575">
        <f>B55/C55</f>
        <v>2</v>
      </c>
      <c r="E55" s="1575">
        <v>1</v>
      </c>
      <c r="F55" s="1611">
        <f>IF(A55=3,3*G55,IF(A55=1,2*G55,IF(A55="bd",1*G55,IF(A55="fwd",1,"Error"))))</f>
        <v>146.42875022047286</v>
      </c>
      <c r="G55" s="1582">
        <f>(-AE55+SQRT(AG55))/2/AD55</f>
        <v>73.214375110236432</v>
      </c>
      <c r="H55" s="1583">
        <f>IF(A55=3,SQRT(3),IF(A55=1,SQRT(2),1))</f>
        <v>1.4142135623730951</v>
      </c>
      <c r="I55" s="1594">
        <f>H55*G55</f>
        <v>103.54076224156753</v>
      </c>
      <c r="J55" s="1680" t="s">
        <v>552</v>
      </c>
      <c r="K55" s="1418" t="s">
        <v>555</v>
      </c>
      <c r="L55" s="1419">
        <v>160</v>
      </c>
      <c r="M55" s="1419">
        <v>250</v>
      </c>
      <c r="N55" s="1419">
        <v>4100</v>
      </c>
      <c r="O55" s="1412">
        <v>125</v>
      </c>
      <c r="P55" s="1416">
        <v>0.85</v>
      </c>
      <c r="Q55" s="1416">
        <v>1.5</v>
      </c>
      <c r="R55" s="1416">
        <v>0.17</v>
      </c>
      <c r="S55" s="1687">
        <v>0.1</v>
      </c>
      <c r="T55" s="1624">
        <v>10</v>
      </c>
      <c r="U55" s="1616" t="s">
        <v>642</v>
      </c>
      <c r="V55" s="1622">
        <f>IF(E55=1,IF(U55="N",LOOKUP(T55,'HS250-DATA'!C$7:C$10,'HS250-DATA'!D$7:D$10),IF(U55="Y",LOOKUP(T55,'HS250-DATA'!C$22:C$25,'HS250-DATA'!D$22:D$25),"FAN?")),IF(U55="N",LOOKUP(T55,'HS250-DATA'!C$14:C$17,'HS250-DATA'!D$14:D$17),IF(U55="Y",LOOKUP(T55,'HS250-DATA'!C$29:C$32,'HS250-DATA'!D$29:D$32),"FAN?")))</f>
        <v>0.28000000000000003</v>
      </c>
      <c r="W55" s="1602">
        <f>(G55*H55)^2*Q55*10^-3+G55*P55</f>
        <v>78.313253012048193</v>
      </c>
      <c r="X55" s="1602">
        <f>D55*W55</f>
        <v>156.62650602409639</v>
      </c>
      <c r="Y55" s="1602">
        <f>IF(A55=3,W55*6,IF(A55=1,W55*4,W55))</f>
        <v>313.25301204819277</v>
      </c>
      <c r="Z55" s="1579">
        <f>O55-5</f>
        <v>120</v>
      </c>
      <c r="AA55" s="1602">
        <f>D55*W55*V55+AB55</f>
        <v>98.855421686746993</v>
      </c>
      <c r="AB55" s="1588">
        <v>55</v>
      </c>
      <c r="AC55" s="1570"/>
      <c r="AD55" s="1564">
        <f>Q55*10^-3*H55^2</f>
        <v>3.0000000000000009E-3</v>
      </c>
      <c r="AE55" s="1634">
        <f>P55</f>
        <v>0.85</v>
      </c>
      <c r="AF55" s="1635">
        <f>(AB55-Z55)/(R55+S55+D55*V55)</f>
        <v>-78.313253012048193</v>
      </c>
      <c r="AG55" s="1636">
        <f>AE55^2-4*AD55*AF55</f>
        <v>1.6622590361445786</v>
      </c>
      <c r="AH55" s="1741">
        <f>SUM(AJ55:AL55)</f>
        <v>111.72</v>
      </c>
      <c r="AI55" s="1607"/>
      <c r="AJ55" s="1733">
        <f>C55*LOOKUP(T55,'HS250-DATA'!C$7:C$10,'HS250-DATA'!F$7:F$10)</f>
        <v>39.72</v>
      </c>
      <c r="AK55" s="1733">
        <f>IF(U55="Y",C55*12,0)</f>
        <v>0</v>
      </c>
      <c r="AL55" s="1733">
        <f>C55*E55*VLOOKUP(K55,'SCR-Diode DATA'!D$7:M$43,10,FALSE)</f>
        <v>72</v>
      </c>
      <c r="AM55" s="507">
        <f>AH55/F55</f>
        <v>0.76296492206473754</v>
      </c>
    </row>
    <row r="56" spans="1:39" ht="18.75">
      <c r="A56" s="1598"/>
      <c r="B56" s="1533"/>
      <c r="C56" s="1600"/>
      <c r="D56" s="1575"/>
      <c r="E56" s="1575"/>
      <c r="F56" s="1611"/>
      <c r="G56" s="1582"/>
      <c r="H56" s="1583"/>
      <c r="I56" s="1594"/>
      <c r="J56" s="1680"/>
      <c r="K56" s="1418"/>
      <c r="L56" s="1419"/>
      <c r="M56" s="1419"/>
      <c r="N56" s="1419"/>
      <c r="O56" s="1412"/>
      <c r="P56" s="1416"/>
      <c r="Q56" s="1416"/>
      <c r="R56" s="1416"/>
      <c r="S56" s="1687"/>
      <c r="T56" s="1624"/>
      <c r="U56" s="1616"/>
      <c r="V56" s="1622"/>
      <c r="W56" s="1602"/>
      <c r="X56" s="1602"/>
      <c r="Y56" s="1602"/>
      <c r="Z56" s="1579"/>
      <c r="AA56" s="1602"/>
      <c r="AB56" s="1588"/>
      <c r="AC56" s="1570"/>
      <c r="AD56" s="1564"/>
      <c r="AE56" s="1634"/>
      <c r="AF56" s="1635"/>
      <c r="AG56" s="1636"/>
      <c r="AH56" s="1742"/>
      <c r="AI56" s="1607"/>
      <c r="AJ56" s="1607"/>
      <c r="AK56" s="1607"/>
      <c r="AL56" s="1733"/>
      <c r="AM56" s="1743"/>
    </row>
    <row r="57" spans="1:39" ht="18.75">
      <c r="A57" s="1598">
        <v>3</v>
      </c>
      <c r="B57" s="1533">
        <f t="shared" si="35"/>
        <v>6</v>
      </c>
      <c r="C57" s="1600">
        <v>1</v>
      </c>
      <c r="D57" s="1575">
        <f>B57/C57</f>
        <v>6</v>
      </c>
      <c r="E57" s="1575">
        <v>3</v>
      </c>
      <c r="F57" s="1611">
        <f>IF(A57=3,3*G57,IF(A57=1,2*G57,IF(A57="bd",1*G57,IF(A57="fwd",1,"Error"))))</f>
        <v>132.10084577649877</v>
      </c>
      <c r="G57" s="1582">
        <f>(-AE57+SQRT(AG57))/2/AD57</f>
        <v>44.033615258832924</v>
      </c>
      <c r="H57" s="1583">
        <f>IF(A57=3,SQRT(3),IF(A57=1,SQRT(2),1))</f>
        <v>1.7320508075688772</v>
      </c>
      <c r="I57" s="1594">
        <f>H57*G57</f>
        <v>76.268458869238799</v>
      </c>
      <c r="J57" s="1680" t="s">
        <v>548</v>
      </c>
      <c r="K57" s="1418" t="s">
        <v>469</v>
      </c>
      <c r="L57" s="1419">
        <v>250</v>
      </c>
      <c r="M57" s="1419">
        <v>393</v>
      </c>
      <c r="N57" s="1419">
        <v>8800</v>
      </c>
      <c r="O57" s="1412">
        <v>125</v>
      </c>
      <c r="P57" s="1416">
        <v>0.81899999999999995</v>
      </c>
      <c r="Q57" s="1416">
        <v>0.58899999999999997</v>
      </c>
      <c r="R57" s="1416">
        <v>0.14000000000000001</v>
      </c>
      <c r="S57" s="1687">
        <v>0.06</v>
      </c>
      <c r="T57" s="1624">
        <v>10</v>
      </c>
      <c r="U57" s="1616" t="s">
        <v>642</v>
      </c>
      <c r="V57" s="1622">
        <f>IF(E57=1,IF(U57="N",LOOKUP(T57,'HS250-DATA'!C$7:C$10,'HS250-DATA'!D$7:D$10),IF(U57="Y",LOOKUP(T57,'HS250-DATA'!C$22:C$25,'HS250-DATA'!D$22:D$25),"FAN?")),IF(U57="N",LOOKUP(T57,'HS250-DATA'!C$14:C$17,'HS250-DATA'!D$14:D$17),IF(U57="Y",LOOKUP(T57,'HS250-DATA'!C$29:C$32,'HS250-DATA'!D$29:D$32),"FAN?")))</f>
        <v>0.24099999999999999</v>
      </c>
      <c r="W57" s="1602">
        <f>(G57*H57)^2*Q57*10^-3+G57*P57</f>
        <v>39.489671931956245</v>
      </c>
      <c r="X57" s="1602">
        <f>D57*W57</f>
        <v>236.93803159173746</v>
      </c>
      <c r="Y57" s="1602">
        <f>IF(A57=3,W57*6,IF(A57=1,W57*4,W57))</f>
        <v>236.93803159173746</v>
      </c>
      <c r="Z57" s="1579">
        <f>O57-5</f>
        <v>120</v>
      </c>
      <c r="AA57" s="1602">
        <f>D57*W57*V57+AB57</f>
        <v>112.10206561360872</v>
      </c>
      <c r="AB57" s="1588">
        <v>55</v>
      </c>
      <c r="AC57" s="1570"/>
      <c r="AD57" s="1564">
        <f>Q57*10^-3*H57^2</f>
        <v>1.7669999999999997E-3</v>
      </c>
      <c r="AE57" s="1634">
        <f>P57</f>
        <v>0.81899999999999995</v>
      </c>
      <c r="AF57" s="1635">
        <f>(AB57-Z57)/(R57+S57+D57*V57)</f>
        <v>-39.489671931956259</v>
      </c>
      <c r="AG57" s="1636">
        <f>AE57^2-4*AD57*AF57</f>
        <v>0.94987400121506671</v>
      </c>
      <c r="AH57" s="1741">
        <f>SUM(AJ57:AL57)</f>
        <v>244.86</v>
      </c>
      <c r="AI57" s="1607"/>
      <c r="AJ57" s="1733">
        <f>C57*LOOKUP(T57,'HS250-DATA'!C$7:C$10,'HS250-DATA'!F$7:F$10)</f>
        <v>19.86</v>
      </c>
      <c r="AK57" s="1733">
        <f>IF(U57="Y",C57*12,0)</f>
        <v>0</v>
      </c>
      <c r="AL57" s="1733">
        <f>C57*E57*VLOOKUP(K57,'SCR-Diode DATA'!D$7:M$43,10,FALSE)</f>
        <v>225</v>
      </c>
      <c r="AM57" s="507">
        <f>AH57/F57</f>
        <v>1.8535838931287261</v>
      </c>
    </row>
    <row r="58" spans="1:39" ht="18.75">
      <c r="A58" s="1598">
        <v>3</v>
      </c>
      <c r="B58" s="1533">
        <f t="shared" si="35"/>
        <v>6</v>
      </c>
      <c r="C58" s="1600">
        <v>3</v>
      </c>
      <c r="D58" s="1575">
        <f>B58/C58</f>
        <v>2</v>
      </c>
      <c r="E58" s="1575">
        <v>1</v>
      </c>
      <c r="F58" s="1611">
        <f>IF(A58=3,3*G58,IF(A58=1,2*G58,IF(A58="bd",1*G58,IF(A58="fwd",1,"Error"))))</f>
        <v>263.39095576586146</v>
      </c>
      <c r="G58" s="1582">
        <f>(-AE58+SQRT(AG58))/2/AD58</f>
        <v>87.796985255287154</v>
      </c>
      <c r="H58" s="1583">
        <f>IF(A58=3,SQRT(3),IF(A58=1,SQRT(2),1))</f>
        <v>1.7320508075688772</v>
      </c>
      <c r="I58" s="1594">
        <f>H58*G58</f>
        <v>152.06883921353293</v>
      </c>
      <c r="J58" s="1680" t="s">
        <v>548</v>
      </c>
      <c r="K58" s="1418" t="s">
        <v>469</v>
      </c>
      <c r="L58" s="1419">
        <v>250</v>
      </c>
      <c r="M58" s="1419">
        <v>393</v>
      </c>
      <c r="N58" s="1419">
        <v>8800</v>
      </c>
      <c r="O58" s="1412">
        <v>125</v>
      </c>
      <c r="P58" s="1416">
        <v>0.81899999999999995</v>
      </c>
      <c r="Q58" s="1416">
        <v>0.58899999999999997</v>
      </c>
      <c r="R58" s="1416">
        <v>0.14000000000000001</v>
      </c>
      <c r="S58" s="1687">
        <v>0.06</v>
      </c>
      <c r="T58" s="1624">
        <v>10</v>
      </c>
      <c r="U58" s="1616" t="s">
        <v>642</v>
      </c>
      <c r="V58" s="1622">
        <f>IF(E58=1,IF(U58="N",LOOKUP(T58,'HS250-DATA'!C$7:C$10,'HS250-DATA'!D$7:D$10),IF(U58="Y",LOOKUP(T58,'HS250-DATA'!C$22:C$25,'HS250-DATA'!D$22:D$25),"FAN?")),IF(U58="N",LOOKUP(T58,'HS250-DATA'!C$14:C$17,'HS250-DATA'!D$14:D$17),IF(U58="Y",LOOKUP(T58,'HS250-DATA'!C$29:C$32,'HS250-DATA'!D$29:D$32),"FAN?")))</f>
        <v>0.28000000000000003</v>
      </c>
      <c r="W58" s="1602">
        <f>(G58*H58)^2*Q58*10^-3+G58*P58</f>
        <v>85.526315789473713</v>
      </c>
      <c r="X58" s="1602">
        <f>D58*W58</f>
        <v>171.05263157894743</v>
      </c>
      <c r="Y58" s="1602">
        <f>IF(A58=3,W58*6,IF(A58=1,W58*4,W58))</f>
        <v>513.15789473684231</v>
      </c>
      <c r="Z58" s="1579">
        <f>O58-5</f>
        <v>120</v>
      </c>
      <c r="AA58" s="1602">
        <f>D58*W58*V58+AB58</f>
        <v>102.89473684210529</v>
      </c>
      <c r="AB58" s="1588">
        <v>55</v>
      </c>
      <c r="AC58" s="1570"/>
      <c r="AD58" s="1564">
        <f>Q58*10^-3*H58^2</f>
        <v>1.7669999999999997E-3</v>
      </c>
      <c r="AE58" s="1634">
        <f>P58</f>
        <v>0.81899999999999995</v>
      </c>
      <c r="AF58" s="1635">
        <f>(AB58-Z58)/(R58+S58+D58*V58)</f>
        <v>-85.526315789473685</v>
      </c>
      <c r="AG58" s="1636">
        <f>AE58^2-4*AD58*AF58</f>
        <v>1.275261</v>
      </c>
      <c r="AH58" s="1741">
        <f>SUM(AJ58:AL58)</f>
        <v>284.58</v>
      </c>
      <c r="AI58" s="1607"/>
      <c r="AJ58" s="1733">
        <f>C58*LOOKUP(T58,'HS250-DATA'!C$7:C$10,'HS250-DATA'!F$7:F$10)</f>
        <v>59.58</v>
      </c>
      <c r="AK58" s="1733">
        <f>IF(U58="Y",C58*12,0)</f>
        <v>0</v>
      </c>
      <c r="AL58" s="1733">
        <f>C58*E58*VLOOKUP(K58,'SCR-Diode DATA'!D$7:M$43,10,FALSE)</f>
        <v>225</v>
      </c>
      <c r="AM58" s="507">
        <f>AH58/F58</f>
        <v>1.0804471215517906</v>
      </c>
    </row>
    <row r="59" spans="1:39" ht="18.75">
      <c r="A59" s="1598">
        <v>1</v>
      </c>
      <c r="B59" s="1533">
        <f t="shared" si="35"/>
        <v>4</v>
      </c>
      <c r="C59" s="1600">
        <v>1</v>
      </c>
      <c r="D59" s="1575">
        <f>B59/C59</f>
        <v>4</v>
      </c>
      <c r="E59" s="1575">
        <v>2</v>
      </c>
      <c r="F59" s="1611">
        <f>IF(A59=3,3*G59,IF(A59=1,2*G59,IF(A59="bd",1*G59,IF(A59="fwd",1,"Error"))))</f>
        <v>125.10940931093079</v>
      </c>
      <c r="G59" s="1582">
        <f>(-AE59+SQRT(AG59))/2/AD59</f>
        <v>62.554704655465393</v>
      </c>
      <c r="H59" s="1583">
        <f>IF(A59=3,SQRT(3),IF(A59=1,SQRT(2),1))</f>
        <v>1.4142135623730951</v>
      </c>
      <c r="I59" s="1594">
        <f>H59*G59</f>
        <v>88.465711714002552</v>
      </c>
      <c r="J59" s="1680" t="s">
        <v>552</v>
      </c>
      <c r="K59" s="1418" t="s">
        <v>556</v>
      </c>
      <c r="L59" s="1419">
        <v>250</v>
      </c>
      <c r="M59" s="1419">
        <v>393</v>
      </c>
      <c r="N59" s="1419">
        <v>8800</v>
      </c>
      <c r="O59" s="1412">
        <v>125</v>
      </c>
      <c r="P59" s="1416">
        <v>0.81899999999999995</v>
      </c>
      <c r="Q59" s="1416">
        <v>0.58899999999999997</v>
      </c>
      <c r="R59" s="1416">
        <v>0.14000000000000001</v>
      </c>
      <c r="S59" s="1687">
        <v>0.06</v>
      </c>
      <c r="T59" s="1624">
        <v>10</v>
      </c>
      <c r="U59" s="1616" t="s">
        <v>642</v>
      </c>
      <c r="V59" s="1622">
        <f>IF(E59=1,IF(U59="N",LOOKUP(T59,'HS250-DATA'!C$7:C$10,'HS250-DATA'!D$7:D$10),IF(U59="Y",LOOKUP(T59,'HS250-DATA'!C$22:C$25,'HS250-DATA'!D$22:D$25),"FAN?")),IF(U59="N",LOOKUP(T59,'HS250-DATA'!C$14:C$17,'HS250-DATA'!D$14:D$17),IF(U59="Y",LOOKUP(T59,'HS250-DATA'!C$29:C$32,'HS250-DATA'!D$29:D$32),"FAN?")))</f>
        <v>0.24099999999999999</v>
      </c>
      <c r="W59" s="1602">
        <f>(G59*H59)^2*Q59*10^-3+G59*P59</f>
        <v>55.841924398625444</v>
      </c>
      <c r="X59" s="1602">
        <f>D59*W59</f>
        <v>223.36769759450178</v>
      </c>
      <c r="Y59" s="1602">
        <f>IF(A59=3,W59*6,IF(A59=1,W59*4,W59))</f>
        <v>223.36769759450178</v>
      </c>
      <c r="Z59" s="1579">
        <f>O59-5</f>
        <v>120</v>
      </c>
      <c r="AA59" s="1602">
        <f>D59*W59*V59+AB59</f>
        <v>108.83161512027493</v>
      </c>
      <c r="AB59" s="1588">
        <v>55</v>
      </c>
      <c r="AC59" s="1570"/>
      <c r="AD59" s="1564">
        <f>Q59*10^-3*H59^2</f>
        <v>1.1780000000000002E-3</v>
      </c>
      <c r="AE59" s="1634">
        <f>P59</f>
        <v>0.81899999999999995</v>
      </c>
      <c r="AF59" s="1635">
        <f>(AB59-Z59)/(R59+S59+D59*V59)</f>
        <v>-55.84192439862543</v>
      </c>
      <c r="AG59" s="1636">
        <f>AE59^2-4*AD59*AF59</f>
        <v>0.93388814776632301</v>
      </c>
      <c r="AH59" s="1741">
        <f>SUM(AJ59:AL59)</f>
        <v>169.86</v>
      </c>
      <c r="AI59" s="1607"/>
      <c r="AJ59" s="1733">
        <f>C59*LOOKUP(T59,'HS250-DATA'!C$7:C$10,'HS250-DATA'!F$7:F$10)</f>
        <v>19.86</v>
      </c>
      <c r="AK59" s="1733">
        <f>IF(U59="Y",C59*12,0)</f>
        <v>0</v>
      </c>
      <c r="AL59" s="1733">
        <f>C59*E59*VLOOKUP(K59,'SCR-Diode DATA'!D$7:M$43,10,FALSE)</f>
        <v>150</v>
      </c>
      <c r="AM59" s="507">
        <f>AH59/F59</f>
        <v>1.35769164713944</v>
      </c>
    </row>
    <row r="60" spans="1:39" ht="18.75">
      <c r="A60" s="1598">
        <v>1</v>
      </c>
      <c r="B60" s="1533">
        <f t="shared" si="35"/>
        <v>4</v>
      </c>
      <c r="C60" s="1600">
        <v>2</v>
      </c>
      <c r="D60" s="1575">
        <f>B60/C60</f>
        <v>2</v>
      </c>
      <c r="E60" s="1575">
        <v>1</v>
      </c>
      <c r="F60" s="1611">
        <f>IF(A60=3,3*G60,IF(A60=1,2*G60,IF(A60="bd",1*G60,IF(A60="fwd",1,"Error"))))</f>
        <v>184.40101574481218</v>
      </c>
      <c r="G60" s="1582">
        <f>(-AE60+SQRT(AG60))/2/AD60</f>
        <v>92.200507872406092</v>
      </c>
      <c r="H60" s="1583">
        <f>IF(A60=3,SQRT(3),IF(A60=1,SQRT(2),1))</f>
        <v>1.4142135623730951</v>
      </c>
      <c r="I60" s="1594">
        <f>H60*G60</f>
        <v>130.39120869084402</v>
      </c>
      <c r="J60" s="1680" t="s">
        <v>552</v>
      </c>
      <c r="K60" s="1418" t="s">
        <v>556</v>
      </c>
      <c r="L60" s="1419">
        <v>250</v>
      </c>
      <c r="M60" s="1419">
        <v>393</v>
      </c>
      <c r="N60" s="1419">
        <v>8800</v>
      </c>
      <c r="O60" s="1412">
        <v>125</v>
      </c>
      <c r="P60" s="1416">
        <v>0.81899999999999995</v>
      </c>
      <c r="Q60" s="1416">
        <v>0.58899999999999997</v>
      </c>
      <c r="R60" s="1416">
        <v>0.14000000000000001</v>
      </c>
      <c r="S60" s="1687">
        <v>0.06</v>
      </c>
      <c r="T60" s="1624">
        <v>10</v>
      </c>
      <c r="U60" s="1616" t="s">
        <v>642</v>
      </c>
      <c r="V60" s="1622">
        <f>IF(E60=1,IF(U60="N",LOOKUP(T60,'HS250-DATA'!C$7:C$10,'HS250-DATA'!D$7:D$10),IF(U60="Y",LOOKUP(T60,'HS250-DATA'!C$22:C$25,'HS250-DATA'!D$22:D$25),"FAN?")),IF(U60="N",LOOKUP(T60,'HS250-DATA'!C$14:C$17,'HS250-DATA'!D$14:D$17),IF(U60="Y",LOOKUP(T60,'HS250-DATA'!C$29:C$32,'HS250-DATA'!D$29:D$32),"FAN?")))</f>
        <v>0.28000000000000003</v>
      </c>
      <c r="W60" s="1602">
        <f>(G60*H60)^2*Q60*10^-3+G60*P60</f>
        <v>85.526315789473671</v>
      </c>
      <c r="X60" s="1602">
        <f>D60*W60</f>
        <v>171.05263157894734</v>
      </c>
      <c r="Y60" s="1602">
        <f>IF(A60=3,W60*6,IF(A60=1,W60*4,W60))</f>
        <v>342.10526315789468</v>
      </c>
      <c r="Z60" s="1579">
        <f>O60-5</f>
        <v>120</v>
      </c>
      <c r="AA60" s="1602">
        <f>D60*W60*V60+AB60</f>
        <v>102.89473684210526</v>
      </c>
      <c r="AB60" s="1588">
        <v>55</v>
      </c>
      <c r="AC60" s="1570"/>
      <c r="AD60" s="1564">
        <f>Q60*10^-3*H60^2</f>
        <v>1.1780000000000002E-3</v>
      </c>
      <c r="AE60" s="1634">
        <f>P60</f>
        <v>0.81899999999999995</v>
      </c>
      <c r="AF60" s="1635">
        <f>(AB60-Z60)/(R60+S60+D60*V60)</f>
        <v>-85.526315789473685</v>
      </c>
      <c r="AG60" s="1636">
        <f>AE60^2-4*AD60*AF60</f>
        <v>1.073761</v>
      </c>
      <c r="AH60" s="1741">
        <f>SUM(AJ60:AL60)</f>
        <v>189.72</v>
      </c>
      <c r="AI60" s="1607"/>
      <c r="AJ60" s="1733">
        <f>C60*LOOKUP(T60,'HS250-DATA'!C$7:C$10,'HS250-DATA'!F$7:F$10)</f>
        <v>39.72</v>
      </c>
      <c r="AK60" s="1733">
        <f>IF(U60="Y",C60*12,0)</f>
        <v>0</v>
      </c>
      <c r="AL60" s="1733">
        <f>C60*E60*VLOOKUP(K60,'SCR-Diode DATA'!D$7:M$43,10,FALSE)</f>
        <v>150</v>
      </c>
      <c r="AM60" s="507">
        <f>AH60/F60</f>
        <v>1.0288446581148372</v>
      </c>
    </row>
    <row r="61" spans="1:39" ht="18.75">
      <c r="A61" s="1598"/>
      <c r="B61" s="1533"/>
      <c r="C61" s="1600"/>
      <c r="D61" s="1575"/>
      <c r="E61" s="1575"/>
      <c r="F61" s="1611"/>
      <c r="G61" s="1582"/>
      <c r="H61" s="1583"/>
      <c r="I61" s="1594"/>
      <c r="J61" s="1680"/>
      <c r="K61" s="1418"/>
      <c r="L61" s="1419"/>
      <c r="M61" s="1419"/>
      <c r="N61" s="1419"/>
      <c r="O61" s="1412"/>
      <c r="P61" s="1416"/>
      <c r="Q61" s="1416"/>
      <c r="R61" s="1416"/>
      <c r="S61" s="1687"/>
      <c r="T61" s="1624"/>
      <c r="U61" s="1616"/>
      <c r="V61" s="1622"/>
      <c r="W61" s="1602"/>
      <c r="X61" s="1602"/>
      <c r="Y61" s="1602"/>
      <c r="Z61" s="1579"/>
      <c r="AA61" s="1602"/>
      <c r="AB61" s="1588"/>
      <c r="AC61" s="1570"/>
      <c r="AD61" s="1564"/>
      <c r="AE61" s="1634"/>
      <c r="AF61" s="1635"/>
      <c r="AG61" s="1636"/>
      <c r="AH61" s="1742"/>
      <c r="AI61" s="1607"/>
      <c r="AJ61" s="1607"/>
      <c r="AK61" s="1607"/>
      <c r="AL61" s="1733"/>
      <c r="AM61" s="1743"/>
    </row>
    <row r="62" spans="1:39" ht="18.75">
      <c r="A62" s="1598">
        <v>3</v>
      </c>
      <c r="B62" s="1533">
        <f t="shared" si="35"/>
        <v>6</v>
      </c>
      <c r="C62" s="1600">
        <v>1</v>
      </c>
      <c r="D62" s="1575">
        <f>B62/C62</f>
        <v>6</v>
      </c>
      <c r="E62" s="1575">
        <v>3</v>
      </c>
      <c r="F62" s="1611">
        <f>IF(A62=3,3*G62,IF(A62=1,2*G62,IF(A62="bd",1*G62,IF(A62="fwd",1,"Error"))))</f>
        <v>148.52874264468625</v>
      </c>
      <c r="G62" s="1582">
        <f>(-AE62+SQRT(AG62))/2/AD62</f>
        <v>49.50958088156208</v>
      </c>
      <c r="H62" s="1583">
        <f>IF(A62=3,SQRT(3),IF(A62=1,SQRT(2),1))</f>
        <v>1.7320508075688772</v>
      </c>
      <c r="I62" s="1594">
        <f>H62*G62</f>
        <v>85.753109548306242</v>
      </c>
      <c r="J62" s="1680" t="s">
        <v>548</v>
      </c>
      <c r="K62" s="1418" t="s">
        <v>470</v>
      </c>
      <c r="L62" s="1419">
        <v>500</v>
      </c>
      <c r="M62" s="1419">
        <v>900</v>
      </c>
      <c r="N62" s="1419">
        <v>16300</v>
      </c>
      <c r="O62" s="1412">
        <v>125</v>
      </c>
      <c r="P62" s="1416">
        <v>0.81</v>
      </c>
      <c r="Q62" s="1416">
        <v>0.32</v>
      </c>
      <c r="R62" s="1416">
        <v>6.5000000000000002E-2</v>
      </c>
      <c r="S62" s="1687">
        <v>0.02</v>
      </c>
      <c r="T62" s="1624">
        <v>10</v>
      </c>
      <c r="U62" s="1616" t="s">
        <v>642</v>
      </c>
      <c r="V62" s="1622">
        <f>IF(E62=1,IF(U62="N",LOOKUP(T62,'HS250-DATA'!C$7:C$10,'HS250-DATA'!D$7:D$10),IF(U62="Y",LOOKUP(T62,'HS250-DATA'!C$22:C$25,'HS250-DATA'!D$22:D$25),"FAN?")),IF(U62="N",LOOKUP(T62,'HS250-DATA'!C$14:C$17,'HS250-DATA'!D$14:D$17),IF(U62="Y",LOOKUP(T62,'HS250-DATA'!C$29:C$32,'HS250-DATA'!D$29:D$32),"FAN?")))</f>
        <v>0.24099999999999999</v>
      </c>
      <c r="W62" s="1602">
        <f>(G62*H62)^2*Q62*10^-3+G62*P62</f>
        <v>42.455911169170506</v>
      </c>
      <c r="X62" s="1602">
        <f>D62*W62</f>
        <v>254.73546701502303</v>
      </c>
      <c r="Y62" s="1602">
        <f>IF(A62=3,W62*6,IF(A62=1,W62*4,W62))</f>
        <v>254.73546701502303</v>
      </c>
      <c r="Z62" s="1579">
        <f>O62-5</f>
        <v>120</v>
      </c>
      <c r="AA62" s="1602">
        <f>D62*W62*V62+AB62</f>
        <v>116.39124755062055</v>
      </c>
      <c r="AB62" s="1588">
        <v>55</v>
      </c>
      <c r="AC62" s="1570"/>
      <c r="AD62" s="1564">
        <f>Q62*10^-3*H62^2</f>
        <v>9.5999999999999992E-4</v>
      </c>
      <c r="AE62" s="1634">
        <f>P62</f>
        <v>0.81</v>
      </c>
      <c r="AF62" s="1635">
        <f>(AB62-Z62)/(R62+S62+D62*V62)</f>
        <v>-42.455911169170477</v>
      </c>
      <c r="AG62" s="1636">
        <f>AE62^2-4*AD62*AF62</f>
        <v>0.81913069888961476</v>
      </c>
      <c r="AH62" s="1741">
        <f>SUM(AJ62:AL62)</f>
        <v>424.86</v>
      </c>
      <c r="AI62" s="1607"/>
      <c r="AJ62" s="1733">
        <f>C62*LOOKUP(T62,'HS250-DATA'!C$7:C$10,'HS250-DATA'!F$7:F$10)</f>
        <v>19.86</v>
      </c>
      <c r="AK62" s="1733">
        <f>IF(U62="Y",C62*12,0)</f>
        <v>0</v>
      </c>
      <c r="AL62" s="1733">
        <f>C62*E62*VLOOKUP(K62,'SCR-Diode DATA'!D$7:M$43,10,FALSE)</f>
        <v>405</v>
      </c>
      <c r="AM62" s="507">
        <f>AH62/F62</f>
        <v>2.8604564506168315</v>
      </c>
    </row>
    <row r="63" spans="1:39" ht="18.75">
      <c r="A63" s="1598">
        <v>3</v>
      </c>
      <c r="B63" s="1533">
        <f t="shared" si="35"/>
        <v>6</v>
      </c>
      <c r="C63" s="1600">
        <v>3</v>
      </c>
      <c r="D63" s="1575">
        <f>B63/C63</f>
        <v>2</v>
      </c>
      <c r="E63" s="1575">
        <v>1</v>
      </c>
      <c r="F63" s="1611">
        <f>IF(A63=3,3*G63,IF(A63=1,2*G63,IF(A63="bd",1*G63,IF(A63="fwd",1,"Error"))))</f>
        <v>330.17388535036446</v>
      </c>
      <c r="G63" s="1582">
        <f>(-AE63+SQRT(AG63))/2/AD63</f>
        <v>110.05796178345483</v>
      </c>
      <c r="H63" s="1583">
        <f>IF(A63=3,SQRT(3),IF(A63=1,SQRT(2),1))</f>
        <v>1.7320508075688772</v>
      </c>
      <c r="I63" s="1594">
        <f>H63*G63</f>
        <v>190.62598158641757</v>
      </c>
      <c r="J63" s="1680" t="s">
        <v>548</v>
      </c>
      <c r="K63" s="1418" t="s">
        <v>470</v>
      </c>
      <c r="L63" s="1419">
        <v>500</v>
      </c>
      <c r="M63" s="1419">
        <v>900</v>
      </c>
      <c r="N63" s="1419">
        <v>16300</v>
      </c>
      <c r="O63" s="1412">
        <v>125</v>
      </c>
      <c r="P63" s="1416">
        <v>0.81</v>
      </c>
      <c r="Q63" s="1416">
        <v>0.32</v>
      </c>
      <c r="R63" s="1416">
        <v>6.5000000000000002E-2</v>
      </c>
      <c r="S63" s="1687">
        <v>0.02</v>
      </c>
      <c r="T63" s="1624">
        <v>10</v>
      </c>
      <c r="U63" s="1616" t="s">
        <v>642</v>
      </c>
      <c r="V63" s="1622">
        <f>IF(E63=1,IF(U63="N",LOOKUP(T63,'HS250-DATA'!C$7:C$10,'HS250-DATA'!D$7:D$10),IF(U63="Y",LOOKUP(T63,'HS250-DATA'!C$22:C$25,'HS250-DATA'!D$22:D$25),"FAN?")),IF(U63="N",LOOKUP(T63,'HS250-DATA'!C$14:C$17,'HS250-DATA'!D$14:D$17),IF(U63="Y",LOOKUP(T63,'HS250-DATA'!C$29:C$32,'HS250-DATA'!D$29:D$32),"FAN?")))</f>
        <v>0.28000000000000003</v>
      </c>
      <c r="W63" s="1602">
        <f>(G63*H63)^2*Q63*10^-3+G63*P63</f>
        <v>100.77519379844968</v>
      </c>
      <c r="X63" s="1602">
        <f>D63*W63</f>
        <v>201.55038759689936</v>
      </c>
      <c r="Y63" s="1602">
        <f>IF(A63=3,W63*6,IF(A63=1,W63*4,W63))</f>
        <v>604.65116279069809</v>
      </c>
      <c r="Z63" s="1579">
        <f>O63-5</f>
        <v>120</v>
      </c>
      <c r="AA63" s="1602">
        <f>D63*W63*V63+AB63</f>
        <v>111.43410852713183</v>
      </c>
      <c r="AB63" s="1588">
        <v>55</v>
      </c>
      <c r="AC63" s="1570"/>
      <c r="AD63" s="1564">
        <f>Q63*10^-3*H63^2</f>
        <v>9.5999999999999992E-4</v>
      </c>
      <c r="AE63" s="1634">
        <f>P63</f>
        <v>0.81</v>
      </c>
      <c r="AF63" s="1635">
        <f>(AB63-Z63)/(R63+S63+D63*V63)</f>
        <v>-100.77519379844961</v>
      </c>
      <c r="AG63" s="1636">
        <f>AE63^2-4*AD63*AF63</f>
        <v>1.0430767441860467</v>
      </c>
      <c r="AH63" s="1741">
        <f>SUM(AJ63:AL63)</f>
        <v>464.58</v>
      </c>
      <c r="AI63" s="1607"/>
      <c r="AJ63" s="1733">
        <f>C63*LOOKUP(T63,'HS250-DATA'!C$7:C$10,'HS250-DATA'!F$7:F$10)</f>
        <v>59.58</v>
      </c>
      <c r="AK63" s="1733">
        <f>IF(U63="Y",C63*12,0)</f>
        <v>0</v>
      </c>
      <c r="AL63" s="1733">
        <f>C63*E63*VLOOKUP(K63,'SCR-Diode DATA'!D$7:M$43,10,FALSE)</f>
        <v>405</v>
      </c>
      <c r="AM63" s="507">
        <f>AH63/F63</f>
        <v>1.4070767574698111</v>
      </c>
    </row>
    <row r="64" spans="1:39" ht="18.75">
      <c r="A64" s="1598"/>
      <c r="B64" s="1533"/>
      <c r="C64" s="1600"/>
      <c r="D64" s="1575"/>
      <c r="E64" s="1575"/>
      <c r="F64" s="1611"/>
      <c r="G64" s="1582"/>
      <c r="H64" s="1583"/>
      <c r="I64" s="1594"/>
      <c r="J64" s="1680"/>
      <c r="K64" s="1418"/>
      <c r="L64" s="1419"/>
      <c r="M64" s="1419"/>
      <c r="N64" s="1419"/>
      <c r="O64" s="1412"/>
      <c r="P64" s="1416"/>
      <c r="Q64" s="1416"/>
      <c r="R64" s="1416"/>
      <c r="S64" s="1687"/>
      <c r="T64" s="1624"/>
      <c r="U64" s="1616"/>
      <c r="V64" s="1622"/>
      <c r="W64" s="1602"/>
      <c r="X64" s="1602"/>
      <c r="Y64" s="1602"/>
      <c r="Z64" s="1579"/>
      <c r="AA64" s="1602"/>
      <c r="AB64" s="1588"/>
      <c r="AC64" s="1570"/>
      <c r="AD64" s="1564"/>
      <c r="AE64" s="1634"/>
      <c r="AF64" s="1635"/>
      <c r="AG64" s="1636"/>
      <c r="AH64" s="1742"/>
      <c r="AI64" s="1607"/>
      <c r="AJ64" s="1607"/>
      <c r="AK64" s="1607"/>
      <c r="AL64" s="1733"/>
      <c r="AM64" s="1743"/>
    </row>
    <row r="65" spans="1:39" ht="18.75">
      <c r="A65" s="1598">
        <v>3</v>
      </c>
      <c r="B65" s="1533">
        <f t="shared" si="35"/>
        <v>6</v>
      </c>
      <c r="C65" s="1600">
        <v>1</v>
      </c>
      <c r="D65" s="1575">
        <f>B65/C65</f>
        <v>6</v>
      </c>
      <c r="E65" s="1575">
        <v>3</v>
      </c>
      <c r="F65" s="1611">
        <f>IF(A65=3,3*G65,IF(A65=1,2*G65,IF(A65="bd",1*G65,IF(A65="fwd",1,"Error"))))</f>
        <v>174.2973712831313</v>
      </c>
      <c r="G65" s="1582">
        <f>(-AE65+SQRT(AG65))/2/AD65</f>
        <v>58.099123761043764</v>
      </c>
      <c r="H65" s="1583">
        <f>IF(A65=3,SQRT(3),IF(A65=1,SQRT(2),1))</f>
        <v>1.7320508075688772</v>
      </c>
      <c r="I65" s="1594">
        <f>H65*G65</f>
        <v>100.63063422936</v>
      </c>
      <c r="J65" s="1680" t="s">
        <v>548</v>
      </c>
      <c r="K65" s="1418" t="s">
        <v>471</v>
      </c>
      <c r="L65" s="1419">
        <v>700</v>
      </c>
      <c r="M65" s="1419">
        <v>1100</v>
      </c>
      <c r="N65" s="1419">
        <v>36500</v>
      </c>
      <c r="O65" s="1412">
        <v>125</v>
      </c>
      <c r="P65" s="1416">
        <v>0.70299999999999996</v>
      </c>
      <c r="Q65" s="1416">
        <v>0.184</v>
      </c>
      <c r="R65" s="1416">
        <v>5.8000000000000003E-2</v>
      </c>
      <c r="S65" s="1687">
        <v>1.7999999999999999E-2</v>
      </c>
      <c r="T65" s="1624">
        <v>10</v>
      </c>
      <c r="U65" s="1616" t="s">
        <v>642</v>
      </c>
      <c r="V65" s="1622">
        <f>IF(E65=1,IF(U65="N",LOOKUP(T65,'HS250-DATA'!C$7:C$10,'HS250-DATA'!D$7:D$10),IF(U65="Y",LOOKUP(T65,'HS250-DATA'!C$22:C$25,'HS250-DATA'!D$22:D$25),"FAN?")),IF(U65="N",LOOKUP(T65,'HS250-DATA'!C$14:C$17,'HS250-DATA'!D$14:D$17),IF(U65="Y",LOOKUP(T65,'HS250-DATA'!C$29:C$32,'HS250-DATA'!D$29:D$32),"FAN?")))</f>
        <v>0.24099999999999999</v>
      </c>
      <c r="W65" s="1602">
        <f>(G65*H65)^2*Q65*10^-3+G65*P65</f>
        <v>42.706964520367961</v>
      </c>
      <c r="X65" s="1602">
        <f>D65*W65</f>
        <v>256.24178712220777</v>
      </c>
      <c r="Y65" s="1602">
        <f>IF(A65=3,W65*6,IF(A65=1,W65*4,W65))</f>
        <v>256.24178712220777</v>
      </c>
      <c r="Z65" s="1579">
        <f>O65-5</f>
        <v>120</v>
      </c>
      <c r="AA65" s="1602">
        <f>D65*W65*V65+AB65</f>
        <v>116.75427069645207</v>
      </c>
      <c r="AB65" s="1588">
        <v>55</v>
      </c>
      <c r="AC65" s="1570"/>
      <c r="AD65" s="1564">
        <f>Q65*10^-3*H65^2</f>
        <v>5.5199999999999986E-4</v>
      </c>
      <c r="AE65" s="1634">
        <f>P65</f>
        <v>0.70299999999999996</v>
      </c>
      <c r="AF65" s="1635">
        <f>(AB65-Z65)/(R65+S65+D65*V65)</f>
        <v>-42.706964520367933</v>
      </c>
      <c r="AG65" s="1636">
        <f>AE65^2-4*AD65*AF65</f>
        <v>0.58850597766097235</v>
      </c>
      <c r="AH65" s="1741">
        <f>SUM(AJ65:AL65)</f>
        <v>994.86</v>
      </c>
      <c r="AI65" s="1607"/>
      <c r="AJ65" s="1733">
        <f>C65*LOOKUP(T65,'HS250-DATA'!C$7:C$10,'HS250-DATA'!F$7:F$10)</f>
        <v>19.86</v>
      </c>
      <c r="AK65" s="1733">
        <f>IF(U65="Y",C65*12,0)</f>
        <v>0</v>
      </c>
      <c r="AL65" s="1733">
        <f>C65*E65*VLOOKUP(K65,'SCR-Diode DATA'!D$7:M$43,10,FALSE)</f>
        <v>975</v>
      </c>
      <c r="AM65" s="507">
        <f>AH65/F65</f>
        <v>5.7078313498138442</v>
      </c>
    </row>
    <row r="66" spans="1:39" ht="18.75">
      <c r="A66" s="1598">
        <v>3</v>
      </c>
      <c r="B66" s="1533">
        <f t="shared" si="35"/>
        <v>6</v>
      </c>
      <c r="C66" s="1600">
        <v>3</v>
      </c>
      <c r="D66" s="1575">
        <f>B66/C66</f>
        <v>2</v>
      </c>
      <c r="E66" s="1575">
        <v>1</v>
      </c>
      <c r="F66" s="1611">
        <f>IF(A66=3,3*G66,IF(A66=1,2*G66,IF(A66="bd",1*G66,IF(A66="fwd",1,"Error"))))</f>
        <v>395.24772772526399</v>
      </c>
      <c r="G66" s="1582">
        <f>(-AE66+SQRT(AG66))/2/AD66</f>
        <v>131.749242575088</v>
      </c>
      <c r="H66" s="1583">
        <f>IF(A66=3,SQRT(3),IF(A66=1,SQRT(2),1))</f>
        <v>1.7320508075688772</v>
      </c>
      <c r="I66" s="1594">
        <f>H66*G66</f>
        <v>228.19638199876908</v>
      </c>
      <c r="J66" s="1680" t="s">
        <v>548</v>
      </c>
      <c r="K66" s="1418" t="s">
        <v>471</v>
      </c>
      <c r="L66" s="1419">
        <v>700</v>
      </c>
      <c r="M66" s="1419">
        <v>1100</v>
      </c>
      <c r="N66" s="1419">
        <v>36500</v>
      </c>
      <c r="O66" s="1412">
        <v>125</v>
      </c>
      <c r="P66" s="1416">
        <v>0.70299999999999996</v>
      </c>
      <c r="Q66" s="1416">
        <v>0.184</v>
      </c>
      <c r="R66" s="1416">
        <v>5.8000000000000003E-2</v>
      </c>
      <c r="S66" s="1687">
        <v>1.7999999999999999E-2</v>
      </c>
      <c r="T66" s="1624">
        <v>10</v>
      </c>
      <c r="U66" s="1616" t="s">
        <v>642</v>
      </c>
      <c r="V66" s="1622">
        <f>IF(E66=1,IF(U66="N",LOOKUP(T66,'HS250-DATA'!C$7:C$10,'HS250-DATA'!D$7:D$10),IF(U66="Y",LOOKUP(T66,'HS250-DATA'!C$22:C$25,'HS250-DATA'!D$22:D$25),"FAN?")),IF(U66="N",LOOKUP(T66,'HS250-DATA'!C$14:C$17,'HS250-DATA'!D$14:D$17),IF(U66="Y",LOOKUP(T66,'HS250-DATA'!C$29:C$32,'HS250-DATA'!D$29:D$32),"FAN?")))</f>
        <v>0.28000000000000003</v>
      </c>
      <c r="W66" s="1602">
        <f>(G66*H66)^2*Q66*10^-3+G66*P66</f>
        <v>102.20125786163524</v>
      </c>
      <c r="X66" s="1602">
        <f>D66*W66</f>
        <v>204.40251572327048</v>
      </c>
      <c r="Y66" s="1602">
        <f>IF(A66=3,W66*6,IF(A66=1,W66*4,W66))</f>
        <v>613.20754716981151</v>
      </c>
      <c r="Z66" s="1579">
        <f>O66-5</f>
        <v>120</v>
      </c>
      <c r="AA66" s="1602">
        <f>D66*W66*V66+AB66</f>
        <v>112.23270440251574</v>
      </c>
      <c r="AB66" s="1588">
        <v>55</v>
      </c>
      <c r="AC66" s="1570"/>
      <c r="AD66" s="1564">
        <f>Q66*10^-3*H66^2</f>
        <v>5.5199999999999986E-4</v>
      </c>
      <c r="AE66" s="1634">
        <f>P66</f>
        <v>0.70299999999999996</v>
      </c>
      <c r="AF66" s="1635">
        <f>(AB66-Z66)/(R66+S66+D66*V66)</f>
        <v>-102.20125786163521</v>
      </c>
      <c r="AG66" s="1636">
        <f>AE66^2-4*AD66*AF66</f>
        <v>0.71986937735849044</v>
      </c>
      <c r="AH66" s="1741">
        <f>SUM(AJ66:AL66)</f>
        <v>1034.58</v>
      </c>
      <c r="AI66" s="1607"/>
      <c r="AJ66" s="1733">
        <f>C66*LOOKUP(T66,'HS250-DATA'!C$7:C$10,'HS250-DATA'!F$7:F$10)</f>
        <v>59.58</v>
      </c>
      <c r="AK66" s="1733">
        <f>IF(U66="Y",C66*12,0)</f>
        <v>0</v>
      </c>
      <c r="AL66" s="1733">
        <f>C66*E66*VLOOKUP(K66,'SCR-Diode DATA'!D$7:M$43,10,FALSE)</f>
        <v>975</v>
      </c>
      <c r="AM66" s="507">
        <f>AH66/F66</f>
        <v>2.6175482550000506</v>
      </c>
    </row>
    <row r="67" spans="1:39" ht="18.75">
      <c r="A67" s="1598"/>
      <c r="B67" s="1533"/>
      <c r="C67" s="1600"/>
      <c r="D67" s="1575"/>
      <c r="E67" s="1575"/>
      <c r="F67" s="1611"/>
      <c r="G67" s="1582"/>
      <c r="H67" s="1583"/>
      <c r="I67" s="1594"/>
      <c r="J67" s="1680"/>
      <c r="K67" s="1418"/>
      <c r="L67" s="1419"/>
      <c r="M67" s="1419"/>
      <c r="N67" s="1419"/>
      <c r="O67" s="1412"/>
      <c r="P67" s="1416"/>
      <c r="Q67" s="1416"/>
      <c r="R67" s="1416"/>
      <c r="S67" s="1687"/>
      <c r="T67" s="1624"/>
      <c r="U67" s="1616"/>
      <c r="V67" s="1622"/>
      <c r="W67" s="1602"/>
      <c r="X67" s="1602"/>
      <c r="Y67" s="1602"/>
      <c r="Z67" s="1579"/>
      <c r="AA67" s="1602"/>
      <c r="AB67" s="1588"/>
      <c r="AC67" s="1570"/>
      <c r="AD67" s="1564"/>
      <c r="AE67" s="1634"/>
      <c r="AF67" s="1635"/>
      <c r="AG67" s="1636"/>
      <c r="AH67" s="1742"/>
      <c r="AI67" s="1607"/>
      <c r="AJ67" s="1607"/>
      <c r="AK67" s="1607"/>
      <c r="AL67" s="1733"/>
      <c r="AM67" s="1743"/>
    </row>
    <row r="68" spans="1:39" ht="18.75">
      <c r="A68" s="1598">
        <v>3</v>
      </c>
      <c r="B68" s="1533">
        <f t="shared" si="35"/>
        <v>6</v>
      </c>
      <c r="C68" s="1600">
        <v>1</v>
      </c>
      <c r="D68" s="1575">
        <f>B68/C68</f>
        <v>6</v>
      </c>
      <c r="E68" s="1575">
        <v>6</v>
      </c>
      <c r="F68" s="1611">
        <f>IF(A68=3,3*G68,IF(A68=1,2*G68,IF(A68="bd",1*G68,IF(A68="fwd",1,"Error"))))</f>
        <v>185.71334067265207</v>
      </c>
      <c r="G68" s="1582">
        <f>(-AE68+SQRT(AG68))/2/AD68</f>
        <v>61.904446890884024</v>
      </c>
      <c r="H68" s="1583">
        <f>IF(A68=3,SQRT(3),IF(A68=1,SQRT(2),1))</f>
        <v>1.7320508075688772</v>
      </c>
      <c r="I68" s="1594">
        <f>H68*G68</f>
        <v>107.22164722946034</v>
      </c>
      <c r="J68" s="1680" t="s">
        <v>558</v>
      </c>
      <c r="K68" s="1418" t="s">
        <v>472</v>
      </c>
      <c r="L68" s="1419">
        <v>1500</v>
      </c>
      <c r="M68" s="1419">
        <v>2355</v>
      </c>
      <c r="N68" s="1419">
        <v>62000</v>
      </c>
      <c r="O68" s="1412">
        <v>125</v>
      </c>
      <c r="P68" s="1416">
        <v>0.69099999999999995</v>
      </c>
      <c r="Q68" s="1412">
        <v>0.10199999999999999</v>
      </c>
      <c r="R68" s="1412">
        <v>2.4E-2</v>
      </c>
      <c r="S68" s="1687">
        <v>8.9999999999999993E-3</v>
      </c>
      <c r="T68" s="1624">
        <v>10</v>
      </c>
      <c r="U68" s="1616" t="s">
        <v>642</v>
      </c>
      <c r="V68" s="1622">
        <f>IF(E68=1,IF(U68="N",LOOKUP(T68,'HS250-DATA'!C$7:C$10,'HS250-DATA'!D$7:D$10),IF(U68="Y",LOOKUP(T68,'HS250-DATA'!C$22:C$25,'HS250-DATA'!D$22:D$25),"FAN?")),IF(U68="N",LOOKUP(T68,'HS250-DATA'!C$14:C$17,'HS250-DATA'!D$14:D$17),IF(U68="Y",LOOKUP(T68,'HS250-DATA'!C$29:C$32,'HS250-DATA'!D$29:D$32),"FAN?")))</f>
        <v>0.24099999999999999</v>
      </c>
      <c r="W68" s="1602">
        <f>(G68*H68)^2*Q68*10^-3+G68*P68</f>
        <v>43.948613928329941</v>
      </c>
      <c r="X68" s="1602">
        <f>D68*W68</f>
        <v>263.69168356997966</v>
      </c>
      <c r="Y68" s="1602">
        <f>IF(A68=3,W68*6,IF(A68=1,W68*4,W68))</f>
        <v>263.69168356997966</v>
      </c>
      <c r="Z68" s="1579">
        <f>O68-5</f>
        <v>120</v>
      </c>
      <c r="AA68" s="1602">
        <f>D68*W68*V68+AB68</f>
        <v>118.5496957403651</v>
      </c>
      <c r="AB68" s="1588">
        <v>55</v>
      </c>
      <c r="AC68" s="1570"/>
      <c r="AD68" s="1564">
        <f>Q68*10^-3*H68^2</f>
        <v>3.0599999999999996E-4</v>
      </c>
      <c r="AE68" s="1634">
        <f>P68</f>
        <v>0.69099999999999995</v>
      </c>
      <c r="AF68" s="1635">
        <f>(AB68-Z68)/(R68+S68+D68*V68)</f>
        <v>-43.948613928329955</v>
      </c>
      <c r="AG68" s="1636">
        <f>AE68^2-4*AD68*AF68</f>
        <v>0.53127410344827575</v>
      </c>
      <c r="AH68" s="1741">
        <f>SUM(AJ68:AL68)</f>
        <v>1159.8599999999999</v>
      </c>
      <c r="AI68" s="1607"/>
      <c r="AJ68" s="1733">
        <f>C68*LOOKUP(T68,'HS250-DATA'!C$7:C$10,'HS250-DATA'!F$7:F$10)</f>
        <v>19.86</v>
      </c>
      <c r="AK68" s="1733">
        <f>IF(U68="Y",C68*12,0)</f>
        <v>0</v>
      </c>
      <c r="AL68" s="1733">
        <f>C68*E68*VLOOKUP(K68,'SCR-Diode DATA'!D$7:M$43,10,FALSE)</f>
        <v>1140</v>
      </c>
      <c r="AM68" s="507">
        <f>AH68/F68</f>
        <v>6.2454317810395166</v>
      </c>
    </row>
    <row r="69" spans="1:39" ht="18.75">
      <c r="A69" s="1598">
        <v>3</v>
      </c>
      <c r="B69" s="1533">
        <f t="shared" si="35"/>
        <v>6</v>
      </c>
      <c r="C69" s="1600">
        <v>2</v>
      </c>
      <c r="D69" s="1575">
        <f>B69/C69</f>
        <v>3</v>
      </c>
      <c r="E69" s="1575">
        <v>3</v>
      </c>
      <c r="F69" s="1611">
        <f>IF(A69=3,3*G69,IF(A69=1,2*G69,IF(A69="bd",1*G69,IF(A69="fwd",1,"Error"))))</f>
        <v>354.70782692262071</v>
      </c>
      <c r="G69" s="1582">
        <f>(-AE69+SQRT(AG69))/2/AD69</f>
        <v>118.23594230754023</v>
      </c>
      <c r="H69" s="1583">
        <f>IF(A69=3,SQRT(3),IF(A69=1,SQRT(2),1))</f>
        <v>1.7320508075688772</v>
      </c>
      <c r="I69" s="1594">
        <f>H69*G69</f>
        <v>204.79065935744222</v>
      </c>
      <c r="J69" s="1680" t="s">
        <v>558</v>
      </c>
      <c r="K69" s="1418" t="s">
        <v>472</v>
      </c>
      <c r="L69" s="1419">
        <v>1500</v>
      </c>
      <c r="M69" s="1419">
        <v>2355</v>
      </c>
      <c r="N69" s="1419">
        <v>62000</v>
      </c>
      <c r="O69" s="1412">
        <v>125</v>
      </c>
      <c r="P69" s="1416">
        <v>0.69099999999999995</v>
      </c>
      <c r="Q69" s="1412">
        <v>0.10199999999999999</v>
      </c>
      <c r="R69" s="1412">
        <v>2.4E-2</v>
      </c>
      <c r="S69" s="1687">
        <v>8.9999999999999993E-3</v>
      </c>
      <c r="T69" s="1624">
        <v>10</v>
      </c>
      <c r="U69" s="1616" t="s">
        <v>642</v>
      </c>
      <c r="V69" s="1622">
        <f>IF(E69=1,IF(U69="N",LOOKUP(T69,'HS250-DATA'!C$7:C$10,'HS250-DATA'!D$7:D$10),IF(U69="Y",LOOKUP(T69,'HS250-DATA'!C$22:C$25,'HS250-DATA'!D$22:D$25),"FAN?")),IF(U69="N",LOOKUP(T69,'HS250-DATA'!C$14:C$17,'HS250-DATA'!D$14:D$17),IF(U69="Y",LOOKUP(T69,'HS250-DATA'!C$29:C$32,'HS250-DATA'!D$29:D$32),"FAN?")))</f>
        <v>0.24099999999999999</v>
      </c>
      <c r="W69" s="1602">
        <f>(G69*H69)^2*Q69*10^-3+G69*P69</f>
        <v>85.978835978836003</v>
      </c>
      <c r="X69" s="1602">
        <f>D69*W69</f>
        <v>257.93650793650801</v>
      </c>
      <c r="Y69" s="1602">
        <f>IF(A69=3,W69*6,IF(A69=1,W69*4,W69))</f>
        <v>515.87301587301602</v>
      </c>
      <c r="Z69" s="1579">
        <f>O69-5</f>
        <v>120</v>
      </c>
      <c r="AA69" s="1602">
        <f>D69*W69*V69+AB69</f>
        <v>117.16269841269843</v>
      </c>
      <c r="AB69" s="1588">
        <v>55</v>
      </c>
      <c r="AC69" s="1570"/>
      <c r="AD69" s="1564">
        <f>Q69*10^-3*H69^2</f>
        <v>3.0599999999999996E-4</v>
      </c>
      <c r="AE69" s="1634">
        <f>P69</f>
        <v>0.69099999999999995</v>
      </c>
      <c r="AF69" s="1635">
        <f>(AB69-Z69)/(R69+S69+D69*V69)</f>
        <v>-85.978835978835974</v>
      </c>
      <c r="AG69" s="1636">
        <f>AE69^2-4*AD69*AF69</f>
        <v>0.58271909523809517</v>
      </c>
      <c r="AH69" s="1741">
        <f>SUM(AJ69:AL69)</f>
        <v>1179.72</v>
      </c>
      <c r="AI69" s="1607"/>
      <c r="AJ69" s="1733">
        <f>C69*LOOKUP(T69,'HS250-DATA'!C$7:C$10,'HS250-DATA'!F$7:F$10)</f>
        <v>39.72</v>
      </c>
      <c r="AK69" s="1733">
        <f>IF(U69="Y",C69*12,0)</f>
        <v>0</v>
      </c>
      <c r="AL69" s="1733">
        <f>C69*E69*VLOOKUP(K69,'SCR-Diode DATA'!D$7:M$43,10,FALSE)</f>
        <v>1140</v>
      </c>
      <c r="AM69" s="507">
        <f>AH69/F69</f>
        <v>3.325892214544663</v>
      </c>
    </row>
    <row r="70" spans="1:39" ht="18.75">
      <c r="A70" s="1598">
        <v>3</v>
      </c>
      <c r="B70" s="1533">
        <f t="shared" si="35"/>
        <v>6</v>
      </c>
      <c r="C70" s="1600">
        <v>3</v>
      </c>
      <c r="D70" s="1575">
        <f>B70/C70</f>
        <v>2</v>
      </c>
      <c r="E70" s="1575">
        <v>2</v>
      </c>
      <c r="F70" s="1611">
        <f>IF(A70=3,3*G70,IF(A70=1,2*G70,IF(A70="bd",1*G70,IF(A70="fwd",1,"Error"))))</f>
        <v>509.62336766720387</v>
      </c>
      <c r="G70" s="1582">
        <f>(-AE70+SQRT(AG70))/2/AD70</f>
        <v>169.87445588906795</v>
      </c>
      <c r="H70" s="1583">
        <f>IF(A70=3,SQRT(3),IF(A70=1,SQRT(2),1))</f>
        <v>1.7320508075688772</v>
      </c>
      <c r="I70" s="1594">
        <f>H70*G70</f>
        <v>294.23118850798375</v>
      </c>
      <c r="J70" s="1680" t="s">
        <v>558</v>
      </c>
      <c r="K70" s="1418" t="s">
        <v>472</v>
      </c>
      <c r="L70" s="1419">
        <v>1500</v>
      </c>
      <c r="M70" s="1419">
        <v>2355</v>
      </c>
      <c r="N70" s="1419">
        <v>62000</v>
      </c>
      <c r="O70" s="1412">
        <v>125</v>
      </c>
      <c r="P70" s="1416">
        <v>0.69099999999999995</v>
      </c>
      <c r="Q70" s="1412">
        <v>0.10199999999999999</v>
      </c>
      <c r="R70" s="1412">
        <v>2.4E-2</v>
      </c>
      <c r="S70" s="1687">
        <v>8.9999999999999993E-3</v>
      </c>
      <c r="T70" s="1624">
        <v>10</v>
      </c>
      <c r="U70" s="1616" t="s">
        <v>642</v>
      </c>
      <c r="V70" s="1622">
        <f>IF(E70=1,IF(U70="N",LOOKUP(T70,'HS250-DATA'!C$7:C$10,'HS250-DATA'!D$7:D$10),IF(U70="Y",LOOKUP(T70,'HS250-DATA'!C$22:C$25,'HS250-DATA'!D$22:D$25),"FAN?")),IF(U70="N",LOOKUP(T70,'HS250-DATA'!C$14:C$17,'HS250-DATA'!D$14:D$17),IF(U70="Y",LOOKUP(T70,'HS250-DATA'!C$29:C$32,'HS250-DATA'!D$29:D$32),"FAN?")))</f>
        <v>0.24099999999999999</v>
      </c>
      <c r="W70" s="1602">
        <f>(G70*H70)^2*Q70*10^-3+G70*P70</f>
        <v>126.21359223300965</v>
      </c>
      <c r="X70" s="1602">
        <f>D70*W70</f>
        <v>252.4271844660193</v>
      </c>
      <c r="Y70" s="1602">
        <f>IF(A70=3,W70*6,IF(A70=1,W70*4,W70))</f>
        <v>757.28155339805789</v>
      </c>
      <c r="Z70" s="1579">
        <f>O70-5</f>
        <v>120</v>
      </c>
      <c r="AA70" s="1602">
        <f>D70*W70*V70+AB70</f>
        <v>115.83495145631065</v>
      </c>
      <c r="AB70" s="1588">
        <v>55</v>
      </c>
      <c r="AC70" s="1570"/>
      <c r="AD70" s="1564">
        <f>Q70*10^-3*H70^2</f>
        <v>3.0599999999999996E-4</v>
      </c>
      <c r="AE70" s="1634">
        <f>P70</f>
        <v>0.69099999999999995</v>
      </c>
      <c r="AF70" s="1635">
        <f>(AB70-Z70)/(R70+S70+D70*V70)</f>
        <v>-126.21359223300971</v>
      </c>
      <c r="AG70" s="1636">
        <f>AE70^2-4*AD70*AF70</f>
        <v>0.63196643689320375</v>
      </c>
      <c r="AH70" s="1741">
        <f>SUM(AJ70:AL70)</f>
        <v>1199.58</v>
      </c>
      <c r="AI70" s="1607"/>
      <c r="AJ70" s="1733">
        <f>C70*LOOKUP(T70,'HS250-DATA'!C$7:C$10,'HS250-DATA'!F$7:F$10)</f>
        <v>59.58</v>
      </c>
      <c r="AK70" s="1733">
        <f>IF(U70="Y",C70*12,0)</f>
        <v>0</v>
      </c>
      <c r="AL70" s="1733">
        <f>C70*E70*VLOOKUP(K70,'SCR-Diode DATA'!D$7:M$43,10,FALSE)</f>
        <v>1140</v>
      </c>
      <c r="AM70" s="507">
        <f>AH70/F70</f>
        <v>2.3538559573731206</v>
      </c>
    </row>
    <row r="71" spans="1:39" ht="18.75">
      <c r="A71" s="1598">
        <v>3</v>
      </c>
      <c r="B71" s="1533">
        <f t="shared" si="35"/>
        <v>6</v>
      </c>
      <c r="C71" s="1600">
        <v>6</v>
      </c>
      <c r="D71" s="1575">
        <f>B71/C71</f>
        <v>1</v>
      </c>
      <c r="E71" s="1575">
        <v>1</v>
      </c>
      <c r="F71" s="1611">
        <f>IF(A71=3,3*G71,IF(A71=1,2*G71,IF(A71="bd",1*G71,IF(A71="fwd",1,"Error"))))</f>
        <v>805.75955431591592</v>
      </c>
      <c r="G71" s="1582">
        <f>(-AE71+SQRT(AG71))/2/AD71</f>
        <v>268.58651810530529</v>
      </c>
      <c r="H71" s="1583">
        <f>IF(A71=3,SQRT(3),IF(A71=1,SQRT(2),1))</f>
        <v>1.7320508075688772</v>
      </c>
      <c r="I71" s="1594">
        <f>H71*G71</f>
        <v>465.20549558640687</v>
      </c>
      <c r="J71" s="1680" t="s">
        <v>558</v>
      </c>
      <c r="K71" s="1418" t="s">
        <v>472</v>
      </c>
      <c r="L71" s="1419">
        <v>1500</v>
      </c>
      <c r="M71" s="1419">
        <v>2355</v>
      </c>
      <c r="N71" s="1419">
        <v>62000</v>
      </c>
      <c r="O71" s="1412">
        <v>125</v>
      </c>
      <c r="P71" s="1416">
        <v>0.69099999999999995</v>
      </c>
      <c r="Q71" s="1412">
        <v>0.10199999999999999</v>
      </c>
      <c r="R71" s="1412">
        <v>2.4E-2</v>
      </c>
      <c r="S71" s="1687">
        <v>8.9999999999999993E-3</v>
      </c>
      <c r="T71" s="1624">
        <v>10</v>
      </c>
      <c r="U71" s="1616" t="s">
        <v>642</v>
      </c>
      <c r="V71" s="1622">
        <f>IF(E71=1,IF(U71="N",LOOKUP(T71,'HS250-DATA'!C$7:C$10,'HS250-DATA'!D$7:D$10),IF(U71="Y",LOOKUP(T71,'HS250-DATA'!C$22:C$25,'HS250-DATA'!D$22:D$25),"FAN?")),IF(U71="N",LOOKUP(T71,'HS250-DATA'!C$14:C$17,'HS250-DATA'!D$14:D$17),IF(U71="Y",LOOKUP(T71,'HS250-DATA'!C$29:C$32,'HS250-DATA'!D$29:D$32),"FAN?")))</f>
        <v>0.28000000000000003</v>
      </c>
      <c r="W71" s="1602">
        <f>(G71*H71)^2*Q71*10^-3+G71*P71</f>
        <v>207.66773162939296</v>
      </c>
      <c r="X71" s="1602">
        <f>D71*W71</f>
        <v>207.66773162939296</v>
      </c>
      <c r="Y71" s="1602">
        <f>IF(A71=3,W71*6,IF(A71=1,W71*4,W71))</f>
        <v>1246.0063897763578</v>
      </c>
      <c r="Z71" s="1579">
        <f>O71-5</f>
        <v>120</v>
      </c>
      <c r="AA71" s="1602">
        <f>D71*W71*V71+AB71</f>
        <v>113.14696485623003</v>
      </c>
      <c r="AB71" s="1588">
        <v>55</v>
      </c>
      <c r="AC71" s="1570"/>
      <c r="AD71" s="1564">
        <f>Q71*10^-3*H71^2</f>
        <v>3.0599999999999996E-4</v>
      </c>
      <c r="AE71" s="1634">
        <f>P71</f>
        <v>0.69099999999999995</v>
      </c>
      <c r="AF71" s="1635">
        <f>(AB71-Z71)/(R71+S71+D71*V71)</f>
        <v>-207.66773162939293</v>
      </c>
      <c r="AG71" s="1636">
        <f>AE71^2-4*AD71*AF71</f>
        <v>0.73166630351437689</v>
      </c>
      <c r="AH71" s="1741">
        <f>SUM(AJ71:AL71)</f>
        <v>1259.1600000000001</v>
      </c>
      <c r="AI71" s="1607"/>
      <c r="AJ71" s="1733">
        <f>C71*LOOKUP(T71,'HS250-DATA'!C$7:C$10,'HS250-DATA'!F$7:F$10)</f>
        <v>119.16</v>
      </c>
      <c r="AK71" s="1733">
        <f>IF(U71="Y",C71*12,0)</f>
        <v>0</v>
      </c>
      <c r="AL71" s="1733">
        <f>C71*E71*VLOOKUP(K71,'SCR-Diode DATA'!D$7:M$43,10,FALSE)</f>
        <v>1140</v>
      </c>
      <c r="AM71" s="507">
        <f>AH71/F71</f>
        <v>1.5626994346582932</v>
      </c>
    </row>
    <row r="72" spans="1:39" ht="19.5" thickBot="1">
      <c r="A72" s="1599"/>
      <c r="B72" s="1692"/>
      <c r="C72" s="1601"/>
      <c r="D72" s="1591"/>
      <c r="E72" s="1591"/>
      <c r="F72" s="1662"/>
      <c r="G72" s="1589"/>
      <c r="H72" s="1590"/>
      <c r="I72" s="1595"/>
      <c r="J72" s="1693"/>
      <c r="K72" s="1686"/>
      <c r="L72" s="1685"/>
      <c r="M72" s="1685"/>
      <c r="N72" s="1685"/>
      <c r="O72" s="1684"/>
      <c r="P72" s="1683"/>
      <c r="Q72" s="1683"/>
      <c r="R72" s="1683"/>
      <c r="S72" s="1682"/>
      <c r="T72" s="1569"/>
      <c r="U72" s="1568"/>
      <c r="V72" s="1567"/>
      <c r="W72" s="1605"/>
      <c r="X72" s="1605"/>
      <c r="Y72" s="1605"/>
      <c r="Z72" s="1566"/>
      <c r="AA72" s="1605"/>
      <c r="AB72" s="1592"/>
      <c r="AC72" s="1570"/>
      <c r="AD72" s="1564"/>
      <c r="AE72" s="1634"/>
      <c r="AF72" s="1635"/>
      <c r="AG72" s="1636"/>
      <c r="AH72" s="1744"/>
      <c r="AI72" s="1608"/>
      <c r="AJ72" s="1608"/>
      <c r="AK72" s="1608"/>
      <c r="AL72" s="1745"/>
      <c r="AM72" s="1746"/>
    </row>
    <row r="73" spans="1:39" ht="13.5" thickBot="1"/>
    <row r="74" spans="1:39" ht="24">
      <c r="A74" s="1673">
        <v>3</v>
      </c>
      <c r="B74" s="1327">
        <f>IF(A74=3,6,IF(A74=1,4,IF(A74="bd",1,IF(A74="fwd",1,"Circuit Type"))))</f>
        <v>6</v>
      </c>
      <c r="C74" s="1620">
        <v>1</v>
      </c>
      <c r="D74" s="1609">
        <f t="shared" ref="D74:D79" si="36">B74/C74</f>
        <v>6</v>
      </c>
      <c r="E74" s="1609">
        <v>1</v>
      </c>
      <c r="F74" s="1674">
        <f t="shared" ref="F74:F79" si="37">IF(A74=3,3*G74,IF(A74=1,2*G74,IF(A74="bd",1*G74,IF(A74="fwd",1,"Error"))))</f>
        <v>33.939611419614209</v>
      </c>
      <c r="G74" s="1670">
        <f t="shared" ref="G74:G79" si="38">(-AE74+SQRT(AG74))/2/AD74</f>
        <v>11.31320380653807</v>
      </c>
      <c r="H74" s="1675">
        <f t="shared" ref="H74:H79" si="39">IF(A74=3,SQRT(3),IF(A74=1,SQRT(2),1))</f>
        <v>1.7320508075688772</v>
      </c>
      <c r="I74" s="1676">
        <f t="shared" ref="I74:I79" si="40">H74*G74</f>
        <v>19.59504378930556</v>
      </c>
      <c r="J74" s="1677" t="s">
        <v>539</v>
      </c>
      <c r="K74" s="1584" t="s">
        <v>540</v>
      </c>
      <c r="L74" s="1603">
        <v>42</v>
      </c>
      <c r="M74" s="1603"/>
      <c r="N74" s="1603">
        <v>280</v>
      </c>
      <c r="O74" s="1678">
        <v>125</v>
      </c>
      <c r="P74" s="1585">
        <v>1.1000000000000001</v>
      </c>
      <c r="Q74" s="1679">
        <v>20</v>
      </c>
      <c r="R74" s="1585">
        <v>1.6</v>
      </c>
      <c r="S74" s="1604">
        <v>0.1</v>
      </c>
      <c r="T74" s="1667">
        <v>13</v>
      </c>
      <c r="U74" s="1668" t="s">
        <v>642</v>
      </c>
      <c r="V74" s="1669">
        <f>IF(E74=1,IF(U74="N",LOOKUP(T74,'HS250-DATA'!C$7:C$10,'HS250-DATA'!D$7:D$10),IF(U74="Y",LOOKUP(T74,'HS250-DATA'!C$22:C$25,'HS250-DATA'!D$22:D$25),"FAN?")),IF(U74="N",LOOKUP(T74,'HS250-DATA'!C$14:C$17,'HS250-DATA'!D$14:D$17),IF(U74="Y",LOOKUP(T74,'HS250-DATA'!C$29:C$32,'HS250-DATA'!D$29:D$32),"FAN?")))</f>
        <v>0.255</v>
      </c>
      <c r="W74" s="1671">
        <f t="shared" ref="W74:W79" si="41">(G74*H74)^2*Q74*10^-3+G74*P74</f>
        <v>20.123839009287927</v>
      </c>
      <c r="X74" s="1671">
        <f t="shared" ref="X74:X79" si="42">D74*W74</f>
        <v>120.74303405572756</v>
      </c>
      <c r="Y74" s="1671">
        <f t="shared" ref="Y74:Y79" si="43">IF(A74=3,W74*6,IF(A74=1,W74*4,W74))</f>
        <v>120.74303405572756</v>
      </c>
      <c r="Z74" s="1672">
        <f t="shared" ref="Z74:Z79" si="44">O74-5</f>
        <v>120</v>
      </c>
      <c r="AA74" s="1671">
        <f t="shared" ref="AA74:AA79" si="45">D74*W74*V74+AB74</f>
        <v>85.78947368421052</v>
      </c>
      <c r="AB74" s="1610">
        <v>55</v>
      </c>
      <c r="AC74" s="1570"/>
      <c r="AD74" s="1564">
        <f t="shared" ref="AD74:AD79" si="46">Q74*10^-3*H74^2</f>
        <v>5.9999999999999991E-2</v>
      </c>
      <c r="AE74" s="1634">
        <f t="shared" ref="AE74:AE79" si="47">P74</f>
        <v>1.1000000000000001</v>
      </c>
      <c r="AF74" s="1635">
        <f t="shared" ref="AF74:AF79" si="48">(AB74-Z74)/(R74+S74+D74*V74)</f>
        <v>-20.123839009287924</v>
      </c>
      <c r="AG74" s="1636">
        <f t="shared" ref="AG74:AG79" si="49">AE74^2-4*AD74*AF74</f>
        <v>6.0397213622291011</v>
      </c>
      <c r="AH74" s="1747">
        <f t="shared" ref="AH74:AH79" si="50">SUM(AJ74:AL74)</f>
        <v>47.05</v>
      </c>
      <c r="AI74" s="1639"/>
      <c r="AJ74" s="1748">
        <f>C74*LOOKUP(T74,'HS250-DATA'!C$7:C$10,'HS250-DATA'!F$7:F$10)</f>
        <v>24.55</v>
      </c>
      <c r="AK74" s="1748">
        <f t="shared" ref="AK74:AK79" si="51">IF(U74="Y",C74*12,0)</f>
        <v>0</v>
      </c>
      <c r="AL74" s="1748">
        <f>C74*E74*VLOOKUP(K74,'SCR-Diode DATA'!D$7:M$43,10,FALSE)</f>
        <v>22.5</v>
      </c>
      <c r="AM74" s="1749">
        <f t="shared" ref="AM74:AM79" si="52">AH74/F74</f>
        <v>1.3862857596775282</v>
      </c>
    </row>
    <row r="75" spans="1:39" ht="24">
      <c r="A75" s="1598">
        <v>1</v>
      </c>
      <c r="B75" s="1533">
        <f>IF(A75=3,6,IF(A75=1,4,IF(A75="bd",1,IF(A75="fwd",1,"Circuit Type"))))</f>
        <v>4</v>
      </c>
      <c r="C75" s="1600">
        <v>1</v>
      </c>
      <c r="D75" s="1575">
        <f t="shared" si="36"/>
        <v>4</v>
      </c>
      <c r="E75" s="1575">
        <v>1</v>
      </c>
      <c r="F75" s="1611">
        <f t="shared" si="37"/>
        <v>28.588821367122168</v>
      </c>
      <c r="G75" s="1582">
        <f t="shared" si="38"/>
        <v>14.294410683561084</v>
      </c>
      <c r="H75" s="1583">
        <f t="shared" si="39"/>
        <v>1.4142135623730951</v>
      </c>
      <c r="I75" s="1594">
        <f t="shared" si="40"/>
        <v>20.215349454822952</v>
      </c>
      <c r="J75" s="1666" t="s">
        <v>539</v>
      </c>
      <c r="K75" s="1586" t="s">
        <v>540</v>
      </c>
      <c r="L75" s="1578">
        <v>42</v>
      </c>
      <c r="M75" s="1578"/>
      <c r="N75" s="1578">
        <v>280</v>
      </c>
      <c r="O75" s="1580">
        <v>125</v>
      </c>
      <c r="P75" s="1576">
        <v>1.1000000000000001</v>
      </c>
      <c r="Q75" s="1581">
        <v>20</v>
      </c>
      <c r="R75" s="1576">
        <v>1.6</v>
      </c>
      <c r="S75" s="1587">
        <v>0.1</v>
      </c>
      <c r="T75" s="1624">
        <v>13</v>
      </c>
      <c r="U75" s="1616" t="s">
        <v>642</v>
      </c>
      <c r="V75" s="1622">
        <f>IF(E75=1,IF(U75="N",LOOKUP(T75,'HS250-DATA'!C$7:C$10,'HS250-DATA'!D$7:D$10),IF(U75="Y",LOOKUP(T75,'HS250-DATA'!C$22:C$25,'HS250-DATA'!D$22:D$25),"FAN?")),IF(U75="N",LOOKUP(T75,'HS250-DATA'!C$14:C$17,'HS250-DATA'!D$14:D$17),IF(U75="Y",LOOKUP(T75,'HS250-DATA'!C$29:C$32,'HS250-DATA'!D$29:D$32),"FAN?")))</f>
        <v>0.255</v>
      </c>
      <c r="W75" s="1602">
        <f t="shared" si="41"/>
        <v>23.897058823529406</v>
      </c>
      <c r="X75" s="1602">
        <f t="shared" si="42"/>
        <v>95.588235294117624</v>
      </c>
      <c r="Y75" s="1602">
        <f t="shared" si="43"/>
        <v>95.588235294117624</v>
      </c>
      <c r="Z75" s="1579">
        <f t="shared" si="44"/>
        <v>120</v>
      </c>
      <c r="AA75" s="1602">
        <f t="shared" si="45"/>
        <v>79.375</v>
      </c>
      <c r="AB75" s="1588">
        <v>55</v>
      </c>
      <c r="AC75" s="1570"/>
      <c r="AD75" s="1564">
        <f t="shared" si="46"/>
        <v>4.0000000000000008E-2</v>
      </c>
      <c r="AE75" s="1634">
        <f t="shared" si="47"/>
        <v>1.1000000000000001</v>
      </c>
      <c r="AF75" s="1635">
        <f t="shared" si="48"/>
        <v>-23.897058823529409</v>
      </c>
      <c r="AG75" s="1636">
        <f t="shared" si="49"/>
        <v>5.0335294117647065</v>
      </c>
      <c r="AH75" s="1741">
        <f t="shared" si="50"/>
        <v>47.05</v>
      </c>
      <c r="AI75" s="1607"/>
      <c r="AJ75" s="1733">
        <f>C75*LOOKUP(T75,'HS250-DATA'!C$7:C$10,'HS250-DATA'!F$7:F$10)</f>
        <v>24.55</v>
      </c>
      <c r="AK75" s="1733">
        <f t="shared" si="51"/>
        <v>0</v>
      </c>
      <c r="AL75" s="1733">
        <f>C75*E75*VLOOKUP(K75,'SCR-Diode DATA'!D$7:M$43,10,FALSE)</f>
        <v>22.5</v>
      </c>
      <c r="AM75" s="507">
        <f t="shared" si="52"/>
        <v>1.6457481543505892</v>
      </c>
    </row>
    <row r="76" spans="1:39" ht="18.75">
      <c r="A76" s="1598">
        <v>3</v>
      </c>
      <c r="B76" s="1533">
        <f t="shared" ref="B76:B105" si="53">IF(A76=3,6,IF(A76=1,4,IF(A76="bd",1,IF(A76="fwd",1,"Circuit Type"))))</f>
        <v>6</v>
      </c>
      <c r="C76" s="1600">
        <v>1</v>
      </c>
      <c r="D76" s="1575">
        <f t="shared" si="36"/>
        <v>6</v>
      </c>
      <c r="E76" s="1575">
        <v>1</v>
      </c>
      <c r="F76" s="1611">
        <f t="shared" si="37"/>
        <v>48.198050606196574</v>
      </c>
      <c r="G76" s="1582">
        <f t="shared" si="38"/>
        <v>16.066016868732191</v>
      </c>
      <c r="H76" s="1583">
        <f t="shared" si="39"/>
        <v>1.7320508075688772</v>
      </c>
      <c r="I76" s="1594">
        <f t="shared" si="40"/>
        <v>27.827157491902796</v>
      </c>
      <c r="J76" s="1681" t="s">
        <v>542</v>
      </c>
      <c r="K76" s="1417" t="s">
        <v>543</v>
      </c>
      <c r="L76" s="1414">
        <v>68</v>
      </c>
      <c r="M76" s="1414"/>
      <c r="N76" s="1414">
        <v>380</v>
      </c>
      <c r="O76" s="1413">
        <v>125</v>
      </c>
      <c r="P76" s="1413">
        <v>1</v>
      </c>
      <c r="Q76" s="1415">
        <v>10</v>
      </c>
      <c r="R76" s="1413">
        <v>1.1000000000000001</v>
      </c>
      <c r="S76" s="1688">
        <v>0.1</v>
      </c>
      <c r="T76" s="1624">
        <v>13</v>
      </c>
      <c r="U76" s="1616" t="s">
        <v>642</v>
      </c>
      <c r="V76" s="1622">
        <f>IF(E76=1,IF(U76="N",LOOKUP(T76,'HS250-DATA'!C$7:C$10,'HS250-DATA'!D$7:D$10),IF(U76="Y",LOOKUP(T76,'HS250-DATA'!C$22:C$25,'HS250-DATA'!D$22:D$25),"FAN?")),IF(U76="N",LOOKUP(T76,'HS250-DATA'!C$14:C$17,'HS250-DATA'!D$14:D$17),IF(U76="Y",LOOKUP(T76,'HS250-DATA'!C$29:C$32,'HS250-DATA'!D$29:D$32),"FAN?")))</f>
        <v>0.255</v>
      </c>
      <c r="W76" s="1602">
        <f t="shared" si="41"/>
        <v>23.80952380952381</v>
      </c>
      <c r="X76" s="1602">
        <f t="shared" si="42"/>
        <v>142.85714285714286</v>
      </c>
      <c r="Y76" s="1602">
        <f t="shared" si="43"/>
        <v>142.85714285714286</v>
      </c>
      <c r="Z76" s="1579">
        <f t="shared" si="44"/>
        <v>120</v>
      </c>
      <c r="AA76" s="1602">
        <f t="shared" si="45"/>
        <v>91.428571428571431</v>
      </c>
      <c r="AB76" s="1588">
        <v>55</v>
      </c>
      <c r="AC76" s="1570"/>
      <c r="AD76" s="1564">
        <f t="shared" si="46"/>
        <v>2.9999999999999995E-2</v>
      </c>
      <c r="AE76" s="1634">
        <f t="shared" si="47"/>
        <v>1</v>
      </c>
      <c r="AF76" s="1635">
        <f t="shared" si="48"/>
        <v>-23.809523809523807</v>
      </c>
      <c r="AG76" s="1636">
        <f t="shared" si="49"/>
        <v>3.8571428571428563</v>
      </c>
      <c r="AH76" s="1741">
        <f t="shared" si="50"/>
        <v>53.35</v>
      </c>
      <c r="AI76" s="1607"/>
      <c r="AJ76" s="1733">
        <f>C76*LOOKUP(T76,'HS250-DATA'!C$7:C$10,'HS250-DATA'!F$7:F$10)</f>
        <v>24.55</v>
      </c>
      <c r="AK76" s="1733">
        <f t="shared" si="51"/>
        <v>0</v>
      </c>
      <c r="AL76" s="1733">
        <f>C76*E76*VLOOKUP(K76,'SCR-Diode DATA'!D$7:M$43,10,FALSE)</f>
        <v>28.8</v>
      </c>
      <c r="AM76" s="507">
        <f t="shared" si="52"/>
        <v>1.1068912399776822</v>
      </c>
    </row>
    <row r="77" spans="1:39" ht="18.75">
      <c r="A77" s="1598">
        <v>1</v>
      </c>
      <c r="B77" s="1533">
        <f t="shared" si="53"/>
        <v>4</v>
      </c>
      <c r="C77" s="1600">
        <v>1</v>
      </c>
      <c r="D77" s="1575">
        <f t="shared" si="36"/>
        <v>4</v>
      </c>
      <c r="E77" s="1575">
        <v>1</v>
      </c>
      <c r="F77" s="1611">
        <f t="shared" si="37"/>
        <v>41.410370614366592</v>
      </c>
      <c r="G77" s="1582">
        <f t="shared" si="38"/>
        <v>20.705185307183296</v>
      </c>
      <c r="H77" s="1583">
        <f t="shared" si="39"/>
        <v>1.4142135623730951</v>
      </c>
      <c r="I77" s="1594">
        <f t="shared" si="40"/>
        <v>29.281553872866755</v>
      </c>
      <c r="J77" s="1681" t="s">
        <v>542</v>
      </c>
      <c r="K77" s="1417" t="s">
        <v>543</v>
      </c>
      <c r="L77" s="1414">
        <v>68</v>
      </c>
      <c r="M77" s="1414"/>
      <c r="N77" s="1414">
        <v>380</v>
      </c>
      <c r="O77" s="1413">
        <v>125</v>
      </c>
      <c r="P77" s="1413">
        <v>1</v>
      </c>
      <c r="Q77" s="1415">
        <v>10</v>
      </c>
      <c r="R77" s="1413">
        <v>1.1000000000000001</v>
      </c>
      <c r="S77" s="1688">
        <v>0.1</v>
      </c>
      <c r="T77" s="1624">
        <v>13</v>
      </c>
      <c r="U77" s="1616" t="s">
        <v>642</v>
      </c>
      <c r="V77" s="1622">
        <f>IF(E77=1,IF(U77="N",LOOKUP(T77,'HS250-DATA'!C$7:C$10,'HS250-DATA'!D$7:D$10),IF(U77="Y",LOOKUP(T77,'HS250-DATA'!C$22:C$25,'HS250-DATA'!D$22:D$25),"FAN?")),IF(U77="N",LOOKUP(T77,'HS250-DATA'!C$14:C$17,'HS250-DATA'!D$14:D$17),IF(U77="Y",LOOKUP(T77,'HS250-DATA'!C$29:C$32,'HS250-DATA'!D$29:D$32),"FAN?")))</f>
        <v>0.255</v>
      </c>
      <c r="W77" s="1602">
        <f t="shared" si="41"/>
        <v>29.27927927927928</v>
      </c>
      <c r="X77" s="1602">
        <f t="shared" si="42"/>
        <v>117.11711711711712</v>
      </c>
      <c r="Y77" s="1602">
        <f t="shared" si="43"/>
        <v>117.11711711711712</v>
      </c>
      <c r="Z77" s="1579">
        <f t="shared" si="44"/>
        <v>120</v>
      </c>
      <c r="AA77" s="1602">
        <f t="shared" si="45"/>
        <v>84.86486486486487</v>
      </c>
      <c r="AB77" s="1588">
        <v>55</v>
      </c>
      <c r="AC77" s="1570"/>
      <c r="AD77" s="1564">
        <f t="shared" si="46"/>
        <v>2.0000000000000004E-2</v>
      </c>
      <c r="AE77" s="1634">
        <f t="shared" si="47"/>
        <v>1</v>
      </c>
      <c r="AF77" s="1635">
        <f t="shared" si="48"/>
        <v>-29.279279279279276</v>
      </c>
      <c r="AG77" s="1636">
        <f t="shared" si="49"/>
        <v>3.3423423423423424</v>
      </c>
      <c r="AH77" s="1741">
        <f t="shared" si="50"/>
        <v>53.35</v>
      </c>
      <c r="AI77" s="1607"/>
      <c r="AJ77" s="1733">
        <f>C77*LOOKUP(T77,'HS250-DATA'!C$7:C$10,'HS250-DATA'!F$7:F$10)</f>
        <v>24.55</v>
      </c>
      <c r="AK77" s="1733">
        <f t="shared" si="51"/>
        <v>0</v>
      </c>
      <c r="AL77" s="1733">
        <f>C77*E77*VLOOKUP(K77,'SCR-Diode DATA'!D$7:M$43,10,FALSE)</f>
        <v>28.8</v>
      </c>
      <c r="AM77" s="507">
        <f t="shared" si="52"/>
        <v>1.2883246203425953</v>
      </c>
    </row>
    <row r="78" spans="1:39" ht="18.75">
      <c r="A78" s="1598">
        <v>1</v>
      </c>
      <c r="B78" s="1533">
        <f t="shared" si="53"/>
        <v>4</v>
      </c>
      <c r="C78" s="1600">
        <v>1</v>
      </c>
      <c r="D78" s="1575">
        <f t="shared" si="36"/>
        <v>4</v>
      </c>
      <c r="E78" s="1575">
        <v>1</v>
      </c>
      <c r="F78" s="1611">
        <f t="shared" si="37"/>
        <v>72.674813090049696</v>
      </c>
      <c r="G78" s="1582">
        <f t="shared" si="38"/>
        <v>36.337406545024848</v>
      </c>
      <c r="H78" s="1583">
        <f t="shared" si="39"/>
        <v>1.4142135623730951</v>
      </c>
      <c r="I78" s="1594">
        <f t="shared" si="40"/>
        <v>51.388853157439016</v>
      </c>
      <c r="J78" s="1680" t="s">
        <v>545</v>
      </c>
      <c r="K78" s="1417" t="s">
        <v>503</v>
      </c>
      <c r="L78" s="1414">
        <v>125</v>
      </c>
      <c r="M78" s="1414"/>
      <c r="N78" s="1414">
        <v>1950</v>
      </c>
      <c r="O78" s="1413">
        <v>125</v>
      </c>
      <c r="P78" s="1413">
        <v>0.86</v>
      </c>
      <c r="Q78" s="1415">
        <v>5.5</v>
      </c>
      <c r="R78" s="1413">
        <v>0.3</v>
      </c>
      <c r="S78" s="1688">
        <v>0.1</v>
      </c>
      <c r="T78" s="1624">
        <v>13</v>
      </c>
      <c r="U78" s="1616" t="s">
        <v>642</v>
      </c>
      <c r="V78" s="1622">
        <f>IF(E78=1,IF(U78="N",LOOKUP(T78,'HS250-DATA'!C$7:C$10,'HS250-DATA'!D$7:D$10),IF(U78="Y",LOOKUP(T78,'HS250-DATA'!C$22:C$25,'HS250-DATA'!D$22:D$25),"FAN?")),IF(U78="N",LOOKUP(T78,'HS250-DATA'!C$14:C$17,'HS250-DATA'!D$14:D$17),IF(U78="Y",LOOKUP(T78,'HS250-DATA'!C$29:C$32,'HS250-DATA'!D$29:D$32),"FAN?")))</f>
        <v>0.255</v>
      </c>
      <c r="W78" s="1602">
        <f t="shared" si="41"/>
        <v>45.774647887323937</v>
      </c>
      <c r="X78" s="1602">
        <f t="shared" si="42"/>
        <v>183.09859154929575</v>
      </c>
      <c r="Y78" s="1602">
        <f t="shared" si="43"/>
        <v>183.09859154929575</v>
      </c>
      <c r="Z78" s="1579">
        <f t="shared" si="44"/>
        <v>120</v>
      </c>
      <c r="AA78" s="1602">
        <f t="shared" si="45"/>
        <v>101.69014084507042</v>
      </c>
      <c r="AB78" s="1588">
        <v>55</v>
      </c>
      <c r="AC78" s="1570"/>
      <c r="AD78" s="1564">
        <f t="shared" si="46"/>
        <v>1.1000000000000001E-2</v>
      </c>
      <c r="AE78" s="1634">
        <f t="shared" si="47"/>
        <v>0.86</v>
      </c>
      <c r="AF78" s="1635">
        <f t="shared" si="48"/>
        <v>-45.774647887323944</v>
      </c>
      <c r="AG78" s="1636">
        <f t="shared" si="49"/>
        <v>2.7536845070422538</v>
      </c>
      <c r="AH78" s="1741">
        <f t="shared" si="50"/>
        <v>48.49</v>
      </c>
      <c r="AI78" s="1607"/>
      <c r="AJ78" s="1733">
        <f>C78*LOOKUP(T78,'HS250-DATA'!C$7:C$10,'HS250-DATA'!F$7:F$10)</f>
        <v>24.55</v>
      </c>
      <c r="AK78" s="1733">
        <f t="shared" si="51"/>
        <v>0</v>
      </c>
      <c r="AL78" s="1733">
        <f>C78*E78*VLOOKUP(K78,'SCR-Diode DATA'!D$7:M$43,10,FALSE)</f>
        <v>23.94</v>
      </c>
      <c r="AM78" s="507">
        <f t="shared" si="52"/>
        <v>0.6672187782570167</v>
      </c>
    </row>
    <row r="79" spans="1:39" ht="18.75">
      <c r="A79" s="1598">
        <v>3</v>
      </c>
      <c r="B79" s="1533">
        <f t="shared" si="53"/>
        <v>6</v>
      </c>
      <c r="C79" s="1600">
        <v>1</v>
      </c>
      <c r="D79" s="1575">
        <f t="shared" si="36"/>
        <v>6</v>
      </c>
      <c r="E79" s="1575">
        <v>1</v>
      </c>
      <c r="F79" s="1611">
        <f t="shared" si="37"/>
        <v>78.287435985506463</v>
      </c>
      <c r="G79" s="1582">
        <f t="shared" si="38"/>
        <v>26.09581199516882</v>
      </c>
      <c r="H79" s="1583">
        <f t="shared" si="39"/>
        <v>1.7320508075688772</v>
      </c>
      <c r="I79" s="1594">
        <f t="shared" si="40"/>
        <v>45.199272240397747</v>
      </c>
      <c r="J79" s="1680" t="s">
        <v>542</v>
      </c>
      <c r="K79" s="1417" t="s">
        <v>326</v>
      </c>
      <c r="L79" s="1414">
        <v>170</v>
      </c>
      <c r="M79" s="1423"/>
      <c r="N79" s="1414">
        <v>1950</v>
      </c>
      <c r="O79" s="1413">
        <v>125</v>
      </c>
      <c r="P79" s="1413">
        <v>0.86</v>
      </c>
      <c r="Q79" s="1415">
        <v>5.5</v>
      </c>
      <c r="R79" s="1413">
        <v>0.3</v>
      </c>
      <c r="S79" s="1688">
        <v>0.1</v>
      </c>
      <c r="T79" s="1624">
        <v>13</v>
      </c>
      <c r="U79" s="1616" t="s">
        <v>642</v>
      </c>
      <c r="V79" s="1622">
        <f>IF(E79=1,IF(U79="N",LOOKUP(T79,'HS250-DATA'!C$7:C$10,'HS250-DATA'!D$7:D$10),IF(U79="Y",LOOKUP(T79,'HS250-DATA'!C$22:C$25,'HS250-DATA'!D$22:D$25),"FAN?")),IF(U79="N",LOOKUP(T79,'HS250-DATA'!C$14:C$17,'HS250-DATA'!D$14:D$17),IF(U79="Y",LOOKUP(T79,'HS250-DATA'!C$29:C$32,'HS250-DATA'!D$29:D$32),"FAN?")))</f>
        <v>0.255</v>
      </c>
      <c r="W79" s="1602">
        <f t="shared" si="41"/>
        <v>33.67875647668393</v>
      </c>
      <c r="X79" s="1602">
        <f t="shared" si="42"/>
        <v>202.07253886010358</v>
      </c>
      <c r="Y79" s="1602">
        <f t="shared" si="43"/>
        <v>202.07253886010358</v>
      </c>
      <c r="Z79" s="1579">
        <f t="shared" si="44"/>
        <v>120</v>
      </c>
      <c r="AA79" s="1602">
        <f t="shared" si="45"/>
        <v>106.52849740932641</v>
      </c>
      <c r="AB79" s="1588">
        <v>55</v>
      </c>
      <c r="AC79" s="1570"/>
      <c r="AD79" s="1564">
        <f t="shared" si="46"/>
        <v>1.6499999999999997E-2</v>
      </c>
      <c r="AE79" s="1634">
        <f t="shared" si="47"/>
        <v>0.86</v>
      </c>
      <c r="AF79" s="1635">
        <f t="shared" si="48"/>
        <v>-33.678756476683937</v>
      </c>
      <c r="AG79" s="1636">
        <f t="shared" si="49"/>
        <v>2.9623979274611392</v>
      </c>
      <c r="AH79" s="1741">
        <f t="shared" si="50"/>
        <v>55.42</v>
      </c>
      <c r="AI79" s="1607"/>
      <c r="AJ79" s="1733">
        <f>C79*LOOKUP(T79,'HS250-DATA'!C$7:C$10,'HS250-DATA'!F$7:F$10)</f>
        <v>24.55</v>
      </c>
      <c r="AK79" s="1733">
        <f t="shared" si="51"/>
        <v>0</v>
      </c>
      <c r="AL79" s="1733">
        <f>C79*E79*VLOOKUP(K79,'SCR-Diode DATA'!D$7:M$43,10,FALSE)</f>
        <v>30.87</v>
      </c>
      <c r="AM79" s="507">
        <f t="shared" si="52"/>
        <v>0.70790413943637187</v>
      </c>
    </row>
    <row r="80" spans="1:39" ht="11.25" customHeight="1">
      <c r="A80" s="1598"/>
      <c r="B80" s="1533"/>
      <c r="C80" s="1600"/>
      <c r="D80" s="1575"/>
      <c r="E80" s="1575"/>
      <c r="F80" s="1611"/>
      <c r="G80" s="1582"/>
      <c r="H80" s="1583"/>
      <c r="I80" s="1594"/>
      <c r="J80" s="1680"/>
      <c r="K80" s="1417"/>
      <c r="L80" s="1414"/>
      <c r="M80" s="1423"/>
      <c r="N80" s="1414"/>
      <c r="O80" s="1413"/>
      <c r="P80" s="1413"/>
      <c r="Q80" s="1415"/>
      <c r="R80" s="1413"/>
      <c r="S80" s="1688"/>
      <c r="T80" s="1624"/>
      <c r="U80" s="1616"/>
      <c r="V80" s="1622"/>
      <c r="W80" s="1602"/>
      <c r="X80" s="1602"/>
      <c r="Y80" s="1602"/>
      <c r="Z80" s="1579"/>
      <c r="AA80" s="1602"/>
      <c r="AB80" s="1588"/>
      <c r="AC80" s="1570"/>
      <c r="AD80" s="1564"/>
      <c r="AE80" s="1634"/>
      <c r="AF80" s="1635"/>
      <c r="AG80" s="1636"/>
      <c r="AH80" s="1742"/>
      <c r="AI80" s="1607"/>
      <c r="AJ80" s="1607"/>
      <c r="AK80" s="1607"/>
      <c r="AL80" s="1733"/>
      <c r="AM80" s="494"/>
    </row>
    <row r="81" spans="1:39" ht="18.75">
      <c r="A81" s="1598">
        <v>3</v>
      </c>
      <c r="B81" s="1533">
        <f t="shared" si="53"/>
        <v>6</v>
      </c>
      <c r="C81" s="1600">
        <v>1</v>
      </c>
      <c r="D81" s="1575">
        <f>B81/C81</f>
        <v>6</v>
      </c>
      <c r="E81" s="1575">
        <v>3</v>
      </c>
      <c r="F81" s="1611">
        <f>IF(A81=3,3*G81,IF(A81=1,2*G81,IF(A81="bd",1*G81,IF(A81="fwd",1,"Error"))))</f>
        <v>98.715409992583858</v>
      </c>
      <c r="G81" s="1582">
        <f>(-AE81+SQRT(AG81))/2/AD81</f>
        <v>32.905136664194622</v>
      </c>
      <c r="H81" s="1583">
        <f>IF(A81=3,SQRT(3),IF(A81=1,SQRT(2),1))</f>
        <v>1.7320508075688772</v>
      </c>
      <c r="I81" s="1594">
        <f>H81*G81</f>
        <v>56.993368532382561</v>
      </c>
      <c r="J81" s="1680" t="s">
        <v>548</v>
      </c>
      <c r="K81" s="1418" t="s">
        <v>549</v>
      </c>
      <c r="L81" s="1419">
        <v>90</v>
      </c>
      <c r="M81" s="1419">
        <v>150</v>
      </c>
      <c r="N81" s="1419">
        <v>1950</v>
      </c>
      <c r="O81" s="1412">
        <v>125</v>
      </c>
      <c r="P81" s="1416">
        <v>0.9</v>
      </c>
      <c r="Q81" s="1416">
        <v>2</v>
      </c>
      <c r="R81" s="1416">
        <v>0.28000000000000003</v>
      </c>
      <c r="S81" s="1687">
        <v>0.2</v>
      </c>
      <c r="T81" s="1624">
        <v>13</v>
      </c>
      <c r="U81" s="1616" t="s">
        <v>642</v>
      </c>
      <c r="V81" s="1622">
        <f>IF(E81=1,IF(U81="N",LOOKUP(T81,'HS250-DATA'!C$7:C$10,'HS250-DATA'!D$7:D$10),IF(U81="Y",LOOKUP(T81,'HS250-DATA'!C$22:C$25,'HS250-DATA'!D$22:D$25),"FAN?")),IF(U81="N",LOOKUP(T81,'HS250-DATA'!C$14:C$17,'HS250-DATA'!D$14:D$17),IF(U81="Y",LOOKUP(T81,'HS250-DATA'!C$29:C$32,'HS250-DATA'!D$29:D$32),"FAN?")))</f>
        <v>0.22</v>
      </c>
      <c r="W81" s="1602">
        <f>(G81*H81)^2*Q81*10^-3+G81*P81</f>
        <v>36.111111111111114</v>
      </c>
      <c r="X81" s="1602">
        <f>D81*W81</f>
        <v>216.66666666666669</v>
      </c>
      <c r="Y81" s="1602">
        <f>IF(A81=3,W81*6,IF(A81=1,W81*4,W81))</f>
        <v>216.66666666666669</v>
      </c>
      <c r="Z81" s="1579">
        <f>O81-5</f>
        <v>120</v>
      </c>
      <c r="AA81" s="1602">
        <f>D81*W81*V81+AB81</f>
        <v>102.66666666666667</v>
      </c>
      <c r="AB81" s="1588">
        <v>55</v>
      </c>
      <c r="AC81" s="1570"/>
      <c r="AD81" s="1564">
        <f>Q81*10^-3*H81^2</f>
        <v>5.9999999999999993E-3</v>
      </c>
      <c r="AE81" s="1634">
        <f>P81</f>
        <v>0.9</v>
      </c>
      <c r="AF81" s="1635">
        <f>(AB81-Z81)/(R81+S81+D81*V81)</f>
        <v>-36.111111111111107</v>
      </c>
      <c r="AG81" s="1636">
        <f>AE81^2-4*AD81*AF81</f>
        <v>1.6766666666666665</v>
      </c>
      <c r="AH81" s="1741">
        <f>SUM(AJ81:AL81)</f>
        <v>63.55</v>
      </c>
      <c r="AI81" s="1607"/>
      <c r="AJ81" s="1733">
        <f>C81*LOOKUP(T81,'HS250-DATA'!C$7:C$10,'HS250-DATA'!F$7:F$10)</f>
        <v>24.55</v>
      </c>
      <c r="AK81" s="1733">
        <f>IF(U81="Y",C81*12,0)</f>
        <v>0</v>
      </c>
      <c r="AL81" s="1733">
        <f>C81*E81*VLOOKUP(K81,'SCR-Diode DATA'!D$7:M$43,10,FALSE)</f>
        <v>39</v>
      </c>
      <c r="AM81" s="507">
        <f>AH81/F81</f>
        <v>0.6437698025543761</v>
      </c>
    </row>
    <row r="82" spans="1:39" ht="18.75">
      <c r="A82" s="1598">
        <v>3</v>
      </c>
      <c r="B82" s="1533">
        <f t="shared" si="53"/>
        <v>6</v>
      </c>
      <c r="C82" s="1600">
        <v>3</v>
      </c>
      <c r="D82" s="1575">
        <f>B82/C82</f>
        <v>2</v>
      </c>
      <c r="E82" s="1575">
        <v>1</v>
      </c>
      <c r="F82" s="1611">
        <f>IF(A82=3,3*G82,IF(A82=1,2*G82,IF(A82="bd",1*G82,IF(A82="fwd",1,"Error"))))</f>
        <v>161.14744397036799</v>
      </c>
      <c r="G82" s="1582">
        <f>(-AE82+SQRT(AG82))/2/AD82</f>
        <v>53.715814656789334</v>
      </c>
      <c r="H82" s="1583">
        <f>IF(A82=3,SQRT(3),IF(A82=1,SQRT(2),1))</f>
        <v>1.7320508075688772</v>
      </c>
      <c r="I82" s="1594">
        <f>H82*G82</f>
        <v>93.038520155512103</v>
      </c>
      <c r="J82" s="1680" t="s">
        <v>548</v>
      </c>
      <c r="K82" s="1418" t="s">
        <v>549</v>
      </c>
      <c r="L82" s="1419">
        <v>90</v>
      </c>
      <c r="M82" s="1419">
        <v>150</v>
      </c>
      <c r="N82" s="1419">
        <v>1950</v>
      </c>
      <c r="O82" s="1412">
        <v>125</v>
      </c>
      <c r="P82" s="1416">
        <v>0.9</v>
      </c>
      <c r="Q82" s="1416">
        <v>2</v>
      </c>
      <c r="R82" s="1416">
        <v>0.28000000000000003</v>
      </c>
      <c r="S82" s="1687">
        <v>0.2</v>
      </c>
      <c r="T82" s="1624">
        <v>13</v>
      </c>
      <c r="U82" s="1616" t="s">
        <v>642</v>
      </c>
      <c r="V82" s="1622">
        <f>IF(E82=1,IF(U82="N",LOOKUP(T82,'HS250-DATA'!C$7:C$10,'HS250-DATA'!D$7:D$10),IF(U82="Y",LOOKUP(T82,'HS250-DATA'!C$22:C$25,'HS250-DATA'!D$22:D$25),"FAN?")),IF(U82="N",LOOKUP(T82,'HS250-DATA'!C$14:C$17,'HS250-DATA'!D$14:D$17),IF(U82="Y",LOOKUP(T82,'HS250-DATA'!C$29:C$32,'HS250-DATA'!D$29:D$32),"FAN?")))</f>
        <v>0.255</v>
      </c>
      <c r="W82" s="1602">
        <f>(G82*H82)^2*Q82*10^-3+G82*P82</f>
        <v>65.656565656565675</v>
      </c>
      <c r="X82" s="1602">
        <f>D82*W82</f>
        <v>131.31313131313135</v>
      </c>
      <c r="Y82" s="1602">
        <f>IF(A82=3,W82*6,IF(A82=1,W82*4,W82))</f>
        <v>393.93939393939405</v>
      </c>
      <c r="Z82" s="1579">
        <f>O82-5</f>
        <v>120</v>
      </c>
      <c r="AA82" s="1602">
        <f>D82*W82*V82+AB82</f>
        <v>88.484848484848499</v>
      </c>
      <c r="AB82" s="1588">
        <v>55</v>
      </c>
      <c r="AC82" s="1570"/>
      <c r="AD82" s="1564">
        <f>Q82*10^-3*H82^2</f>
        <v>5.9999999999999993E-3</v>
      </c>
      <c r="AE82" s="1634">
        <f>P82</f>
        <v>0.9</v>
      </c>
      <c r="AF82" s="1635">
        <f>(AB82-Z82)/(R82+S82+D82*V82)</f>
        <v>-65.656565656565661</v>
      </c>
      <c r="AG82" s="1636">
        <f>AE82^2-4*AD82*AF82</f>
        <v>2.3857575757575757</v>
      </c>
      <c r="AH82" s="1741">
        <f>SUM(AJ82:AL82)</f>
        <v>112.65</v>
      </c>
      <c r="AI82" s="1607"/>
      <c r="AJ82" s="1733">
        <f>C82*LOOKUP(T82,'HS250-DATA'!C$7:C$10,'HS250-DATA'!F$7:F$10)</f>
        <v>73.650000000000006</v>
      </c>
      <c r="AK82" s="1733">
        <f>IF(U82="Y",C82*12,0)</f>
        <v>0</v>
      </c>
      <c r="AL82" s="1733">
        <f>C82*E82*VLOOKUP(K82,'SCR-Diode DATA'!D$7:M$43,10,FALSE)</f>
        <v>39</v>
      </c>
      <c r="AM82" s="507">
        <f>AH82/F82</f>
        <v>0.69904925095004444</v>
      </c>
    </row>
    <row r="83" spans="1:39" ht="18.75">
      <c r="A83" s="1598">
        <v>1</v>
      </c>
      <c r="B83" s="1533">
        <f t="shared" si="53"/>
        <v>4</v>
      </c>
      <c r="C83" s="1600">
        <v>1</v>
      </c>
      <c r="D83" s="1575">
        <f>B83/C83</f>
        <v>4</v>
      </c>
      <c r="E83" s="1575">
        <v>2</v>
      </c>
      <c r="F83" s="1611">
        <f>IF(A83=3,3*G83,IF(A83=1,2*G83,IF(A83="bd",1*G83,IF(A83="fwd",1,"Error"))))</f>
        <v>88.71821376365574</v>
      </c>
      <c r="G83" s="1582">
        <f>(-AE83+SQRT(AG83))/2/AD83</f>
        <v>44.35910688182787</v>
      </c>
      <c r="H83" s="1583">
        <f>IF(A83=3,SQRT(3),IF(A83=1,SQRT(2),1))</f>
        <v>1.4142135623730951</v>
      </c>
      <c r="I83" s="1594">
        <f>H83*G83</f>
        <v>62.733250567038674</v>
      </c>
      <c r="J83" s="1680" t="s">
        <v>552</v>
      </c>
      <c r="K83" s="1418" t="s">
        <v>553</v>
      </c>
      <c r="L83" s="1419">
        <v>90</v>
      </c>
      <c r="M83" s="1419">
        <v>150</v>
      </c>
      <c r="N83" s="1419">
        <v>1950</v>
      </c>
      <c r="O83" s="1412">
        <v>125</v>
      </c>
      <c r="P83" s="1416">
        <v>0.9</v>
      </c>
      <c r="Q83" s="1416">
        <v>2</v>
      </c>
      <c r="R83" s="1416">
        <v>0.28000000000000003</v>
      </c>
      <c r="S83" s="1687">
        <v>0.2</v>
      </c>
      <c r="T83" s="1624">
        <v>13</v>
      </c>
      <c r="U83" s="1616" t="s">
        <v>642</v>
      </c>
      <c r="V83" s="1622">
        <f>IF(E83=1,IF(U83="N",LOOKUP(T83,'HS250-DATA'!C$7:C$10,'HS250-DATA'!D$7:D$10),IF(U83="Y",LOOKUP(T83,'HS250-DATA'!C$22:C$25,'HS250-DATA'!D$22:D$25),"FAN?")),IF(U83="N",LOOKUP(T83,'HS250-DATA'!C$14:C$17,'HS250-DATA'!D$14:D$17),IF(U83="Y",LOOKUP(T83,'HS250-DATA'!C$29:C$32,'HS250-DATA'!D$29:D$32),"FAN?")))</f>
        <v>0.22</v>
      </c>
      <c r="W83" s="1602">
        <f>(G83*H83)^2*Q83*10^-3+G83*P83</f>
        <v>47.794117647058798</v>
      </c>
      <c r="X83" s="1602">
        <f>D83*W83</f>
        <v>191.17647058823519</v>
      </c>
      <c r="Y83" s="1602">
        <f>IF(A83=3,W83*6,IF(A83=1,W83*4,W83))</f>
        <v>191.17647058823519</v>
      </c>
      <c r="Z83" s="1579">
        <f>O83-5</f>
        <v>120</v>
      </c>
      <c r="AA83" s="1602">
        <f>D83*W83*V83+AB83</f>
        <v>97.05882352941174</v>
      </c>
      <c r="AB83" s="1588">
        <v>55</v>
      </c>
      <c r="AC83" s="1570"/>
      <c r="AD83" s="1564">
        <f>Q83*10^-3*H83^2</f>
        <v>4.000000000000001E-3</v>
      </c>
      <c r="AE83" s="1634">
        <f>P83</f>
        <v>0.9</v>
      </c>
      <c r="AF83" s="1635">
        <f>(AB83-Z83)/(R83+S83+D83*V83)</f>
        <v>-47.794117647058819</v>
      </c>
      <c r="AG83" s="1636">
        <f>AE83^2-4*AD83*AF83</f>
        <v>1.5747058823529412</v>
      </c>
      <c r="AH83" s="1741">
        <f>SUM(AJ83:AL83)</f>
        <v>50.55</v>
      </c>
      <c r="AI83" s="1607"/>
      <c r="AJ83" s="1733">
        <f>C83*LOOKUP(T83,'HS250-DATA'!C$7:C$10,'HS250-DATA'!F$7:F$10)</f>
        <v>24.55</v>
      </c>
      <c r="AK83" s="1733">
        <f>IF(U83="Y",C83*12,0)</f>
        <v>0</v>
      </c>
      <c r="AL83" s="1733">
        <f>C83*E83*VLOOKUP(K83,'SCR-Diode DATA'!D$7:M$43,10,FALSE)</f>
        <v>26</v>
      </c>
      <c r="AM83" s="507">
        <f>AH83/F83</f>
        <v>0.56978153476652038</v>
      </c>
    </row>
    <row r="84" spans="1:39" ht="18.75">
      <c r="A84" s="1598">
        <v>1</v>
      </c>
      <c r="B84" s="1533">
        <f t="shared" si="53"/>
        <v>4</v>
      </c>
      <c r="C84" s="1600">
        <v>2</v>
      </c>
      <c r="D84" s="1575">
        <f>B84/C84</f>
        <v>2</v>
      </c>
      <c r="E84" s="1575">
        <v>1</v>
      </c>
      <c r="F84" s="1611">
        <f>IF(A84=3,3*G84,IF(A84=1,2*G84,IF(A84="bd",1*G84,IF(A84="fwd",1,"Error"))))</f>
        <v>116.00082940744538</v>
      </c>
      <c r="G84" s="1582">
        <f>(-AE84+SQRT(AG84))/2/AD84</f>
        <v>58.00041470372269</v>
      </c>
      <c r="H84" s="1583">
        <f>IF(A84=3,SQRT(3),IF(A84=1,SQRT(2),1))</f>
        <v>1.4142135623730951</v>
      </c>
      <c r="I84" s="1594">
        <f>H84*G84</f>
        <v>82.024973097268514</v>
      </c>
      <c r="J84" s="1680" t="s">
        <v>552</v>
      </c>
      <c r="K84" s="1418" t="s">
        <v>553</v>
      </c>
      <c r="L84" s="1419">
        <v>90</v>
      </c>
      <c r="M84" s="1419">
        <v>150</v>
      </c>
      <c r="N84" s="1419">
        <v>1950</v>
      </c>
      <c r="O84" s="1412">
        <v>125</v>
      </c>
      <c r="P84" s="1416">
        <v>0.9</v>
      </c>
      <c r="Q84" s="1416">
        <v>2</v>
      </c>
      <c r="R84" s="1416">
        <v>0.28000000000000003</v>
      </c>
      <c r="S84" s="1687">
        <v>0.2</v>
      </c>
      <c r="T84" s="1624">
        <v>13</v>
      </c>
      <c r="U84" s="1616" t="s">
        <v>642</v>
      </c>
      <c r="V84" s="1622">
        <f>IF(E84=1,IF(U84="N",LOOKUP(T84,'HS250-DATA'!C$7:C$10,'HS250-DATA'!D$7:D$10),IF(U84="Y",LOOKUP(T84,'HS250-DATA'!C$22:C$25,'HS250-DATA'!D$22:D$25),"FAN?")),IF(U84="N",LOOKUP(T84,'HS250-DATA'!C$14:C$17,'HS250-DATA'!D$14:D$17),IF(U84="Y",LOOKUP(T84,'HS250-DATA'!C$29:C$32,'HS250-DATA'!D$29:D$32),"FAN?")))</f>
        <v>0.255</v>
      </c>
      <c r="W84" s="1602">
        <f>(G84*H84)^2*Q84*10^-3+G84*P84</f>
        <v>65.656565656565661</v>
      </c>
      <c r="X84" s="1602">
        <f>D84*W84</f>
        <v>131.31313131313132</v>
      </c>
      <c r="Y84" s="1602">
        <f>IF(A84=3,W84*6,IF(A84=1,W84*4,W84))</f>
        <v>262.62626262626264</v>
      </c>
      <c r="Z84" s="1579">
        <f>O84-5</f>
        <v>120</v>
      </c>
      <c r="AA84" s="1602">
        <f>D84*W84*V84+AB84</f>
        <v>88.484848484848484</v>
      </c>
      <c r="AB84" s="1588">
        <v>55</v>
      </c>
      <c r="AC84" s="1570"/>
      <c r="AD84" s="1564">
        <f>Q84*10^-3*H84^2</f>
        <v>4.000000000000001E-3</v>
      </c>
      <c r="AE84" s="1634">
        <f>P84</f>
        <v>0.9</v>
      </c>
      <c r="AF84" s="1635">
        <f>(AB84-Z84)/(R84+S84+D84*V84)</f>
        <v>-65.656565656565661</v>
      </c>
      <c r="AG84" s="1636">
        <f>AE84^2-4*AD84*AF84</f>
        <v>1.8605050505050509</v>
      </c>
      <c r="AH84" s="1741">
        <f>SUM(AJ84:AL84)</f>
        <v>75.099999999999994</v>
      </c>
      <c r="AI84" s="1607"/>
      <c r="AJ84" s="1733">
        <f>C84*LOOKUP(T84,'HS250-DATA'!C$7:C$10,'HS250-DATA'!F$7:F$10)</f>
        <v>49.1</v>
      </c>
      <c r="AK84" s="1733">
        <f>IF(U84="Y",C84*12,0)</f>
        <v>0</v>
      </c>
      <c r="AL84" s="1733">
        <f>C84*E84*VLOOKUP(K84,'SCR-Diode DATA'!D$7:M$43,10,FALSE)</f>
        <v>26</v>
      </c>
      <c r="AM84" s="507">
        <f>AH84/F84</f>
        <v>0.6474091640863715</v>
      </c>
    </row>
    <row r="85" spans="1:39" ht="18.75">
      <c r="A85" s="1598"/>
      <c r="B85" s="1533"/>
      <c r="C85" s="1600"/>
      <c r="D85" s="1575"/>
      <c r="E85" s="1575"/>
      <c r="F85" s="1611"/>
      <c r="G85" s="1582"/>
      <c r="H85" s="1583"/>
      <c r="I85" s="1594"/>
      <c r="J85" s="1680"/>
      <c r="K85" s="1418"/>
      <c r="L85" s="1419"/>
      <c r="M85" s="1419"/>
      <c r="N85" s="1419"/>
      <c r="O85" s="1412"/>
      <c r="P85" s="1416"/>
      <c r="Q85" s="1416"/>
      <c r="R85" s="1416"/>
      <c r="S85" s="1687"/>
      <c r="T85" s="1624"/>
      <c r="U85" s="1616"/>
      <c r="V85" s="1622"/>
      <c r="W85" s="1602"/>
      <c r="X85" s="1602"/>
      <c r="Y85" s="1602"/>
      <c r="Z85" s="1579"/>
      <c r="AA85" s="1602"/>
      <c r="AB85" s="1588"/>
      <c r="AC85" s="1570"/>
      <c r="AD85" s="1564"/>
      <c r="AE85" s="1634"/>
      <c r="AF85" s="1635"/>
      <c r="AG85" s="1636"/>
      <c r="AH85" s="1742"/>
      <c r="AI85" s="1607"/>
      <c r="AJ85" s="1607"/>
      <c r="AK85" s="1607"/>
      <c r="AL85" s="1733"/>
      <c r="AM85" s="1743"/>
    </row>
    <row r="86" spans="1:39" ht="18.75">
      <c r="A86" s="1598">
        <v>3</v>
      </c>
      <c r="B86" s="1533">
        <f t="shared" si="53"/>
        <v>6</v>
      </c>
      <c r="C86" s="1600">
        <v>1</v>
      </c>
      <c r="D86" s="1575">
        <f>B86/C86</f>
        <v>6</v>
      </c>
      <c r="E86" s="1575">
        <v>3</v>
      </c>
      <c r="F86" s="1611">
        <f>IF(A86=3,3*G86,IF(A86=1,2*G86,IF(A86="bd",1*G86,IF(A86="fwd",1,"Error"))))</f>
        <v>119.20707962800644</v>
      </c>
      <c r="G86" s="1582">
        <f>(-AE86+SQRT(AG86))/2/AD86</f>
        <v>39.73569320933548</v>
      </c>
      <c r="H86" s="1583">
        <f>IF(A86=3,SQRT(3),IF(A86=1,SQRT(2),1))</f>
        <v>1.7320508075688772</v>
      </c>
      <c r="I86" s="1594">
        <f>H86*G86</f>
        <v>68.824239512538668</v>
      </c>
      <c r="J86" s="1680" t="s">
        <v>548</v>
      </c>
      <c r="K86" s="1418" t="s">
        <v>554</v>
      </c>
      <c r="L86" s="1419">
        <v>160</v>
      </c>
      <c r="M86" s="1419">
        <v>250</v>
      </c>
      <c r="N86" s="1419">
        <v>4100</v>
      </c>
      <c r="O86" s="1412">
        <v>125</v>
      </c>
      <c r="P86" s="1416">
        <v>0.85</v>
      </c>
      <c r="Q86" s="1416">
        <v>1.5</v>
      </c>
      <c r="R86" s="1416">
        <v>0.17</v>
      </c>
      <c r="S86" s="1687">
        <v>0.1</v>
      </c>
      <c r="T86" s="1624">
        <v>13</v>
      </c>
      <c r="U86" s="1616" t="s">
        <v>642</v>
      </c>
      <c r="V86" s="1622">
        <f>IF(E86=1,IF(U86="N",LOOKUP(T86,'HS250-DATA'!C$7:C$10,'HS250-DATA'!D$7:D$10),IF(U86="Y",LOOKUP(T86,'HS250-DATA'!C$22:C$25,'HS250-DATA'!D$22:D$25),"FAN?")),IF(U86="N",LOOKUP(T86,'HS250-DATA'!C$14:C$17,'HS250-DATA'!D$14:D$17),IF(U86="Y",LOOKUP(T86,'HS250-DATA'!C$29:C$32,'HS250-DATA'!D$29:D$32),"FAN?")))</f>
        <v>0.22</v>
      </c>
      <c r="W86" s="1602">
        <f>(G86*H86)^2*Q86*10^-3+G86*P86</f>
        <v>40.880503144654092</v>
      </c>
      <c r="X86" s="1602">
        <f>D86*W86</f>
        <v>245.28301886792457</v>
      </c>
      <c r="Y86" s="1602">
        <f>IF(A86=3,W86*6,IF(A86=1,W86*4,W86))</f>
        <v>245.28301886792457</v>
      </c>
      <c r="Z86" s="1579">
        <f>O86-5</f>
        <v>120</v>
      </c>
      <c r="AA86" s="1602">
        <f>D86*W86*V86+AB86</f>
        <v>108.96226415094341</v>
      </c>
      <c r="AB86" s="1588">
        <v>55</v>
      </c>
      <c r="AC86" s="1570"/>
      <c r="AD86" s="1564">
        <f>Q86*10^-3*H86^2</f>
        <v>4.4999999999999997E-3</v>
      </c>
      <c r="AE86" s="1634">
        <f>P86</f>
        <v>0.85</v>
      </c>
      <c r="AF86" s="1635">
        <f>(AB86-Z86)/(R86+S86+D86*V86)</f>
        <v>-40.880503144654085</v>
      </c>
      <c r="AG86" s="1636">
        <f>AE86^2-4*AD86*AF86</f>
        <v>1.4583490566037733</v>
      </c>
      <c r="AH86" s="1741">
        <f>SUM(AJ86:AL86)</f>
        <v>132.55000000000001</v>
      </c>
      <c r="AI86" s="1607"/>
      <c r="AJ86" s="1733">
        <f>C86*LOOKUP(T86,'HS250-DATA'!C$7:C$10,'HS250-DATA'!F$7:F$10)</f>
        <v>24.55</v>
      </c>
      <c r="AK86" s="1733">
        <f>IF(U86="Y",C86*12,0)</f>
        <v>0</v>
      </c>
      <c r="AL86" s="1733">
        <f>C86*E86*VLOOKUP(K86,'SCR-Diode DATA'!D$7:M$43,10,FALSE)</f>
        <v>108</v>
      </c>
      <c r="AM86" s="507">
        <f>AH86/F86</f>
        <v>1.1119306035650822</v>
      </c>
    </row>
    <row r="87" spans="1:39" ht="18.75">
      <c r="A87" s="1598">
        <v>3</v>
      </c>
      <c r="B87" s="1533">
        <f t="shared" si="53"/>
        <v>6</v>
      </c>
      <c r="C87" s="1600">
        <v>3</v>
      </c>
      <c r="D87" s="1575">
        <f>B87/C87</f>
        <v>2</v>
      </c>
      <c r="E87" s="1575">
        <v>1</v>
      </c>
      <c r="F87" s="1611">
        <f>IF(A87=3,3*G87,IF(A87=1,2*G87,IF(A87="bd",1*G87,IF(A87="fwd",1,"Error"))))</f>
        <v>213.60171719585247</v>
      </c>
      <c r="G87" s="1582">
        <f>(-AE87+SQRT(AG87))/2/AD87</f>
        <v>71.200572398617496</v>
      </c>
      <c r="H87" s="1583">
        <f>IF(A87=3,SQRT(3),IF(A87=1,SQRT(2),1))</f>
        <v>1.7320508075688772</v>
      </c>
      <c r="I87" s="1594">
        <f>H87*G87</f>
        <v>123.32300892239174</v>
      </c>
      <c r="J87" s="1680" t="s">
        <v>548</v>
      </c>
      <c r="K87" s="1418" t="s">
        <v>554</v>
      </c>
      <c r="L87" s="1419">
        <v>160</v>
      </c>
      <c r="M87" s="1419">
        <v>250</v>
      </c>
      <c r="N87" s="1419">
        <v>4100</v>
      </c>
      <c r="O87" s="1412">
        <v>125</v>
      </c>
      <c r="P87" s="1416">
        <v>0.85</v>
      </c>
      <c r="Q87" s="1416">
        <v>1.5</v>
      </c>
      <c r="R87" s="1416">
        <v>0.17</v>
      </c>
      <c r="S87" s="1687">
        <v>0.1</v>
      </c>
      <c r="T87" s="1624">
        <v>13</v>
      </c>
      <c r="U87" s="1616" t="s">
        <v>642</v>
      </c>
      <c r="V87" s="1622">
        <f>IF(E87=1,IF(U87="N",LOOKUP(T87,'HS250-DATA'!C$7:C$10,'HS250-DATA'!D$7:D$10),IF(U87="Y",LOOKUP(T87,'HS250-DATA'!C$22:C$25,'HS250-DATA'!D$22:D$25),"FAN?")),IF(U87="N",LOOKUP(T87,'HS250-DATA'!C$14:C$17,'HS250-DATA'!D$14:D$17),IF(U87="Y",LOOKUP(T87,'HS250-DATA'!C$29:C$32,'HS250-DATA'!D$29:D$32),"FAN?")))</f>
        <v>0.255</v>
      </c>
      <c r="W87" s="1602">
        <f>(G87*H87)^2*Q87*10^-3+G87*P87</f>
        <v>83.333333333333343</v>
      </c>
      <c r="X87" s="1602">
        <f>D87*W87</f>
        <v>166.66666666666669</v>
      </c>
      <c r="Y87" s="1602">
        <f>IF(A87=3,W87*6,IF(A87=1,W87*4,W87))</f>
        <v>500.00000000000006</v>
      </c>
      <c r="Z87" s="1579">
        <f>O87-5</f>
        <v>120</v>
      </c>
      <c r="AA87" s="1602">
        <f>D87*W87*V87+AB87</f>
        <v>97.5</v>
      </c>
      <c r="AB87" s="1588">
        <v>55</v>
      </c>
      <c r="AC87" s="1570"/>
      <c r="AD87" s="1564">
        <f>Q87*10^-3*H87^2</f>
        <v>4.4999999999999997E-3</v>
      </c>
      <c r="AE87" s="1634">
        <f>P87</f>
        <v>0.85</v>
      </c>
      <c r="AF87" s="1635">
        <f>(AB87-Z87)/(R87+S87+D87*V87)</f>
        <v>-83.333333333333329</v>
      </c>
      <c r="AG87" s="1636">
        <f>AE87^2-4*AD87*AF87</f>
        <v>2.2224999999999997</v>
      </c>
      <c r="AH87" s="1741">
        <f>SUM(AJ87:AL87)</f>
        <v>181.65</v>
      </c>
      <c r="AI87" s="1607"/>
      <c r="AJ87" s="1733">
        <f>C87*LOOKUP(T87,'HS250-DATA'!C$7:C$10,'HS250-DATA'!F$7:F$10)</f>
        <v>73.650000000000006</v>
      </c>
      <c r="AK87" s="1733">
        <f>IF(U87="Y",C87*12,0)</f>
        <v>0</v>
      </c>
      <c r="AL87" s="1733">
        <f>C87*E87*VLOOKUP(K87,'SCR-Diode DATA'!D$7:M$43,10,FALSE)</f>
        <v>108</v>
      </c>
      <c r="AM87" s="507">
        <f>AH87/F87</f>
        <v>0.85041451157175962</v>
      </c>
    </row>
    <row r="88" spans="1:39" ht="18.75">
      <c r="A88" s="1598">
        <v>1</v>
      </c>
      <c r="B88" s="1533">
        <f t="shared" si="53"/>
        <v>4</v>
      </c>
      <c r="C88" s="1600">
        <v>1</v>
      </c>
      <c r="D88" s="1575">
        <f>B88/C88</f>
        <v>4</v>
      </c>
      <c r="E88" s="1575">
        <v>2</v>
      </c>
      <c r="F88" s="1611">
        <f>IF(A88=3,3*G88,IF(A88=1,2*G88,IF(A88="bd",1*G88,IF(A88="fwd",1,"Error"))))</f>
        <v>111.17914634045027</v>
      </c>
      <c r="G88" s="1582">
        <f>(-AE88+SQRT(AG88))/2/AD88</f>
        <v>55.589573170225137</v>
      </c>
      <c r="H88" s="1583">
        <f>IF(A88=3,SQRT(3),IF(A88=1,SQRT(2),1))</f>
        <v>1.4142135623730951</v>
      </c>
      <c r="I88" s="1594">
        <f>H88*G88</f>
        <v>78.615528303863925</v>
      </c>
      <c r="J88" s="1680" t="s">
        <v>552</v>
      </c>
      <c r="K88" s="1418" t="s">
        <v>555</v>
      </c>
      <c r="L88" s="1419">
        <v>160</v>
      </c>
      <c r="M88" s="1419">
        <v>250</v>
      </c>
      <c r="N88" s="1419">
        <v>4100</v>
      </c>
      <c r="O88" s="1412">
        <v>125</v>
      </c>
      <c r="P88" s="1416">
        <v>0.85</v>
      </c>
      <c r="Q88" s="1416">
        <v>1.5</v>
      </c>
      <c r="R88" s="1416">
        <v>0.17</v>
      </c>
      <c r="S88" s="1687">
        <v>0.1</v>
      </c>
      <c r="T88" s="1624">
        <v>13</v>
      </c>
      <c r="U88" s="1616" t="s">
        <v>642</v>
      </c>
      <c r="V88" s="1622">
        <f>IF(E88=1,IF(U88="N",LOOKUP(T88,'HS250-DATA'!C$7:C$10,'HS250-DATA'!D$7:D$10),IF(U88="Y",LOOKUP(T88,'HS250-DATA'!C$22:C$25,'HS250-DATA'!D$22:D$25),"FAN?")),IF(U88="N",LOOKUP(T88,'HS250-DATA'!C$14:C$17,'HS250-DATA'!D$14:D$17),IF(U88="Y",LOOKUP(T88,'HS250-DATA'!C$29:C$32,'HS250-DATA'!D$29:D$32),"FAN?")))</f>
        <v>0.22</v>
      </c>
      <c r="W88" s="1602">
        <f>(G88*H88)^2*Q88*10^-3+G88*P88</f>
        <v>56.52173913043481</v>
      </c>
      <c r="X88" s="1602">
        <f>D88*W88</f>
        <v>226.08695652173924</v>
      </c>
      <c r="Y88" s="1602">
        <f>IF(A88=3,W88*6,IF(A88=1,W88*4,W88))</f>
        <v>226.08695652173924</v>
      </c>
      <c r="Z88" s="1579">
        <f>O88-5</f>
        <v>120</v>
      </c>
      <c r="AA88" s="1602">
        <f>D88*W88*V88+AB88</f>
        <v>104.73913043478262</v>
      </c>
      <c r="AB88" s="1588">
        <v>55</v>
      </c>
      <c r="AC88" s="1570"/>
      <c r="AD88" s="1564">
        <f>Q88*10^-3*H88^2</f>
        <v>3.0000000000000009E-3</v>
      </c>
      <c r="AE88" s="1634">
        <f>P88</f>
        <v>0.85</v>
      </c>
      <c r="AF88" s="1635">
        <f>(AB88-Z88)/(R88+S88+D88*V88)</f>
        <v>-56.521739130434788</v>
      </c>
      <c r="AG88" s="1636">
        <f>AE88^2-4*AD88*AF88</f>
        <v>1.4007608695652176</v>
      </c>
      <c r="AH88" s="1741">
        <f>SUM(AJ88:AL88)</f>
        <v>96.55</v>
      </c>
      <c r="AI88" s="1607"/>
      <c r="AJ88" s="1733">
        <f>C88*LOOKUP(T88,'HS250-DATA'!C$7:C$10,'HS250-DATA'!F$7:F$10)</f>
        <v>24.55</v>
      </c>
      <c r="AK88" s="1733">
        <f>IF(U88="Y",C88*12,0)</f>
        <v>0</v>
      </c>
      <c r="AL88" s="1733">
        <f>C88*E88*VLOOKUP(K88,'SCR-Diode DATA'!D$7:M$43,10,FALSE)</f>
        <v>72</v>
      </c>
      <c r="AM88" s="507">
        <f>AH88/F88</f>
        <v>0.86841825268514627</v>
      </c>
    </row>
    <row r="89" spans="1:39" ht="18.75">
      <c r="A89" s="1598">
        <v>1</v>
      </c>
      <c r="B89" s="1533">
        <f t="shared" si="53"/>
        <v>4</v>
      </c>
      <c r="C89" s="1600">
        <v>2</v>
      </c>
      <c r="D89" s="1575">
        <f>B89/C89</f>
        <v>2</v>
      </c>
      <c r="E89" s="1575">
        <v>1</v>
      </c>
      <c r="F89" s="1611">
        <f>IF(A89=3,3*G89,IF(A89=1,2*G89,IF(A89="bd",1*G89,IF(A89="fwd",1,"Error"))))</f>
        <v>154.14682494688958</v>
      </c>
      <c r="G89" s="1582">
        <f>(-AE89+SQRT(AG89))/2/AD89</f>
        <v>77.07341247344479</v>
      </c>
      <c r="H89" s="1583">
        <f>IF(A89=3,SQRT(3),IF(A89=1,SQRT(2),1))</f>
        <v>1.4142135623730951</v>
      </c>
      <c r="I89" s="1594">
        <f>H89*G89</f>
        <v>108.99826521832131</v>
      </c>
      <c r="J89" s="1680" t="s">
        <v>552</v>
      </c>
      <c r="K89" s="1418" t="s">
        <v>555</v>
      </c>
      <c r="L89" s="1419">
        <v>160</v>
      </c>
      <c r="M89" s="1419">
        <v>250</v>
      </c>
      <c r="N89" s="1419">
        <v>4100</v>
      </c>
      <c r="O89" s="1412">
        <v>125</v>
      </c>
      <c r="P89" s="1416">
        <v>0.85</v>
      </c>
      <c r="Q89" s="1416">
        <v>1.5</v>
      </c>
      <c r="R89" s="1416">
        <v>0.17</v>
      </c>
      <c r="S89" s="1687">
        <v>0.1</v>
      </c>
      <c r="T89" s="1624">
        <v>13</v>
      </c>
      <c r="U89" s="1616" t="s">
        <v>642</v>
      </c>
      <c r="V89" s="1622">
        <f>IF(E89=1,IF(U89="N",LOOKUP(T89,'HS250-DATA'!C$7:C$10,'HS250-DATA'!D$7:D$10),IF(U89="Y",LOOKUP(T89,'HS250-DATA'!C$22:C$25,'HS250-DATA'!D$22:D$25),"FAN?")),IF(U89="N",LOOKUP(T89,'HS250-DATA'!C$14:C$17,'HS250-DATA'!D$14:D$17),IF(U89="Y",LOOKUP(T89,'HS250-DATA'!C$29:C$32,'HS250-DATA'!D$29:D$32),"FAN?")))</f>
        <v>0.255</v>
      </c>
      <c r="W89" s="1602">
        <f>(G89*H89)^2*Q89*10^-3+G89*P89</f>
        <v>83.333333333333343</v>
      </c>
      <c r="X89" s="1602">
        <f>D89*W89</f>
        <v>166.66666666666669</v>
      </c>
      <c r="Y89" s="1602">
        <f>IF(A89=3,W89*6,IF(A89=1,W89*4,W89))</f>
        <v>333.33333333333337</v>
      </c>
      <c r="Z89" s="1579">
        <f>O89-5</f>
        <v>120</v>
      </c>
      <c r="AA89" s="1602">
        <f>D89*W89*V89+AB89</f>
        <v>97.5</v>
      </c>
      <c r="AB89" s="1588">
        <v>55</v>
      </c>
      <c r="AC89" s="1570"/>
      <c r="AD89" s="1564">
        <f>Q89*10^-3*H89^2</f>
        <v>3.0000000000000009E-3</v>
      </c>
      <c r="AE89" s="1634">
        <f>P89</f>
        <v>0.85</v>
      </c>
      <c r="AF89" s="1635">
        <f>(AB89-Z89)/(R89+S89+D89*V89)</f>
        <v>-83.333333333333329</v>
      </c>
      <c r="AG89" s="1636">
        <f>AE89^2-4*AD89*AF89</f>
        <v>1.7225000000000001</v>
      </c>
      <c r="AH89" s="1741">
        <f>SUM(AJ89:AL89)</f>
        <v>121.1</v>
      </c>
      <c r="AI89" s="1607"/>
      <c r="AJ89" s="1733">
        <f>C89*LOOKUP(T89,'HS250-DATA'!C$7:C$10,'HS250-DATA'!F$7:F$10)</f>
        <v>49.1</v>
      </c>
      <c r="AK89" s="1733">
        <f>IF(U89="Y",C89*12,0)</f>
        <v>0</v>
      </c>
      <c r="AL89" s="1733">
        <f>C89*E89*VLOOKUP(K89,'SCR-Diode DATA'!D$7:M$43,10,FALSE)</f>
        <v>72</v>
      </c>
      <c r="AM89" s="507">
        <f>AH89/F89</f>
        <v>0.78561462450961483</v>
      </c>
    </row>
    <row r="90" spans="1:39" ht="18.75">
      <c r="A90" s="1598"/>
      <c r="B90" s="1533"/>
      <c r="C90" s="1600"/>
      <c r="D90" s="1575"/>
      <c r="E90" s="1575"/>
      <c r="F90" s="1611"/>
      <c r="G90" s="1582"/>
      <c r="H90" s="1583"/>
      <c r="I90" s="1594"/>
      <c r="J90" s="1680"/>
      <c r="K90" s="1418"/>
      <c r="L90" s="1419"/>
      <c r="M90" s="1419"/>
      <c r="N90" s="1419"/>
      <c r="O90" s="1412"/>
      <c r="P90" s="1416"/>
      <c r="Q90" s="1416"/>
      <c r="R90" s="1416"/>
      <c r="S90" s="1687"/>
      <c r="T90" s="1624"/>
      <c r="U90" s="1616"/>
      <c r="V90" s="1622"/>
      <c r="W90" s="1602"/>
      <c r="X90" s="1602"/>
      <c r="Y90" s="1602"/>
      <c r="Z90" s="1579"/>
      <c r="AA90" s="1602"/>
      <c r="AB90" s="1588"/>
      <c r="AC90" s="1570"/>
      <c r="AD90" s="1564"/>
      <c r="AE90" s="1634"/>
      <c r="AF90" s="1635"/>
      <c r="AG90" s="1636"/>
      <c r="AH90" s="1742"/>
      <c r="AI90" s="1607"/>
      <c r="AJ90" s="1607"/>
      <c r="AK90" s="1607"/>
      <c r="AL90" s="1733"/>
      <c r="AM90" s="1743"/>
    </row>
    <row r="91" spans="1:39" ht="18.75">
      <c r="A91" s="1598">
        <v>3</v>
      </c>
      <c r="B91" s="1533">
        <f t="shared" si="53"/>
        <v>6</v>
      </c>
      <c r="C91" s="1600">
        <v>1</v>
      </c>
      <c r="D91" s="1575">
        <f>B91/C91</f>
        <v>6</v>
      </c>
      <c r="E91" s="1575">
        <v>3</v>
      </c>
      <c r="F91" s="1611">
        <f>IF(A91=3,3*G91,IF(A91=1,2*G91,IF(A91="bd",1*G91,IF(A91="fwd",1,"Error"))))</f>
        <v>142.11646810277463</v>
      </c>
      <c r="G91" s="1582">
        <f>(-AE91+SQRT(AG91))/2/AD91</f>
        <v>47.372156034258211</v>
      </c>
      <c r="H91" s="1583">
        <f>IF(A91=3,SQRT(3),IF(A91=1,SQRT(2),1))</f>
        <v>1.7320508075688772</v>
      </c>
      <c r="I91" s="1594">
        <f>H91*G91</f>
        <v>82.050981115415794</v>
      </c>
      <c r="J91" s="1680" t="s">
        <v>548</v>
      </c>
      <c r="K91" s="1418" t="s">
        <v>469</v>
      </c>
      <c r="L91" s="1419">
        <v>250</v>
      </c>
      <c r="M91" s="1419">
        <v>393</v>
      </c>
      <c r="N91" s="1419">
        <v>8800</v>
      </c>
      <c r="O91" s="1412">
        <v>125</v>
      </c>
      <c r="P91" s="1416">
        <v>0.81899999999999995</v>
      </c>
      <c r="Q91" s="1416">
        <v>0.58899999999999997</v>
      </c>
      <c r="R91" s="1416">
        <v>0.14000000000000001</v>
      </c>
      <c r="S91" s="1687">
        <v>0.06</v>
      </c>
      <c r="T91" s="1624">
        <v>13</v>
      </c>
      <c r="U91" s="1616" t="s">
        <v>642</v>
      </c>
      <c r="V91" s="1622">
        <f>IF(E91=1,IF(U91="N",LOOKUP(T91,'HS250-DATA'!C$7:C$10,'HS250-DATA'!D$7:D$10),IF(U91="Y",LOOKUP(T91,'HS250-DATA'!C$22:C$25,'HS250-DATA'!D$22:D$25),"FAN?")),IF(U91="N",LOOKUP(T91,'HS250-DATA'!C$14:C$17,'HS250-DATA'!D$14:D$17),IF(U91="Y",LOOKUP(T91,'HS250-DATA'!C$29:C$32,'HS250-DATA'!D$29:D$32),"FAN?")))</f>
        <v>0.22</v>
      </c>
      <c r="W91" s="1602">
        <f>(G91*H91)^2*Q91*10^-3+G91*P91</f>
        <v>42.763157894736835</v>
      </c>
      <c r="X91" s="1602">
        <f>D91*W91</f>
        <v>256.57894736842104</v>
      </c>
      <c r="Y91" s="1602">
        <f>IF(A91=3,W91*6,IF(A91=1,W91*4,W91))</f>
        <v>256.57894736842104</v>
      </c>
      <c r="Z91" s="1579">
        <f>O91-5</f>
        <v>120</v>
      </c>
      <c r="AA91" s="1602">
        <f>D91*W91*V91+AB91</f>
        <v>111.44736842105263</v>
      </c>
      <c r="AB91" s="1588">
        <v>55</v>
      </c>
      <c r="AC91" s="1570"/>
      <c r="AD91" s="1564">
        <f>Q91*10^-3*H91^2</f>
        <v>1.7669999999999997E-3</v>
      </c>
      <c r="AE91" s="1634">
        <f>P91</f>
        <v>0.81899999999999995</v>
      </c>
      <c r="AF91" s="1635">
        <f>(AB91-Z91)/(R91+S91+D91*V91)</f>
        <v>-42.763157894736842</v>
      </c>
      <c r="AG91" s="1636">
        <f>AE91^2-4*AD91*AF91</f>
        <v>0.97301099999999985</v>
      </c>
      <c r="AH91" s="1741">
        <f>SUM(AJ91:AL91)</f>
        <v>249.55</v>
      </c>
      <c r="AI91" s="1607"/>
      <c r="AJ91" s="1733">
        <f>C91*LOOKUP(T91,'HS250-DATA'!C$7:C$10,'HS250-DATA'!F$7:F$10)</f>
        <v>24.55</v>
      </c>
      <c r="AK91" s="1733">
        <f>IF(U91="Y",C91*12,0)</f>
        <v>0</v>
      </c>
      <c r="AL91" s="1733">
        <f>C91*E91*VLOOKUP(K91,'SCR-Diode DATA'!D$7:M$43,10,FALSE)</f>
        <v>225</v>
      </c>
      <c r="AM91" s="507">
        <f>AH91/F91</f>
        <v>1.7559541362900495</v>
      </c>
    </row>
    <row r="92" spans="1:39" ht="18.75">
      <c r="A92" s="1598">
        <v>3</v>
      </c>
      <c r="B92" s="1533">
        <f t="shared" si="53"/>
        <v>6</v>
      </c>
      <c r="C92" s="1600">
        <v>3</v>
      </c>
      <c r="D92" s="1575">
        <f>B92/C92</f>
        <v>2</v>
      </c>
      <c r="E92" s="1575">
        <v>1</v>
      </c>
      <c r="F92" s="1611">
        <f>IF(A92=3,3*G92,IF(A92=1,2*G92,IF(A92="bd",1*G92,IF(A92="fwd",1,"Error"))))</f>
        <v>279.2600926746328</v>
      </c>
      <c r="G92" s="1582">
        <f>(-AE92+SQRT(AG92))/2/AD92</f>
        <v>93.086697558210929</v>
      </c>
      <c r="H92" s="1583">
        <f>IF(A92=3,SQRT(3),IF(A92=1,SQRT(2),1))</f>
        <v>1.7320508075688772</v>
      </c>
      <c r="I92" s="1594">
        <f>H92*G92</f>
        <v>161.23088967961908</v>
      </c>
      <c r="J92" s="1680" t="s">
        <v>548</v>
      </c>
      <c r="K92" s="1418" t="s">
        <v>469</v>
      </c>
      <c r="L92" s="1419">
        <v>250</v>
      </c>
      <c r="M92" s="1419">
        <v>393</v>
      </c>
      <c r="N92" s="1419">
        <v>8800</v>
      </c>
      <c r="O92" s="1412">
        <v>125</v>
      </c>
      <c r="P92" s="1416">
        <v>0.81899999999999995</v>
      </c>
      <c r="Q92" s="1416">
        <v>0.58899999999999997</v>
      </c>
      <c r="R92" s="1416">
        <v>0.14000000000000001</v>
      </c>
      <c r="S92" s="1687">
        <v>0.06</v>
      </c>
      <c r="T92" s="1624">
        <v>13</v>
      </c>
      <c r="U92" s="1616" t="s">
        <v>642</v>
      </c>
      <c r="V92" s="1622">
        <f>IF(E92=1,IF(U92="N",LOOKUP(T92,'HS250-DATA'!C$7:C$10,'HS250-DATA'!D$7:D$10),IF(U92="Y",LOOKUP(T92,'HS250-DATA'!C$22:C$25,'HS250-DATA'!D$22:D$25),"FAN?")),IF(U92="N",LOOKUP(T92,'HS250-DATA'!C$14:C$17,'HS250-DATA'!D$14:D$17),IF(U92="Y",LOOKUP(T92,'HS250-DATA'!C$29:C$32,'HS250-DATA'!D$29:D$32),"FAN?")))</f>
        <v>0.255</v>
      </c>
      <c r="W92" s="1602">
        <f>(G92*H92)^2*Q92*10^-3+G92*P92</f>
        <v>91.549295774647959</v>
      </c>
      <c r="X92" s="1602">
        <f>D92*W92</f>
        <v>183.09859154929592</v>
      </c>
      <c r="Y92" s="1602">
        <f>IF(A92=3,W92*6,IF(A92=1,W92*4,W92))</f>
        <v>549.29577464788781</v>
      </c>
      <c r="Z92" s="1579">
        <f>O92-5</f>
        <v>120</v>
      </c>
      <c r="AA92" s="1602">
        <f>D92*W92*V92+AB92</f>
        <v>101.69014084507046</v>
      </c>
      <c r="AB92" s="1588">
        <v>55</v>
      </c>
      <c r="AC92" s="1570"/>
      <c r="AD92" s="1564">
        <f>Q92*10^-3*H92^2</f>
        <v>1.7669999999999997E-3</v>
      </c>
      <c r="AE92" s="1634">
        <f>P92</f>
        <v>0.81899999999999995</v>
      </c>
      <c r="AF92" s="1635">
        <f>(AB92-Z92)/(R92+S92+D92*V92)</f>
        <v>-91.549295774647888</v>
      </c>
      <c r="AG92" s="1636">
        <f>AE92^2-4*AD92*AF92</f>
        <v>1.3178314225352112</v>
      </c>
      <c r="AH92" s="1741">
        <f>SUM(AJ92:AL92)</f>
        <v>298.64999999999998</v>
      </c>
      <c r="AI92" s="1607"/>
      <c r="AJ92" s="1733">
        <f>C92*LOOKUP(T92,'HS250-DATA'!C$7:C$10,'HS250-DATA'!F$7:F$10)</f>
        <v>73.650000000000006</v>
      </c>
      <c r="AK92" s="1733">
        <f>IF(U92="Y",C92*12,0)</f>
        <v>0</v>
      </c>
      <c r="AL92" s="1733">
        <f>C92*E92*VLOOKUP(K92,'SCR-Diode DATA'!D$7:M$43,10,FALSE)</f>
        <v>225</v>
      </c>
      <c r="AM92" s="507">
        <f>AH92/F92</f>
        <v>1.0694331479290828</v>
      </c>
    </row>
    <row r="93" spans="1:39" ht="18.75">
      <c r="A93" s="1598">
        <v>1</v>
      </c>
      <c r="B93" s="1533">
        <f t="shared" si="53"/>
        <v>4</v>
      </c>
      <c r="C93" s="1600">
        <v>1</v>
      </c>
      <c r="D93" s="1575">
        <f>B93/C93</f>
        <v>4</v>
      </c>
      <c r="E93" s="1575">
        <v>2</v>
      </c>
      <c r="F93" s="1611">
        <f>IF(A93=3,3*G93,IF(A93=1,2*G93,IF(A93="bd",1*G93,IF(A93="fwd",1,"Error"))))</f>
        <v>134.04942911649195</v>
      </c>
      <c r="G93" s="1582">
        <f>(-AE93+SQRT(AG93))/2/AD93</f>
        <v>67.024714558245975</v>
      </c>
      <c r="H93" s="1583">
        <f>IF(A93=3,SQRT(3),IF(A93=1,SQRT(2),1))</f>
        <v>1.4142135623730951</v>
      </c>
      <c r="I93" s="1594">
        <f>H93*G93</f>
        <v>94.787260342456889</v>
      </c>
      <c r="J93" s="1680" t="s">
        <v>552</v>
      </c>
      <c r="K93" s="1418" t="s">
        <v>556</v>
      </c>
      <c r="L93" s="1419">
        <v>250</v>
      </c>
      <c r="M93" s="1419">
        <v>393</v>
      </c>
      <c r="N93" s="1419">
        <v>8800</v>
      </c>
      <c r="O93" s="1412">
        <v>125</v>
      </c>
      <c r="P93" s="1416">
        <v>0.81899999999999995</v>
      </c>
      <c r="Q93" s="1416">
        <v>0.58899999999999997</v>
      </c>
      <c r="R93" s="1416">
        <v>0.14000000000000001</v>
      </c>
      <c r="S93" s="1687">
        <v>0.06</v>
      </c>
      <c r="T93" s="1624">
        <v>13</v>
      </c>
      <c r="U93" s="1616" t="s">
        <v>642</v>
      </c>
      <c r="V93" s="1622">
        <f>IF(E93=1,IF(U93="N",LOOKUP(T93,'HS250-DATA'!C$7:C$10,'HS250-DATA'!D$7:D$10),IF(U93="Y",LOOKUP(T93,'HS250-DATA'!C$22:C$25,'HS250-DATA'!D$22:D$25),"FAN?")),IF(U93="N",LOOKUP(T93,'HS250-DATA'!C$14:C$17,'HS250-DATA'!D$14:D$17),IF(U93="Y",LOOKUP(T93,'HS250-DATA'!C$29:C$32,'HS250-DATA'!D$29:D$32),"FAN?")))</f>
        <v>0.22</v>
      </c>
      <c r="W93" s="1602">
        <f>(G93*H93)^2*Q93*10^-3+G93*P93</f>
        <v>60.185185185185155</v>
      </c>
      <c r="X93" s="1602">
        <f>D93*W93</f>
        <v>240.74074074074062</v>
      </c>
      <c r="Y93" s="1602">
        <f>IF(A93=3,W93*6,IF(A93=1,W93*4,W93))</f>
        <v>240.74074074074062</v>
      </c>
      <c r="Z93" s="1579">
        <f>O93-5</f>
        <v>120</v>
      </c>
      <c r="AA93" s="1602">
        <f>D93*W93*V93+AB93</f>
        <v>107.96296296296293</v>
      </c>
      <c r="AB93" s="1588">
        <v>55</v>
      </c>
      <c r="AC93" s="1570"/>
      <c r="AD93" s="1564">
        <f>Q93*10^-3*H93^2</f>
        <v>1.1780000000000002E-3</v>
      </c>
      <c r="AE93" s="1634">
        <f>P93</f>
        <v>0.81899999999999995</v>
      </c>
      <c r="AF93" s="1635">
        <f>(AB93-Z93)/(R93+S93+D93*V93)</f>
        <v>-60.185185185185183</v>
      </c>
      <c r="AG93" s="1636">
        <f>AE93^2-4*AD93*AF93</f>
        <v>0.95435359259259256</v>
      </c>
      <c r="AH93" s="1741">
        <f>SUM(AJ93:AL93)</f>
        <v>174.55</v>
      </c>
      <c r="AI93" s="1607"/>
      <c r="AJ93" s="1733">
        <f>C93*LOOKUP(T93,'HS250-DATA'!C$7:C$10,'HS250-DATA'!F$7:F$10)</f>
        <v>24.55</v>
      </c>
      <c r="AK93" s="1733">
        <f>IF(U93="Y",C93*12,0)</f>
        <v>0</v>
      </c>
      <c r="AL93" s="1733">
        <f>C93*E93*VLOOKUP(K93,'SCR-Diode DATA'!D$7:M$43,10,FALSE)</f>
        <v>150</v>
      </c>
      <c r="AM93" s="507">
        <f>AH93/F93</f>
        <v>1.3021316177953444</v>
      </c>
    </row>
    <row r="94" spans="1:39" ht="18.75">
      <c r="A94" s="1598">
        <v>1</v>
      </c>
      <c r="B94" s="1533">
        <f t="shared" si="53"/>
        <v>4</v>
      </c>
      <c r="C94" s="1600">
        <v>2</v>
      </c>
      <c r="D94" s="1575">
        <f>B94/C94</f>
        <v>2</v>
      </c>
      <c r="E94" s="1575">
        <v>1</v>
      </c>
      <c r="F94" s="1611">
        <f>IF(A94=3,3*G94,IF(A94=1,2*G94,IF(A94="bd",1*G94,IF(A94="fwd",1,"Error"))))</f>
        <v>195.95005760632262</v>
      </c>
      <c r="G94" s="1582">
        <f>(-AE94+SQRT(AG94))/2/AD94</f>
        <v>97.975028803161308</v>
      </c>
      <c r="H94" s="1583">
        <f>IF(A94=3,SQRT(3),IF(A94=1,SQRT(2),1))</f>
        <v>1.4142135623730951</v>
      </c>
      <c r="I94" s="1594">
        <f>H94*G94</f>
        <v>138.55761450732535</v>
      </c>
      <c r="J94" s="1680" t="s">
        <v>552</v>
      </c>
      <c r="K94" s="1418" t="s">
        <v>556</v>
      </c>
      <c r="L94" s="1419">
        <v>250</v>
      </c>
      <c r="M94" s="1419">
        <v>393</v>
      </c>
      <c r="N94" s="1419">
        <v>8800</v>
      </c>
      <c r="O94" s="1412">
        <v>125</v>
      </c>
      <c r="P94" s="1416">
        <v>0.81899999999999995</v>
      </c>
      <c r="Q94" s="1416">
        <v>0.58899999999999997</v>
      </c>
      <c r="R94" s="1416">
        <v>0.14000000000000001</v>
      </c>
      <c r="S94" s="1687">
        <v>0.06</v>
      </c>
      <c r="T94" s="1624">
        <v>13</v>
      </c>
      <c r="U94" s="1616" t="s">
        <v>642</v>
      </c>
      <c r="V94" s="1622">
        <f>IF(E94=1,IF(U94="N",LOOKUP(T94,'HS250-DATA'!C$7:C$10,'HS250-DATA'!D$7:D$10),IF(U94="Y",LOOKUP(T94,'HS250-DATA'!C$22:C$25,'HS250-DATA'!D$22:D$25),"FAN?")),IF(U94="N",LOOKUP(T94,'HS250-DATA'!C$14:C$17,'HS250-DATA'!D$14:D$17),IF(U94="Y",LOOKUP(T94,'HS250-DATA'!C$29:C$32,'HS250-DATA'!D$29:D$32),"FAN?")))</f>
        <v>0.255</v>
      </c>
      <c r="W94" s="1602">
        <f>(G94*H94)^2*Q94*10^-3+G94*P94</f>
        <v>91.549295774647888</v>
      </c>
      <c r="X94" s="1602">
        <f>D94*W94</f>
        <v>183.09859154929578</v>
      </c>
      <c r="Y94" s="1602">
        <f>IF(A94=3,W94*6,IF(A94=1,W94*4,W94))</f>
        <v>366.19718309859155</v>
      </c>
      <c r="Z94" s="1579">
        <f>O94-5</f>
        <v>120</v>
      </c>
      <c r="AA94" s="1602">
        <f>D94*W94*V94+AB94</f>
        <v>101.69014084507043</v>
      </c>
      <c r="AB94" s="1588">
        <v>55</v>
      </c>
      <c r="AC94" s="1570"/>
      <c r="AD94" s="1564">
        <f>Q94*10^-3*H94^2</f>
        <v>1.1780000000000002E-3</v>
      </c>
      <c r="AE94" s="1634">
        <f>P94</f>
        <v>0.81899999999999995</v>
      </c>
      <c r="AF94" s="1635">
        <f>(AB94-Z94)/(R94+S94+D94*V94)</f>
        <v>-91.549295774647888</v>
      </c>
      <c r="AG94" s="1636">
        <f>AE94^2-4*AD94*AF94</f>
        <v>1.1021412816901408</v>
      </c>
      <c r="AH94" s="1741">
        <f>SUM(AJ94:AL94)</f>
        <v>199.1</v>
      </c>
      <c r="AI94" s="1607"/>
      <c r="AJ94" s="1733">
        <f>C94*LOOKUP(T94,'HS250-DATA'!C$7:C$10,'HS250-DATA'!F$7:F$10)</f>
        <v>49.1</v>
      </c>
      <c r="AK94" s="1733">
        <f>IF(U94="Y",C94*12,0)</f>
        <v>0</v>
      </c>
      <c r="AL94" s="1733">
        <f>C94*E94*VLOOKUP(K94,'SCR-Diode DATA'!D$7:M$43,10,FALSE)</f>
        <v>150</v>
      </c>
      <c r="AM94" s="507">
        <f>AH94/F94</f>
        <v>1.0160752307611249</v>
      </c>
    </row>
    <row r="95" spans="1:39" ht="18.75">
      <c r="A95" s="1598"/>
      <c r="B95" s="1533"/>
      <c r="C95" s="1600"/>
      <c r="D95" s="1575"/>
      <c r="E95" s="1575"/>
      <c r="F95" s="1611"/>
      <c r="G95" s="1582"/>
      <c r="H95" s="1583"/>
      <c r="I95" s="1594"/>
      <c r="J95" s="1680"/>
      <c r="K95" s="1418"/>
      <c r="L95" s="1419"/>
      <c r="M95" s="1419"/>
      <c r="N95" s="1419"/>
      <c r="O95" s="1412"/>
      <c r="P95" s="1416"/>
      <c r="Q95" s="1416"/>
      <c r="R95" s="1416"/>
      <c r="S95" s="1687"/>
      <c r="T95" s="1624"/>
      <c r="U95" s="1616"/>
      <c r="V95" s="1622"/>
      <c r="W95" s="1602"/>
      <c r="X95" s="1602"/>
      <c r="Y95" s="1602"/>
      <c r="Z95" s="1579"/>
      <c r="AA95" s="1602"/>
      <c r="AB95" s="1588"/>
      <c r="AC95" s="1570"/>
      <c r="AD95" s="1564"/>
      <c r="AE95" s="1634"/>
      <c r="AF95" s="1635"/>
      <c r="AG95" s="1636"/>
      <c r="AH95" s="1742"/>
      <c r="AI95" s="1607"/>
      <c r="AJ95" s="1607"/>
      <c r="AK95" s="1607"/>
      <c r="AL95" s="1733"/>
      <c r="AM95" s="1743"/>
    </row>
    <row r="96" spans="1:39" ht="18.75">
      <c r="A96" s="1598">
        <v>3</v>
      </c>
      <c r="B96" s="1533">
        <f t="shared" si="53"/>
        <v>6</v>
      </c>
      <c r="C96" s="1600">
        <v>1</v>
      </c>
      <c r="D96" s="1575">
        <f>B96/C96</f>
        <v>6</v>
      </c>
      <c r="E96" s="1575">
        <v>3</v>
      </c>
      <c r="F96" s="1611">
        <f>IF(A96=3,3*G96,IF(A96=1,2*G96,IF(A96="bd",1*G96,IF(A96="fwd",1,"Error"))))</f>
        <v>161.0934381772615</v>
      </c>
      <c r="G96" s="1582">
        <f>(-AE96+SQRT(AG96))/2/AD96</f>
        <v>53.697812725753835</v>
      </c>
      <c r="H96" s="1583">
        <f>IF(A96=3,SQRT(3),IF(A96=1,SQRT(2),1))</f>
        <v>1.7320508075688772</v>
      </c>
      <c r="I96" s="1594">
        <f>H96*G96</f>
        <v>93.007339896324254</v>
      </c>
      <c r="J96" s="1680" t="s">
        <v>548</v>
      </c>
      <c r="K96" s="1418" t="s">
        <v>470</v>
      </c>
      <c r="L96" s="1419">
        <v>500</v>
      </c>
      <c r="M96" s="1419">
        <v>900</v>
      </c>
      <c r="N96" s="1419">
        <v>16300</v>
      </c>
      <c r="O96" s="1412">
        <v>125</v>
      </c>
      <c r="P96" s="1416">
        <v>0.81</v>
      </c>
      <c r="Q96" s="1416">
        <v>0.32</v>
      </c>
      <c r="R96" s="1416">
        <v>6.5000000000000002E-2</v>
      </c>
      <c r="S96" s="1687">
        <v>0.02</v>
      </c>
      <c r="T96" s="1624">
        <v>13</v>
      </c>
      <c r="U96" s="1616" t="s">
        <v>642</v>
      </c>
      <c r="V96" s="1622">
        <f>IF(E96=1,IF(U96="N",LOOKUP(T96,'HS250-DATA'!C$7:C$10,'HS250-DATA'!D$7:D$10),IF(U96="Y",LOOKUP(T96,'HS250-DATA'!C$22:C$25,'HS250-DATA'!D$22:D$25),"FAN?")),IF(U96="N",LOOKUP(T96,'HS250-DATA'!C$14:C$17,'HS250-DATA'!D$14:D$17),IF(U96="Y",LOOKUP(T96,'HS250-DATA'!C$29:C$32,'HS250-DATA'!D$29:D$32),"FAN?")))</f>
        <v>0.22</v>
      </c>
      <c r="W96" s="1602">
        <f>(G96*H96)^2*Q96*10^-3+G96*P96</f>
        <v>46.263345195729535</v>
      </c>
      <c r="X96" s="1602">
        <f>D96*W96</f>
        <v>277.58007117437722</v>
      </c>
      <c r="Y96" s="1602">
        <f>IF(A96=3,W96*6,IF(A96=1,W96*4,W96))</f>
        <v>277.58007117437722</v>
      </c>
      <c r="Z96" s="1579">
        <f>O96-5</f>
        <v>120</v>
      </c>
      <c r="AA96" s="1602">
        <f>D96*W96*V96+AB96</f>
        <v>116.067615658363</v>
      </c>
      <c r="AB96" s="1588">
        <v>55</v>
      </c>
      <c r="AC96" s="1570"/>
      <c r="AD96" s="1564">
        <f>Q96*10^-3*H96^2</f>
        <v>9.5999999999999992E-4</v>
      </c>
      <c r="AE96" s="1634">
        <f>P96</f>
        <v>0.81</v>
      </c>
      <c r="AF96" s="1635">
        <f>(AB96-Z96)/(R96+S96+D96*V96)</f>
        <v>-46.263345195729535</v>
      </c>
      <c r="AG96" s="1636">
        <f>AE96^2-4*AD96*AF96</f>
        <v>0.83375124555160152</v>
      </c>
      <c r="AH96" s="1741">
        <f>SUM(AJ96:AL96)</f>
        <v>429.55</v>
      </c>
      <c r="AI96" s="1607"/>
      <c r="AJ96" s="1733">
        <f>C96*LOOKUP(T96,'HS250-DATA'!C$7:C$10,'HS250-DATA'!F$7:F$10)</f>
        <v>24.55</v>
      </c>
      <c r="AK96" s="1733">
        <f>IF(U96="Y",C96*12,0)</f>
        <v>0</v>
      </c>
      <c r="AL96" s="1733">
        <f>C96*E96*VLOOKUP(K96,'SCR-Diode DATA'!D$7:M$43,10,FALSE)</f>
        <v>405</v>
      </c>
      <c r="AM96" s="507">
        <f>AH96/F96</f>
        <v>2.6664649091872907</v>
      </c>
    </row>
    <row r="97" spans="1:39" ht="18.75">
      <c r="A97" s="1598">
        <v>3</v>
      </c>
      <c r="B97" s="1533">
        <f t="shared" si="53"/>
        <v>6</v>
      </c>
      <c r="C97" s="1600">
        <v>3</v>
      </c>
      <c r="D97" s="1575">
        <f>B97/C97</f>
        <v>2</v>
      </c>
      <c r="E97" s="1575">
        <v>1</v>
      </c>
      <c r="F97" s="1611">
        <f>IF(A97=3,3*G97,IF(A97=1,2*G97,IF(A97="bd",1*G97,IF(A97="fwd",1,"Error"))))</f>
        <v>354.85835520317721</v>
      </c>
      <c r="G97" s="1582">
        <f>(-AE97+SQRT(AG97))/2/AD97</f>
        <v>118.28611840105907</v>
      </c>
      <c r="H97" s="1583">
        <f>IF(A97=3,SQRT(3),IF(A97=1,SQRT(2),1))</f>
        <v>1.7320508075688772</v>
      </c>
      <c r="I97" s="1594">
        <f>H97*G97</f>
        <v>204.87756690074218</v>
      </c>
      <c r="J97" s="1680" t="s">
        <v>548</v>
      </c>
      <c r="K97" s="1418" t="s">
        <v>470</v>
      </c>
      <c r="L97" s="1419">
        <v>500</v>
      </c>
      <c r="M97" s="1419">
        <v>900</v>
      </c>
      <c r="N97" s="1419">
        <v>16300</v>
      </c>
      <c r="O97" s="1412">
        <v>125</v>
      </c>
      <c r="P97" s="1416">
        <v>0.81</v>
      </c>
      <c r="Q97" s="1416">
        <v>0.32</v>
      </c>
      <c r="R97" s="1416">
        <v>6.5000000000000002E-2</v>
      </c>
      <c r="S97" s="1687">
        <v>0.02</v>
      </c>
      <c r="T97" s="1624">
        <v>13</v>
      </c>
      <c r="U97" s="1616" t="s">
        <v>642</v>
      </c>
      <c r="V97" s="1622">
        <f>IF(E97=1,IF(U97="N",LOOKUP(T97,'HS250-DATA'!C$7:C$10,'HS250-DATA'!D$7:D$10),IF(U97="Y",LOOKUP(T97,'HS250-DATA'!C$22:C$25,'HS250-DATA'!D$22:D$25),"FAN?")),IF(U97="N",LOOKUP(T97,'HS250-DATA'!C$14:C$17,'HS250-DATA'!D$14:D$17),IF(U97="Y",LOOKUP(T97,'HS250-DATA'!C$29:C$32,'HS250-DATA'!D$29:D$32),"FAN?")))</f>
        <v>0.255</v>
      </c>
      <c r="W97" s="1602">
        <f>(G97*H97)^2*Q97*10^-3+G97*P97</f>
        <v>109.24369747899163</v>
      </c>
      <c r="X97" s="1602">
        <f>D97*W97</f>
        <v>218.48739495798327</v>
      </c>
      <c r="Y97" s="1602">
        <f>IF(A97=3,W97*6,IF(A97=1,W97*4,W97))</f>
        <v>655.46218487394981</v>
      </c>
      <c r="Z97" s="1579">
        <f>O97-5</f>
        <v>120</v>
      </c>
      <c r="AA97" s="1602">
        <f>D97*W97*V97+AB97</f>
        <v>110.71428571428574</v>
      </c>
      <c r="AB97" s="1588">
        <v>55</v>
      </c>
      <c r="AC97" s="1570"/>
      <c r="AD97" s="1564">
        <f>Q97*10^-3*H97^2</f>
        <v>9.5999999999999992E-4</v>
      </c>
      <c r="AE97" s="1634">
        <f>P97</f>
        <v>0.81</v>
      </c>
      <c r="AF97" s="1635">
        <f>(AB97-Z97)/(R97+S97+D97*V97)</f>
        <v>-109.24369747899161</v>
      </c>
      <c r="AG97" s="1636">
        <f>AE97^2-4*AD97*AF97</f>
        <v>1.0755957983193278</v>
      </c>
      <c r="AH97" s="1741">
        <f>SUM(AJ97:AL97)</f>
        <v>478.65</v>
      </c>
      <c r="AI97" s="1607"/>
      <c r="AJ97" s="1733">
        <f>C97*LOOKUP(T97,'HS250-DATA'!C$7:C$10,'HS250-DATA'!F$7:F$10)</f>
        <v>73.650000000000006</v>
      </c>
      <c r="AK97" s="1733">
        <f>IF(U97="Y",C97*12,0)</f>
        <v>0</v>
      </c>
      <c r="AL97" s="1733">
        <f>C97*E97*VLOOKUP(K97,'SCR-Diode DATA'!D$7:M$43,10,FALSE)</f>
        <v>405</v>
      </c>
      <c r="AM97" s="507">
        <f>AH97/F97</f>
        <v>1.3488480487543961</v>
      </c>
    </row>
    <row r="98" spans="1:39" ht="18.75">
      <c r="A98" s="1598"/>
      <c r="B98" s="1533"/>
      <c r="C98" s="1600"/>
      <c r="D98" s="1575"/>
      <c r="E98" s="1575"/>
      <c r="F98" s="1611"/>
      <c r="G98" s="1582"/>
      <c r="H98" s="1583"/>
      <c r="I98" s="1594"/>
      <c r="J98" s="1680"/>
      <c r="K98" s="1418"/>
      <c r="L98" s="1419"/>
      <c r="M98" s="1419"/>
      <c r="N98" s="1419"/>
      <c r="O98" s="1412"/>
      <c r="P98" s="1416"/>
      <c r="Q98" s="1416"/>
      <c r="R98" s="1416"/>
      <c r="S98" s="1687"/>
      <c r="T98" s="1624">
        <v>13</v>
      </c>
      <c r="U98" s="1616"/>
      <c r="V98" s="1622"/>
      <c r="W98" s="1602"/>
      <c r="X98" s="1602"/>
      <c r="Y98" s="1602"/>
      <c r="Z98" s="1579"/>
      <c r="AA98" s="1602"/>
      <c r="AB98" s="1588"/>
      <c r="AC98" s="1570"/>
      <c r="AD98" s="1564"/>
      <c r="AE98" s="1634"/>
      <c r="AF98" s="1635"/>
      <c r="AG98" s="1636"/>
      <c r="AH98" s="1742"/>
      <c r="AI98" s="1607"/>
      <c r="AJ98" s="1607"/>
      <c r="AK98" s="1607"/>
      <c r="AL98" s="1733"/>
      <c r="AM98" s="1743"/>
    </row>
    <row r="99" spans="1:39" ht="18.75">
      <c r="A99" s="1598">
        <v>3</v>
      </c>
      <c r="B99" s="1533">
        <f t="shared" si="53"/>
        <v>6</v>
      </c>
      <c r="C99" s="1600">
        <v>1</v>
      </c>
      <c r="D99" s="1575">
        <f>B99/C99</f>
        <v>6</v>
      </c>
      <c r="E99" s="1575">
        <v>3</v>
      </c>
      <c r="F99" s="1611">
        <f>IF(A99=3,3*G99,IF(A99=1,2*G99,IF(A99="bd",1*G99,IF(A99="fwd",1,"Error"))))</f>
        <v>189.31730061991925</v>
      </c>
      <c r="G99" s="1582">
        <f>(-AE99+SQRT(AG99))/2/AD99</f>
        <v>63.105766873306415</v>
      </c>
      <c r="H99" s="1583">
        <f>IF(A99=3,SQRT(3),IF(A99=1,SQRT(2),1))</f>
        <v>1.7320508075688772</v>
      </c>
      <c r="I99" s="1594">
        <f>H99*G99</f>
        <v>109.30239447516368</v>
      </c>
      <c r="J99" s="1680" t="s">
        <v>548</v>
      </c>
      <c r="K99" s="1418" t="s">
        <v>471</v>
      </c>
      <c r="L99" s="1419">
        <v>700</v>
      </c>
      <c r="M99" s="1419">
        <v>1100</v>
      </c>
      <c r="N99" s="1419">
        <v>36500</v>
      </c>
      <c r="O99" s="1412">
        <v>125</v>
      </c>
      <c r="P99" s="1416">
        <v>0.70299999999999996</v>
      </c>
      <c r="Q99" s="1416">
        <v>0.184</v>
      </c>
      <c r="R99" s="1416">
        <v>5.8000000000000003E-2</v>
      </c>
      <c r="S99" s="1687">
        <v>1.7999999999999999E-2</v>
      </c>
      <c r="T99" s="1624">
        <v>13</v>
      </c>
      <c r="U99" s="1616" t="s">
        <v>642</v>
      </c>
      <c r="V99" s="1622">
        <f>IF(E99=1,IF(U99="N",LOOKUP(T99,'HS250-DATA'!C$7:C$10,'HS250-DATA'!D$7:D$10),IF(U99="Y",LOOKUP(T99,'HS250-DATA'!C$22:C$25,'HS250-DATA'!D$22:D$25),"FAN?")),IF(U99="N",LOOKUP(T99,'HS250-DATA'!C$14:C$17,'HS250-DATA'!D$14:D$17),IF(U99="Y",LOOKUP(T99,'HS250-DATA'!C$29:C$32,'HS250-DATA'!D$29:D$32),"FAN?")))</f>
        <v>0.22</v>
      </c>
      <c r="W99" s="1602">
        <f>(G99*H99)^2*Q99*10^-3+G99*P99</f>
        <v>46.561604584527196</v>
      </c>
      <c r="X99" s="1602">
        <f>D99*W99</f>
        <v>279.36962750716316</v>
      </c>
      <c r="Y99" s="1602">
        <f>IF(A99=3,W99*6,IF(A99=1,W99*4,W99))</f>
        <v>279.36962750716316</v>
      </c>
      <c r="Z99" s="1579">
        <f>O99-5</f>
        <v>120</v>
      </c>
      <c r="AA99" s="1602">
        <f>D99*W99*V99+AB99</f>
        <v>116.46131805157589</v>
      </c>
      <c r="AB99" s="1588">
        <v>55</v>
      </c>
      <c r="AC99" s="1570"/>
      <c r="AD99" s="1564">
        <f>Q99*10^-3*H99^2</f>
        <v>5.5199999999999986E-4</v>
      </c>
      <c r="AE99" s="1634">
        <f>P99</f>
        <v>0.70299999999999996</v>
      </c>
      <c r="AF99" s="1635">
        <f>(AB99-Z99)/(R99+S99+D99*V99)</f>
        <v>-46.561604584527217</v>
      </c>
      <c r="AG99" s="1636">
        <f>AE99^2-4*AD99*AF99</f>
        <v>0.59701702292263603</v>
      </c>
      <c r="AH99" s="1741">
        <f>SUM(AJ99:AL99)</f>
        <v>999.55</v>
      </c>
      <c r="AI99" s="1607"/>
      <c r="AJ99" s="1733">
        <f>C99*LOOKUP(T99,'HS250-DATA'!C$7:C$10,'HS250-DATA'!F$7:F$10)</f>
        <v>24.55</v>
      </c>
      <c r="AK99" s="1733">
        <f>IF(U99="Y",C99*12,0)</f>
        <v>0</v>
      </c>
      <c r="AL99" s="1733">
        <f>C99*E99*VLOOKUP(K99,'SCR-Diode DATA'!D$7:M$43,10,FALSE)</f>
        <v>975</v>
      </c>
      <c r="AM99" s="507">
        <f>AH99/F99</f>
        <v>5.2797604694709612</v>
      </c>
    </row>
    <row r="100" spans="1:39" ht="18.75">
      <c r="A100" s="1598">
        <v>3</v>
      </c>
      <c r="B100" s="1533">
        <f t="shared" si="53"/>
        <v>6</v>
      </c>
      <c r="C100" s="1600">
        <v>3</v>
      </c>
      <c r="D100" s="1575">
        <f>B100/C100</f>
        <v>2</v>
      </c>
      <c r="E100" s="1575">
        <v>1</v>
      </c>
      <c r="F100" s="1611">
        <f>IF(A100=3,3*G100,IF(A100=1,2*G100,IF(A100="bd",1*G100,IF(A100="fwd",1,"Error"))))</f>
        <v>425.87777908792953</v>
      </c>
      <c r="G100" s="1582">
        <f>(-AE100+SQRT(AG100))/2/AD100</f>
        <v>141.9592596959765</v>
      </c>
      <c r="H100" s="1583">
        <f>IF(A100=3,SQRT(3),IF(A100=1,SQRT(2),1))</f>
        <v>1.7320508075688772</v>
      </c>
      <c r="I100" s="1594">
        <f>H100*G100</f>
        <v>245.88065039829604</v>
      </c>
      <c r="J100" s="1680" t="s">
        <v>548</v>
      </c>
      <c r="K100" s="1418" t="s">
        <v>471</v>
      </c>
      <c r="L100" s="1419">
        <v>700</v>
      </c>
      <c r="M100" s="1419">
        <v>1100</v>
      </c>
      <c r="N100" s="1419">
        <v>36500</v>
      </c>
      <c r="O100" s="1412">
        <v>125</v>
      </c>
      <c r="P100" s="1416">
        <v>0.70299999999999996</v>
      </c>
      <c r="Q100" s="1416">
        <v>0.184</v>
      </c>
      <c r="R100" s="1416">
        <v>5.8000000000000003E-2</v>
      </c>
      <c r="S100" s="1687">
        <v>1.7999999999999999E-2</v>
      </c>
      <c r="T100" s="1624">
        <v>13</v>
      </c>
      <c r="U100" s="1616" t="s">
        <v>642</v>
      </c>
      <c r="V100" s="1622">
        <f>IF(E100=1,IF(U100="N",LOOKUP(T100,'HS250-DATA'!C$7:C$10,'HS250-DATA'!D$7:D$10),IF(U100="Y",LOOKUP(T100,'HS250-DATA'!C$22:C$25,'HS250-DATA'!D$22:D$25),"FAN?")),IF(U100="N",LOOKUP(T100,'HS250-DATA'!C$14:C$17,'HS250-DATA'!D$14:D$17),IF(U100="Y",LOOKUP(T100,'HS250-DATA'!C$29:C$32,'HS250-DATA'!D$29:D$32),"FAN?")))</f>
        <v>0.255</v>
      </c>
      <c r="W100" s="1602">
        <f>(G100*H100)^2*Q100*10^-3+G100*P100</f>
        <v>110.92150170648466</v>
      </c>
      <c r="X100" s="1602">
        <f>D100*W100</f>
        <v>221.84300341296932</v>
      </c>
      <c r="Y100" s="1602">
        <f>IF(A100=3,W100*6,IF(A100=1,W100*4,W100))</f>
        <v>665.52901023890797</v>
      </c>
      <c r="Z100" s="1579">
        <f>O100-5</f>
        <v>120</v>
      </c>
      <c r="AA100" s="1602">
        <f>D100*W100*V100+AB100</f>
        <v>111.56996587030719</v>
      </c>
      <c r="AB100" s="1588">
        <v>55</v>
      </c>
      <c r="AC100" s="1570"/>
      <c r="AD100" s="1564">
        <f>Q100*10^-3*H100^2</f>
        <v>5.5199999999999986E-4</v>
      </c>
      <c r="AE100" s="1634">
        <f>P100</f>
        <v>0.70299999999999996</v>
      </c>
      <c r="AF100" s="1635">
        <f>(AB100-Z100)/(R100+S100+D100*V100)</f>
        <v>-110.92150170648465</v>
      </c>
      <c r="AG100" s="1636">
        <f>AE100^2-4*AD100*AF100</f>
        <v>0.73912367576791804</v>
      </c>
      <c r="AH100" s="1741">
        <f>SUM(AJ100:AL100)</f>
        <v>1048.6500000000001</v>
      </c>
      <c r="AI100" s="1607"/>
      <c r="AJ100" s="1733">
        <f>C100*LOOKUP(T100,'HS250-DATA'!C$7:C$10,'HS250-DATA'!F$7:F$10)</f>
        <v>73.650000000000006</v>
      </c>
      <c r="AK100" s="1733">
        <f>IF(U100="Y",C100*12,0)</f>
        <v>0</v>
      </c>
      <c r="AL100" s="1733">
        <f>C100*E100*VLOOKUP(K100,'SCR-Diode DATA'!D$7:M$43,10,FALSE)</f>
        <v>975</v>
      </c>
      <c r="AM100" s="507">
        <f>AH100/F100</f>
        <v>2.4623261684275124</v>
      </c>
    </row>
    <row r="101" spans="1:39" ht="18.75">
      <c r="A101" s="1598"/>
      <c r="B101" s="1533"/>
      <c r="C101" s="1600"/>
      <c r="D101" s="1575"/>
      <c r="E101" s="1575"/>
      <c r="F101" s="1611"/>
      <c r="G101" s="1582"/>
      <c r="H101" s="1583"/>
      <c r="I101" s="1594"/>
      <c r="J101" s="1680"/>
      <c r="K101" s="1418"/>
      <c r="L101" s="1419"/>
      <c r="M101" s="1419"/>
      <c r="N101" s="1419"/>
      <c r="O101" s="1412"/>
      <c r="P101" s="1416"/>
      <c r="Q101" s="1416"/>
      <c r="R101" s="1416"/>
      <c r="S101" s="1687"/>
      <c r="T101" s="1624"/>
      <c r="U101" s="1616"/>
      <c r="V101" s="1622"/>
      <c r="W101" s="1602"/>
      <c r="X101" s="1602"/>
      <c r="Y101" s="1602"/>
      <c r="Z101" s="1579"/>
      <c r="AA101" s="1602"/>
      <c r="AB101" s="1588"/>
      <c r="AC101" s="1570"/>
      <c r="AD101" s="1564"/>
      <c r="AE101" s="1634"/>
      <c r="AF101" s="1635"/>
      <c r="AG101" s="1636"/>
      <c r="AH101" s="1742"/>
      <c r="AI101" s="1607"/>
      <c r="AJ101" s="1607"/>
      <c r="AK101" s="1607"/>
      <c r="AL101" s="1733"/>
      <c r="AM101" s="1743"/>
    </row>
    <row r="102" spans="1:39" ht="18.75">
      <c r="A102" s="1598">
        <v>3</v>
      </c>
      <c r="B102" s="1533">
        <f t="shared" si="53"/>
        <v>6</v>
      </c>
      <c r="C102" s="1600">
        <v>1</v>
      </c>
      <c r="D102" s="1575">
        <f>B102/C102</f>
        <v>6</v>
      </c>
      <c r="E102" s="1575">
        <v>6</v>
      </c>
      <c r="F102" s="1611">
        <f>IF(A102=3,3*G102,IF(A102=1,2*G102,IF(A102="bd",1*G102,IF(A102="fwd",1,"Error"))))</f>
        <v>202.51915988716303</v>
      </c>
      <c r="G102" s="1582">
        <f>(-AE102+SQRT(AG102))/2/AD102</f>
        <v>67.506386629054347</v>
      </c>
      <c r="H102" s="1583">
        <f>IF(A102=3,SQRT(3),IF(A102=1,SQRT(2),1))</f>
        <v>1.7320508075688772</v>
      </c>
      <c r="I102" s="1594">
        <f>H102*G102</f>
        <v>116.92449147691043</v>
      </c>
      <c r="J102" s="1680" t="s">
        <v>558</v>
      </c>
      <c r="K102" s="1418" t="s">
        <v>472</v>
      </c>
      <c r="L102" s="1419">
        <v>1500</v>
      </c>
      <c r="M102" s="1419">
        <v>2355</v>
      </c>
      <c r="N102" s="1419">
        <v>62000</v>
      </c>
      <c r="O102" s="1412">
        <v>125</v>
      </c>
      <c r="P102" s="1416">
        <v>0.69099999999999995</v>
      </c>
      <c r="Q102" s="1412">
        <v>0.10199999999999999</v>
      </c>
      <c r="R102" s="1412">
        <v>2.4E-2</v>
      </c>
      <c r="S102" s="1687">
        <v>8.9999999999999993E-3</v>
      </c>
      <c r="T102" s="1624">
        <v>13</v>
      </c>
      <c r="U102" s="1616" t="s">
        <v>642</v>
      </c>
      <c r="V102" s="1622">
        <f>IF(E102=1,IF(U102="N",LOOKUP(T102,'HS250-DATA'!C$7:C$10,'HS250-DATA'!D$7:D$10),IF(U102="Y",LOOKUP(T102,'HS250-DATA'!C$22:C$25,'HS250-DATA'!D$22:D$25),"FAN?")),IF(U102="N",LOOKUP(T102,'HS250-DATA'!C$14:C$17,'HS250-DATA'!D$14:D$17),IF(U102="Y",LOOKUP(T102,'HS250-DATA'!C$29:C$32,'HS250-DATA'!D$29:D$32),"FAN?")))</f>
        <v>0.22</v>
      </c>
      <c r="W102" s="1602">
        <f>(G102*H102)^2*Q102*10^-3+G102*P102</f>
        <v>48.041389504804222</v>
      </c>
      <c r="X102" s="1602">
        <f>D102*W102</f>
        <v>288.24833702882535</v>
      </c>
      <c r="Y102" s="1602">
        <f>IF(A102=3,W102*6,IF(A102=1,W102*4,W102))</f>
        <v>288.24833702882535</v>
      </c>
      <c r="Z102" s="1579">
        <f>O102-5</f>
        <v>120</v>
      </c>
      <c r="AA102" s="1602">
        <f>D102*W102*V102+AB102</f>
        <v>118.41463414634157</v>
      </c>
      <c r="AB102" s="1588">
        <v>55</v>
      </c>
      <c r="AC102" s="1570"/>
      <c r="AD102" s="1564">
        <f>Q102*10^-3*H102^2</f>
        <v>3.0599999999999996E-4</v>
      </c>
      <c r="AE102" s="1634">
        <f>P102</f>
        <v>0.69099999999999995</v>
      </c>
      <c r="AF102" s="1635">
        <f>(AB102-Z102)/(R102+S102+D102*V102)</f>
        <v>-48.041389504804137</v>
      </c>
      <c r="AG102" s="1636">
        <f>AE102^2-4*AD102*AF102</f>
        <v>0.53628366075388023</v>
      </c>
      <c r="AH102" s="1741">
        <f>SUM(AJ102:AL102)</f>
        <v>1164.55</v>
      </c>
      <c r="AI102" s="1607"/>
      <c r="AJ102" s="1733">
        <f>C102*LOOKUP(T102,'HS250-DATA'!C$7:C$10,'HS250-DATA'!F$7:F$10)</f>
        <v>24.55</v>
      </c>
      <c r="AK102" s="1733">
        <f>IF(U102="Y",C102*12,0)</f>
        <v>0</v>
      </c>
      <c r="AL102" s="1733">
        <f>C102*E102*VLOOKUP(K102,'SCR-Diode DATA'!D$7:M$43,10,FALSE)</f>
        <v>1140</v>
      </c>
      <c r="AM102" s="507">
        <f>AH102/F102</f>
        <v>5.7503201210633534</v>
      </c>
    </row>
    <row r="103" spans="1:39" ht="18.75">
      <c r="A103" s="1598">
        <v>3</v>
      </c>
      <c r="B103" s="1533">
        <f t="shared" si="53"/>
        <v>6</v>
      </c>
      <c r="C103" s="1600">
        <v>2</v>
      </c>
      <c r="D103" s="1575">
        <f>B103/C103</f>
        <v>3</v>
      </c>
      <c r="E103" s="1575">
        <v>3</v>
      </c>
      <c r="F103" s="1611">
        <f>IF(A103=3,3*G103,IF(A103=1,2*G103,IF(A103="bd",1*G103,IF(A103="fwd",1,"Error"))))</f>
        <v>385.30059797885565</v>
      </c>
      <c r="G103" s="1582">
        <f>(-AE103+SQRT(AG103))/2/AD103</f>
        <v>128.43353265961855</v>
      </c>
      <c r="H103" s="1583">
        <f>IF(A103=3,SQRT(3),IF(A103=1,SQRT(2),1))</f>
        <v>1.7320508075688772</v>
      </c>
      <c r="I103" s="1594">
        <f>H103*G103</f>
        <v>222.45340396201607</v>
      </c>
      <c r="J103" s="1680" t="s">
        <v>558</v>
      </c>
      <c r="K103" s="1418" t="s">
        <v>472</v>
      </c>
      <c r="L103" s="1419">
        <v>1500</v>
      </c>
      <c r="M103" s="1419">
        <v>2355</v>
      </c>
      <c r="N103" s="1419">
        <v>62000</v>
      </c>
      <c r="O103" s="1412">
        <v>125</v>
      </c>
      <c r="P103" s="1416">
        <v>0.69099999999999995</v>
      </c>
      <c r="Q103" s="1412">
        <v>0.10199999999999999</v>
      </c>
      <c r="R103" s="1412">
        <v>2.4E-2</v>
      </c>
      <c r="S103" s="1687">
        <v>8.9999999999999993E-3</v>
      </c>
      <c r="T103" s="1624">
        <v>13</v>
      </c>
      <c r="U103" s="1616" t="s">
        <v>642</v>
      </c>
      <c r="V103" s="1622">
        <f>IF(E103=1,IF(U103="N",LOOKUP(T103,'HS250-DATA'!C$7:C$10,'HS250-DATA'!D$7:D$10),IF(U103="Y",LOOKUP(T103,'HS250-DATA'!C$22:C$25,'HS250-DATA'!D$22:D$25),"FAN?")),IF(U103="N",LOOKUP(T103,'HS250-DATA'!C$14:C$17,'HS250-DATA'!D$14:D$17),IF(U103="Y",LOOKUP(T103,'HS250-DATA'!C$29:C$32,'HS250-DATA'!D$29:D$32),"FAN?")))</f>
        <v>0.22</v>
      </c>
      <c r="W103" s="1602">
        <f>(G103*H103)^2*Q103*10^-3+G103*P103</f>
        <v>93.795093795093777</v>
      </c>
      <c r="X103" s="1602">
        <f>D103*W103</f>
        <v>281.38528138528136</v>
      </c>
      <c r="Y103" s="1602">
        <f>IF(A103=3,W103*6,IF(A103=1,W103*4,W103))</f>
        <v>562.77056277056272</v>
      </c>
      <c r="Z103" s="1579">
        <f>O103-5</f>
        <v>120</v>
      </c>
      <c r="AA103" s="1602">
        <f>D103*W103*V103+AB103</f>
        <v>116.9047619047619</v>
      </c>
      <c r="AB103" s="1588">
        <v>55</v>
      </c>
      <c r="AC103" s="1570"/>
      <c r="AD103" s="1564">
        <f>Q103*10^-3*H103^2</f>
        <v>3.0599999999999996E-4</v>
      </c>
      <c r="AE103" s="1634">
        <f>P103</f>
        <v>0.69099999999999995</v>
      </c>
      <c r="AF103" s="1635">
        <f>(AB103-Z103)/(R103+S103+D103*V103)</f>
        <v>-93.795093795093791</v>
      </c>
      <c r="AG103" s="1636">
        <f>AE103^2-4*AD103*AF103</f>
        <v>0.59228619480519473</v>
      </c>
      <c r="AH103" s="1741">
        <f>SUM(AJ103:AL103)</f>
        <v>1189.0999999999999</v>
      </c>
      <c r="AI103" s="1607"/>
      <c r="AJ103" s="1733">
        <f>C103*LOOKUP(T103,'HS250-DATA'!C$7:C$10,'HS250-DATA'!F$7:F$10)</f>
        <v>49.1</v>
      </c>
      <c r="AK103" s="1733">
        <f>IF(U103="Y",C103*12,0)</f>
        <v>0</v>
      </c>
      <c r="AL103" s="1733">
        <f>C103*E103*VLOOKUP(K103,'SCR-Diode DATA'!D$7:M$43,10,FALSE)</f>
        <v>1140</v>
      </c>
      <c r="AM103" s="507">
        <f>AH103/F103</f>
        <v>3.0861618337411842</v>
      </c>
    </row>
    <row r="104" spans="1:39" ht="18.75">
      <c r="A104" s="1598">
        <v>3</v>
      </c>
      <c r="B104" s="1533">
        <f t="shared" si="53"/>
        <v>6</v>
      </c>
      <c r="C104" s="1600">
        <v>3</v>
      </c>
      <c r="D104" s="1575">
        <f>B104/C104</f>
        <v>2</v>
      </c>
      <c r="E104" s="1575">
        <v>2</v>
      </c>
      <c r="F104" s="1611">
        <f>IF(A104=3,3*G104,IF(A104=1,2*G104,IF(A104="bd",1*G104,IF(A104="fwd",1,"Error"))))</f>
        <v>551.68932440099104</v>
      </c>
      <c r="G104" s="1582">
        <f>(-AE104+SQRT(AG104))/2/AD104</f>
        <v>183.896441466997</v>
      </c>
      <c r="H104" s="1583">
        <f>IF(A104=3,SQRT(3),IF(A104=1,SQRT(2),1))</f>
        <v>1.7320508075688772</v>
      </c>
      <c r="I104" s="1594">
        <f>H104*G104</f>
        <v>318.51797995195494</v>
      </c>
      <c r="J104" s="1680" t="s">
        <v>558</v>
      </c>
      <c r="K104" s="1418" t="s">
        <v>472</v>
      </c>
      <c r="L104" s="1419">
        <v>1500</v>
      </c>
      <c r="M104" s="1419">
        <v>2355</v>
      </c>
      <c r="N104" s="1419">
        <v>62000</v>
      </c>
      <c r="O104" s="1412">
        <v>125</v>
      </c>
      <c r="P104" s="1416">
        <v>0.69099999999999995</v>
      </c>
      <c r="Q104" s="1412">
        <v>0.10199999999999999</v>
      </c>
      <c r="R104" s="1412">
        <v>2.4E-2</v>
      </c>
      <c r="S104" s="1687">
        <v>8.9999999999999993E-3</v>
      </c>
      <c r="T104" s="1624">
        <v>13</v>
      </c>
      <c r="U104" s="1616" t="s">
        <v>642</v>
      </c>
      <c r="V104" s="1622">
        <f>IF(E104=1,IF(U104="N",LOOKUP(T104,'HS250-DATA'!C$7:C$10,'HS250-DATA'!D$7:D$10),IF(U104="Y",LOOKUP(T104,'HS250-DATA'!C$22:C$25,'HS250-DATA'!D$22:D$25),"FAN?")),IF(U104="N",LOOKUP(T104,'HS250-DATA'!C$14:C$17,'HS250-DATA'!D$14:D$17),IF(U104="Y",LOOKUP(T104,'HS250-DATA'!C$29:C$32,'HS250-DATA'!D$29:D$32),"FAN?")))</f>
        <v>0.22</v>
      </c>
      <c r="W104" s="1602">
        <f>(G104*H104)^2*Q104*10^-3+G104*P104</f>
        <v>137.42071881606765</v>
      </c>
      <c r="X104" s="1602">
        <f>D104*W104</f>
        <v>274.8414376321353</v>
      </c>
      <c r="Y104" s="1602">
        <f>IF(A104=3,W104*6,IF(A104=1,W104*4,W104))</f>
        <v>824.52431289640595</v>
      </c>
      <c r="Z104" s="1579">
        <f>O104-5</f>
        <v>120</v>
      </c>
      <c r="AA104" s="1602">
        <f>D104*W104*V104+AB104</f>
        <v>115.46511627906978</v>
      </c>
      <c r="AB104" s="1588">
        <v>55</v>
      </c>
      <c r="AC104" s="1570"/>
      <c r="AD104" s="1564">
        <f>Q104*10^-3*H104^2</f>
        <v>3.0599999999999996E-4</v>
      </c>
      <c r="AE104" s="1634">
        <f>P104</f>
        <v>0.69099999999999995</v>
      </c>
      <c r="AF104" s="1635">
        <f>(AB104-Z104)/(R104+S104+D104*V104)</f>
        <v>-137.42071881606765</v>
      </c>
      <c r="AG104" s="1636">
        <f>AE104^2-4*AD104*AF104</f>
        <v>0.64568395983086668</v>
      </c>
      <c r="AH104" s="1741">
        <f>SUM(AJ104:AL104)</f>
        <v>1213.6500000000001</v>
      </c>
      <c r="AI104" s="1607"/>
      <c r="AJ104" s="1733">
        <f>C104*LOOKUP(T104,'HS250-DATA'!C$7:C$10,'HS250-DATA'!F$7:F$10)</f>
        <v>73.650000000000006</v>
      </c>
      <c r="AK104" s="1733">
        <f>IF(U104="Y",C104*12,0)</f>
        <v>0</v>
      </c>
      <c r="AL104" s="1733">
        <f>C104*E104*VLOOKUP(K104,'SCR-Diode DATA'!D$7:M$43,10,FALSE)</f>
        <v>1140</v>
      </c>
      <c r="AM104" s="507">
        <f>AH104/F104</f>
        <v>2.1998794363435392</v>
      </c>
    </row>
    <row r="105" spans="1:39" ht="18.75">
      <c r="A105" s="1598">
        <v>3</v>
      </c>
      <c r="B105" s="1533">
        <f t="shared" si="53"/>
        <v>6</v>
      </c>
      <c r="C105" s="1600">
        <v>6</v>
      </c>
      <c r="D105" s="1575">
        <f>B105/C105</f>
        <v>1</v>
      </c>
      <c r="E105" s="1575">
        <v>1</v>
      </c>
      <c r="F105" s="1611">
        <f>IF(A105=3,3*G105,IF(A105=1,2*G105,IF(A105="bd",1*G105,IF(A105="fwd",1,"Error"))))</f>
        <v>868.51384954371918</v>
      </c>
      <c r="G105" s="1582">
        <f>(-AE105+SQRT(AG105))/2/AD105</f>
        <v>289.50461651457306</v>
      </c>
      <c r="H105" s="1583">
        <f>IF(A105=3,SQRT(3),IF(A105=1,SQRT(2),1))</f>
        <v>1.7320508075688772</v>
      </c>
      <c r="I105" s="1594">
        <f>H105*G105</f>
        <v>501.43670482898438</v>
      </c>
      <c r="J105" s="1680" t="s">
        <v>558</v>
      </c>
      <c r="K105" s="1418" t="s">
        <v>472</v>
      </c>
      <c r="L105" s="1419">
        <v>1500</v>
      </c>
      <c r="M105" s="1419">
        <v>2355</v>
      </c>
      <c r="N105" s="1419">
        <v>62000</v>
      </c>
      <c r="O105" s="1412">
        <v>125</v>
      </c>
      <c r="P105" s="1416">
        <v>0.69099999999999995</v>
      </c>
      <c r="Q105" s="1412">
        <v>0.10199999999999999</v>
      </c>
      <c r="R105" s="1412">
        <v>2.4E-2</v>
      </c>
      <c r="S105" s="1687">
        <v>8.9999999999999993E-3</v>
      </c>
      <c r="T105" s="1624">
        <v>13</v>
      </c>
      <c r="U105" s="1616" t="s">
        <v>642</v>
      </c>
      <c r="V105" s="1622">
        <f>IF(E105=1,IF(U105="N",LOOKUP(T105,'HS250-DATA'!C$7:C$10,'HS250-DATA'!D$7:D$10),IF(U105="Y",LOOKUP(T105,'HS250-DATA'!C$22:C$25,'HS250-DATA'!D$22:D$25),"FAN?")),IF(U105="N",LOOKUP(T105,'HS250-DATA'!C$14:C$17,'HS250-DATA'!D$14:D$17),IF(U105="Y",LOOKUP(T105,'HS250-DATA'!C$29:C$32,'HS250-DATA'!D$29:D$32),"FAN?")))</f>
        <v>0.255</v>
      </c>
      <c r="W105" s="1602">
        <f>(G105*H105)^2*Q105*10^-3+G105*P105</f>
        <v>225.69444444444446</v>
      </c>
      <c r="X105" s="1602">
        <f>D105*W105</f>
        <v>225.69444444444446</v>
      </c>
      <c r="Y105" s="1602">
        <f>IF(A105=3,W105*6,IF(A105=1,W105*4,W105))</f>
        <v>1354.1666666666667</v>
      </c>
      <c r="Z105" s="1579">
        <f>O105-5</f>
        <v>120</v>
      </c>
      <c r="AA105" s="1602">
        <f>D105*W105*V105+AB105</f>
        <v>112.55208333333334</v>
      </c>
      <c r="AB105" s="1588">
        <v>55</v>
      </c>
      <c r="AC105" s="1570"/>
      <c r="AD105" s="1564">
        <f>Q105*10^-3*H105^2</f>
        <v>3.0599999999999996E-4</v>
      </c>
      <c r="AE105" s="1634">
        <f>P105</f>
        <v>0.69099999999999995</v>
      </c>
      <c r="AF105" s="1635">
        <f>(AB105-Z105)/(R105+S105+D105*V105)</f>
        <v>-225.69444444444443</v>
      </c>
      <c r="AG105" s="1636">
        <f>AE105^2-4*AD105*AF105</f>
        <v>0.75373099999999993</v>
      </c>
      <c r="AH105" s="1741">
        <f>SUM(AJ105:AL105)</f>
        <v>1287.3</v>
      </c>
      <c r="AI105" s="1607"/>
      <c r="AJ105" s="1733">
        <f>C105*LOOKUP(T105,'HS250-DATA'!C$7:C$10,'HS250-DATA'!F$7:F$10)</f>
        <v>147.30000000000001</v>
      </c>
      <c r="AK105" s="1733">
        <f>IF(U105="Y",C105*12,0)</f>
        <v>0</v>
      </c>
      <c r="AL105" s="1733">
        <f>C105*E105*VLOOKUP(K105,'SCR-Diode DATA'!D$7:M$43,10,FALSE)</f>
        <v>1140</v>
      </c>
      <c r="AM105" s="507">
        <f>AH105/F105</f>
        <v>1.4821870724068402</v>
      </c>
    </row>
    <row r="106" spans="1:39" ht="19.5" thickBot="1">
      <c r="A106" s="1599"/>
      <c r="B106" s="1692"/>
      <c r="C106" s="1601"/>
      <c r="D106" s="1591"/>
      <c r="E106" s="1591"/>
      <c r="F106" s="1662"/>
      <c r="G106" s="1589"/>
      <c r="H106" s="1590"/>
      <c r="I106" s="1595"/>
      <c r="J106" s="1693"/>
      <c r="K106" s="1686"/>
      <c r="L106" s="1685"/>
      <c r="M106" s="1685"/>
      <c r="N106" s="1685"/>
      <c r="O106" s="1684"/>
      <c r="P106" s="1683"/>
      <c r="Q106" s="1683"/>
      <c r="R106" s="1683"/>
      <c r="S106" s="1682"/>
      <c r="T106" s="1569"/>
      <c r="U106" s="1568"/>
      <c r="V106" s="1567"/>
      <c r="W106" s="1605"/>
      <c r="X106" s="1605"/>
      <c r="Y106" s="1605"/>
      <c r="Z106" s="1566"/>
      <c r="AA106" s="1605"/>
      <c r="AB106" s="1592"/>
      <c r="AC106" s="1570"/>
      <c r="AD106" s="1564"/>
      <c r="AE106" s="1634"/>
      <c r="AF106" s="1635"/>
      <c r="AG106" s="1636"/>
      <c r="AH106" s="1744"/>
      <c r="AI106" s="1608"/>
      <c r="AJ106" s="1608"/>
      <c r="AK106" s="1608"/>
      <c r="AL106" s="1745"/>
      <c r="AM106" s="1746"/>
    </row>
    <row r="107" spans="1:39" ht="13.5" thickBot="1"/>
    <row r="108" spans="1:39" ht="24">
      <c r="A108" s="1673">
        <v>3</v>
      </c>
      <c r="B108" s="1327">
        <f>IF(A108=3,6,IF(A108=1,4,IF(A108="bd",1,IF(A108="fwd",1,"Circuit Type"))))</f>
        <v>6</v>
      </c>
      <c r="C108" s="1620">
        <v>1</v>
      </c>
      <c r="D108" s="1609">
        <f t="shared" ref="D108:D113" si="54">B108/C108</f>
        <v>6</v>
      </c>
      <c r="E108" s="1609">
        <v>1</v>
      </c>
      <c r="F108" s="1674">
        <f t="shared" ref="F108:F113" si="55">IF(A108=3,3*G108,IF(A108=1,2*G108,IF(A108="bd",1*G108,IF(A108="fwd",1,"Error"))))</f>
        <v>34.169481917720049</v>
      </c>
      <c r="G108" s="1670">
        <f t="shared" ref="G108:G113" si="56">(-AE108+SQRT(AG108))/2/AD108</f>
        <v>11.389827305906683</v>
      </c>
      <c r="H108" s="1675">
        <f t="shared" ref="H108:H113" si="57">IF(A108=3,SQRT(3),IF(A108=1,SQRT(2),1))</f>
        <v>1.7320508075688772</v>
      </c>
      <c r="I108" s="1676">
        <f t="shared" ref="I108:I113" si="58">H108*G108</f>
        <v>19.727759583265719</v>
      </c>
      <c r="J108" s="1677" t="s">
        <v>539</v>
      </c>
      <c r="K108" s="1584" t="s">
        <v>540</v>
      </c>
      <c r="L108" s="1603">
        <v>42</v>
      </c>
      <c r="M108" s="1603"/>
      <c r="N108" s="1603">
        <v>280</v>
      </c>
      <c r="O108" s="1678">
        <v>125</v>
      </c>
      <c r="P108" s="1585">
        <v>1.1000000000000001</v>
      </c>
      <c r="Q108" s="1679">
        <v>20</v>
      </c>
      <c r="R108" s="1585">
        <v>1.6</v>
      </c>
      <c r="S108" s="1604">
        <v>0.1</v>
      </c>
      <c r="T108" s="1667">
        <v>15</v>
      </c>
      <c r="U108" s="1668" t="s">
        <v>642</v>
      </c>
      <c r="V108" s="1669">
        <f>IF(E108=1,IF(U108="N",LOOKUP(T108,'HS250-DATA'!C$7:C$10,'HS250-DATA'!D$7:D$10),IF(U108="Y",LOOKUP(T108,'HS250-DATA'!C$22:C$25,'HS250-DATA'!D$22:D$25),"FAN?")),IF(U108="N",LOOKUP(T108,'HS250-DATA'!C$14:C$17,'HS250-DATA'!D$14:D$17),IF(U108="Y",LOOKUP(T108,'HS250-DATA'!C$29:C$32,'HS250-DATA'!D$29:D$32),"FAN?")))</f>
        <v>0.25</v>
      </c>
      <c r="W108" s="1671">
        <f t="shared" ref="W108:W113" si="59">(G108*H108)^2*Q108*10^-3+G108*P108</f>
        <v>20.3125</v>
      </c>
      <c r="X108" s="1671">
        <f t="shared" ref="X108:X113" si="60">D108*W108</f>
        <v>121.875</v>
      </c>
      <c r="Y108" s="1671">
        <f t="shared" ref="Y108:Y113" si="61">IF(A108=3,W108*6,IF(A108=1,W108*4,W108))</f>
        <v>121.875</v>
      </c>
      <c r="Z108" s="1672">
        <f t="shared" ref="Z108:Z113" si="62">O108-5</f>
        <v>120</v>
      </c>
      <c r="AA108" s="1671">
        <f t="shared" ref="AA108:AA113" si="63">D108*W108*V108+AB108</f>
        <v>85.46875</v>
      </c>
      <c r="AB108" s="1610">
        <v>55</v>
      </c>
      <c r="AC108" s="1570"/>
      <c r="AD108" s="1564">
        <f t="shared" ref="AD108:AD113" si="64">Q108*10^-3*H108^2</f>
        <v>5.9999999999999991E-2</v>
      </c>
      <c r="AE108" s="1634">
        <f t="shared" ref="AE108:AE113" si="65">P108</f>
        <v>1.1000000000000001</v>
      </c>
      <c r="AF108" s="1635">
        <f t="shared" ref="AF108:AF113" si="66">(AB108-Z108)/(R108+S108+D108*V108)</f>
        <v>-20.3125</v>
      </c>
      <c r="AG108" s="1636">
        <f t="shared" ref="AG108:AG113" si="67">AE108^2-4*AD108*AF108</f>
        <v>6.0849999999999991</v>
      </c>
      <c r="AH108" s="1747">
        <f t="shared" ref="AH108:AH113" si="68">SUM(AJ108:AL108)</f>
        <v>50.760000000000005</v>
      </c>
      <c r="AI108" s="1639"/>
      <c r="AJ108" s="1748">
        <f>C108*LOOKUP(T108,'HS250-DATA'!C$7:C$10,'HS250-DATA'!F$7:F$10)</f>
        <v>28.26</v>
      </c>
      <c r="AK108" s="1748">
        <f t="shared" ref="AK108:AK113" si="69">IF(U108="Y",C108*12,0)</f>
        <v>0</v>
      </c>
      <c r="AL108" s="1748">
        <f>C108*E108*VLOOKUP(K108,'SCR-Diode DATA'!D$7:M$43,10,FALSE)</f>
        <v>22.5</v>
      </c>
      <c r="AM108" s="1749">
        <f t="shared" ref="AM108:AM113" si="70">AH108/F108</f>
        <v>1.4855361319855491</v>
      </c>
    </row>
    <row r="109" spans="1:39" ht="24">
      <c r="A109" s="1598">
        <v>1</v>
      </c>
      <c r="B109" s="1533">
        <f>IF(A109=3,6,IF(A109=1,4,IF(A109="bd",1,IF(A109="fwd",1,"Circuit Type"))))</f>
        <v>4</v>
      </c>
      <c r="C109" s="1600">
        <v>1</v>
      </c>
      <c r="D109" s="1575">
        <f t="shared" si="54"/>
        <v>4</v>
      </c>
      <c r="E109" s="1575">
        <v>1</v>
      </c>
      <c r="F109" s="1611">
        <f t="shared" si="55"/>
        <v>28.746399061694667</v>
      </c>
      <c r="G109" s="1582">
        <f t="shared" si="56"/>
        <v>14.373199530847334</v>
      </c>
      <c r="H109" s="1583">
        <f t="shared" si="57"/>
        <v>1.4142135623730951</v>
      </c>
      <c r="I109" s="1594">
        <f t="shared" si="58"/>
        <v>20.326773711218909</v>
      </c>
      <c r="J109" s="1666" t="s">
        <v>539</v>
      </c>
      <c r="K109" s="1586" t="s">
        <v>540</v>
      </c>
      <c r="L109" s="1578">
        <v>42</v>
      </c>
      <c r="M109" s="1578"/>
      <c r="N109" s="1578">
        <v>280</v>
      </c>
      <c r="O109" s="1580">
        <v>125</v>
      </c>
      <c r="P109" s="1576">
        <v>1.1000000000000001</v>
      </c>
      <c r="Q109" s="1581">
        <v>20</v>
      </c>
      <c r="R109" s="1576">
        <v>1.6</v>
      </c>
      <c r="S109" s="1587">
        <v>0.1</v>
      </c>
      <c r="T109" s="1624">
        <v>15</v>
      </c>
      <c r="U109" s="1616" t="s">
        <v>642</v>
      </c>
      <c r="V109" s="1622">
        <f>IF(E109=1,IF(U109="N",LOOKUP(T109,'HS250-DATA'!C$7:C$10,'HS250-DATA'!D$7:D$10),IF(U109="Y",LOOKUP(T109,'HS250-DATA'!C$22:C$25,'HS250-DATA'!D$22:D$25),"FAN?")),IF(U109="N",LOOKUP(T109,'HS250-DATA'!C$14:C$17,'HS250-DATA'!D$14:D$17),IF(U109="Y",LOOKUP(T109,'HS250-DATA'!C$29:C$32,'HS250-DATA'!D$29:D$32),"FAN?")))</f>
        <v>0.25</v>
      </c>
      <c r="W109" s="1602">
        <f t="shared" si="59"/>
        <v>24.074074074074073</v>
      </c>
      <c r="X109" s="1602">
        <f t="shared" si="60"/>
        <v>96.296296296296291</v>
      </c>
      <c r="Y109" s="1602">
        <f t="shared" si="61"/>
        <v>96.296296296296291</v>
      </c>
      <c r="Z109" s="1579">
        <f t="shared" si="62"/>
        <v>120</v>
      </c>
      <c r="AA109" s="1602">
        <f t="shared" si="63"/>
        <v>79.074074074074076</v>
      </c>
      <c r="AB109" s="1588">
        <v>55</v>
      </c>
      <c r="AC109" s="1570"/>
      <c r="AD109" s="1564">
        <f t="shared" si="64"/>
        <v>4.0000000000000008E-2</v>
      </c>
      <c r="AE109" s="1634">
        <f t="shared" si="65"/>
        <v>1.1000000000000001</v>
      </c>
      <c r="AF109" s="1635">
        <f t="shared" si="66"/>
        <v>-24.074074074074073</v>
      </c>
      <c r="AG109" s="1636">
        <f t="shared" si="67"/>
        <v>5.0618518518518529</v>
      </c>
      <c r="AH109" s="1741">
        <f t="shared" si="68"/>
        <v>50.760000000000005</v>
      </c>
      <c r="AI109" s="1607"/>
      <c r="AJ109" s="1733">
        <f>C109*LOOKUP(T109,'HS250-DATA'!C$7:C$10,'HS250-DATA'!F$7:F$10)</f>
        <v>28.26</v>
      </c>
      <c r="AK109" s="1733">
        <f t="shared" si="69"/>
        <v>0</v>
      </c>
      <c r="AL109" s="1733">
        <f>C109*E109*VLOOKUP(K109,'SCR-Diode DATA'!D$7:M$43,10,FALSE)</f>
        <v>22.5</v>
      </c>
      <c r="AM109" s="507">
        <f t="shared" si="70"/>
        <v>1.7657863821851356</v>
      </c>
    </row>
    <row r="110" spans="1:39" ht="18.75">
      <c r="A110" s="1598">
        <v>3</v>
      </c>
      <c r="B110" s="1533">
        <f t="shared" ref="B110:B139" si="71">IF(A110=3,6,IF(A110=1,4,IF(A110="bd",1,IF(A110="fwd",1,"Circuit Type"))))</f>
        <v>6</v>
      </c>
      <c r="C110" s="1600">
        <v>1</v>
      </c>
      <c r="D110" s="1575">
        <f t="shared" si="54"/>
        <v>6</v>
      </c>
      <c r="E110" s="1575">
        <v>1</v>
      </c>
      <c r="F110" s="1611">
        <f t="shared" si="55"/>
        <v>48.601329718326937</v>
      </c>
      <c r="G110" s="1582">
        <f t="shared" si="56"/>
        <v>16.200443239442311</v>
      </c>
      <c r="H110" s="1583">
        <f t="shared" si="57"/>
        <v>1.7320508075688772</v>
      </c>
      <c r="I110" s="1594">
        <f t="shared" si="58"/>
        <v>28.059990795849814</v>
      </c>
      <c r="J110" s="1681" t="s">
        <v>542</v>
      </c>
      <c r="K110" s="1417" t="s">
        <v>543</v>
      </c>
      <c r="L110" s="1414">
        <v>68</v>
      </c>
      <c r="M110" s="1414"/>
      <c r="N110" s="1414">
        <v>380</v>
      </c>
      <c r="O110" s="1413">
        <v>125</v>
      </c>
      <c r="P110" s="1413">
        <v>1</v>
      </c>
      <c r="Q110" s="1415">
        <v>10</v>
      </c>
      <c r="R110" s="1413">
        <v>1.1000000000000001</v>
      </c>
      <c r="S110" s="1688">
        <v>0.1</v>
      </c>
      <c r="T110" s="1624">
        <v>15</v>
      </c>
      <c r="U110" s="1616" t="s">
        <v>642</v>
      </c>
      <c r="V110" s="1622">
        <f>IF(E110=1,IF(U110="N",LOOKUP(T110,'HS250-DATA'!C$7:C$10,'HS250-DATA'!D$7:D$10),IF(U110="Y",LOOKUP(T110,'HS250-DATA'!C$22:C$25,'HS250-DATA'!D$22:D$25),"FAN?")),IF(U110="N",LOOKUP(T110,'HS250-DATA'!C$14:C$17,'HS250-DATA'!D$14:D$17),IF(U110="Y",LOOKUP(T110,'HS250-DATA'!C$29:C$32,'HS250-DATA'!D$29:D$32),"FAN?")))</f>
        <v>0.25</v>
      </c>
      <c r="W110" s="1602">
        <f t="shared" si="59"/>
        <v>24.074074074074076</v>
      </c>
      <c r="X110" s="1602">
        <f t="shared" si="60"/>
        <v>144.44444444444446</v>
      </c>
      <c r="Y110" s="1602">
        <f t="shared" si="61"/>
        <v>144.44444444444446</v>
      </c>
      <c r="Z110" s="1579">
        <f t="shared" si="62"/>
        <v>120</v>
      </c>
      <c r="AA110" s="1602">
        <f t="shared" si="63"/>
        <v>91.111111111111114</v>
      </c>
      <c r="AB110" s="1588">
        <v>55</v>
      </c>
      <c r="AC110" s="1570"/>
      <c r="AD110" s="1564">
        <f t="shared" si="64"/>
        <v>2.9999999999999995E-2</v>
      </c>
      <c r="AE110" s="1634">
        <f t="shared" si="65"/>
        <v>1</v>
      </c>
      <c r="AF110" s="1635">
        <f t="shared" si="66"/>
        <v>-24.074074074074073</v>
      </c>
      <c r="AG110" s="1636">
        <f t="shared" si="67"/>
        <v>3.8888888888888884</v>
      </c>
      <c r="AH110" s="1741">
        <f t="shared" si="68"/>
        <v>57.06</v>
      </c>
      <c r="AI110" s="1607"/>
      <c r="AJ110" s="1733">
        <f>C110*LOOKUP(T110,'HS250-DATA'!C$7:C$10,'HS250-DATA'!F$7:F$10)</f>
        <v>28.26</v>
      </c>
      <c r="AK110" s="1733">
        <f t="shared" si="69"/>
        <v>0</v>
      </c>
      <c r="AL110" s="1733">
        <f>C110*E110*VLOOKUP(K110,'SCR-Diode DATA'!D$7:M$43,10,FALSE)</f>
        <v>28.8</v>
      </c>
      <c r="AM110" s="507">
        <f t="shared" si="70"/>
        <v>1.1740419517469172</v>
      </c>
    </row>
    <row r="111" spans="1:39" ht="18.75">
      <c r="A111" s="1598">
        <v>1</v>
      </c>
      <c r="B111" s="1533">
        <f t="shared" si="71"/>
        <v>4</v>
      </c>
      <c r="C111" s="1600">
        <v>1</v>
      </c>
      <c r="D111" s="1575">
        <f t="shared" si="54"/>
        <v>4</v>
      </c>
      <c r="E111" s="1575">
        <v>1</v>
      </c>
      <c r="F111" s="1611">
        <f t="shared" si="55"/>
        <v>41.701095462872786</v>
      </c>
      <c r="G111" s="1582">
        <f t="shared" si="56"/>
        <v>20.850547731436393</v>
      </c>
      <c r="H111" s="1583">
        <f t="shared" si="57"/>
        <v>1.4142135623730951</v>
      </c>
      <c r="I111" s="1594">
        <f t="shared" si="58"/>
        <v>29.48712738470492</v>
      </c>
      <c r="J111" s="1681" t="s">
        <v>542</v>
      </c>
      <c r="K111" s="1417" t="s">
        <v>543</v>
      </c>
      <c r="L111" s="1414">
        <v>68</v>
      </c>
      <c r="M111" s="1414"/>
      <c r="N111" s="1414">
        <v>380</v>
      </c>
      <c r="O111" s="1413">
        <v>125</v>
      </c>
      <c r="P111" s="1413">
        <v>1</v>
      </c>
      <c r="Q111" s="1415">
        <v>10</v>
      </c>
      <c r="R111" s="1413">
        <v>1.1000000000000001</v>
      </c>
      <c r="S111" s="1688">
        <v>0.1</v>
      </c>
      <c r="T111" s="1624">
        <v>15</v>
      </c>
      <c r="U111" s="1616" t="s">
        <v>642</v>
      </c>
      <c r="V111" s="1622">
        <f>IF(E111=1,IF(U111="N",LOOKUP(T111,'HS250-DATA'!C$7:C$10,'HS250-DATA'!D$7:D$10),IF(U111="Y",LOOKUP(T111,'HS250-DATA'!C$22:C$25,'HS250-DATA'!D$22:D$25),"FAN?")),IF(U111="N",LOOKUP(T111,'HS250-DATA'!C$14:C$17,'HS250-DATA'!D$14:D$17),IF(U111="Y",LOOKUP(T111,'HS250-DATA'!C$29:C$32,'HS250-DATA'!D$29:D$32),"FAN?")))</f>
        <v>0.25</v>
      </c>
      <c r="W111" s="1602">
        <f t="shared" si="59"/>
        <v>29.54545454545454</v>
      </c>
      <c r="X111" s="1602">
        <f t="shared" si="60"/>
        <v>118.18181818181816</v>
      </c>
      <c r="Y111" s="1602">
        <f t="shared" si="61"/>
        <v>118.18181818181816</v>
      </c>
      <c r="Z111" s="1579">
        <f t="shared" si="62"/>
        <v>120</v>
      </c>
      <c r="AA111" s="1602">
        <f t="shared" si="63"/>
        <v>84.545454545454533</v>
      </c>
      <c r="AB111" s="1588">
        <v>55</v>
      </c>
      <c r="AC111" s="1570"/>
      <c r="AD111" s="1564">
        <f t="shared" si="64"/>
        <v>2.0000000000000004E-2</v>
      </c>
      <c r="AE111" s="1634">
        <f t="shared" si="65"/>
        <v>1</v>
      </c>
      <c r="AF111" s="1635">
        <f t="shared" si="66"/>
        <v>-29.545454545454543</v>
      </c>
      <c r="AG111" s="1636">
        <f t="shared" si="67"/>
        <v>3.3636363636363638</v>
      </c>
      <c r="AH111" s="1741">
        <f t="shared" si="68"/>
        <v>57.06</v>
      </c>
      <c r="AI111" s="1607"/>
      <c r="AJ111" s="1733">
        <f>C111*LOOKUP(T111,'HS250-DATA'!C$7:C$10,'HS250-DATA'!F$7:F$10)</f>
        <v>28.26</v>
      </c>
      <c r="AK111" s="1733">
        <f t="shared" si="69"/>
        <v>0</v>
      </c>
      <c r="AL111" s="1733">
        <f>C111*E111*VLOOKUP(K111,'SCR-Diode DATA'!D$7:M$43,10,FALSE)</f>
        <v>28.8</v>
      </c>
      <c r="AM111" s="507">
        <f t="shared" si="70"/>
        <v>1.3683093781265654</v>
      </c>
    </row>
    <row r="112" spans="1:39" ht="18.75">
      <c r="A112" s="1598">
        <v>1</v>
      </c>
      <c r="B112" s="1533">
        <f t="shared" si="71"/>
        <v>4</v>
      </c>
      <c r="C112" s="1600">
        <v>1</v>
      </c>
      <c r="D112" s="1575">
        <f t="shared" si="54"/>
        <v>4</v>
      </c>
      <c r="E112" s="1575">
        <v>1</v>
      </c>
      <c r="F112" s="1611">
        <f t="shared" si="55"/>
        <v>73.460898680323794</v>
      </c>
      <c r="G112" s="1582">
        <f t="shared" si="56"/>
        <v>36.730449340161897</v>
      </c>
      <c r="H112" s="1583">
        <f t="shared" si="57"/>
        <v>1.4142135623730951</v>
      </c>
      <c r="I112" s="1594">
        <f t="shared" si="58"/>
        <v>51.94469960891486</v>
      </c>
      <c r="J112" s="1680" t="s">
        <v>545</v>
      </c>
      <c r="K112" s="1417" t="s">
        <v>503</v>
      </c>
      <c r="L112" s="1414">
        <v>125</v>
      </c>
      <c r="M112" s="1414"/>
      <c r="N112" s="1414">
        <v>1950</v>
      </c>
      <c r="O112" s="1413">
        <v>125</v>
      </c>
      <c r="P112" s="1413">
        <v>0.86</v>
      </c>
      <c r="Q112" s="1415">
        <v>5.5</v>
      </c>
      <c r="R112" s="1413">
        <v>0.3</v>
      </c>
      <c r="S112" s="1688">
        <v>0.1</v>
      </c>
      <c r="T112" s="1624">
        <v>15</v>
      </c>
      <c r="U112" s="1616" t="s">
        <v>642</v>
      </c>
      <c r="V112" s="1622">
        <f>IF(E112=1,IF(U112="N",LOOKUP(T112,'HS250-DATA'!C$7:C$10,'HS250-DATA'!D$7:D$10),IF(U112="Y",LOOKUP(T112,'HS250-DATA'!C$22:C$25,'HS250-DATA'!D$22:D$25),"FAN?")),IF(U112="N",LOOKUP(T112,'HS250-DATA'!C$14:C$17,'HS250-DATA'!D$14:D$17),IF(U112="Y",LOOKUP(T112,'HS250-DATA'!C$29:C$32,'HS250-DATA'!D$29:D$32),"FAN?")))</f>
        <v>0.25</v>
      </c>
      <c r="W112" s="1602">
        <f t="shared" si="59"/>
        <v>46.428571428571431</v>
      </c>
      <c r="X112" s="1602">
        <f t="shared" si="60"/>
        <v>185.71428571428572</v>
      </c>
      <c r="Y112" s="1602">
        <f t="shared" si="61"/>
        <v>185.71428571428572</v>
      </c>
      <c r="Z112" s="1579">
        <f t="shared" si="62"/>
        <v>120</v>
      </c>
      <c r="AA112" s="1602">
        <f t="shared" si="63"/>
        <v>101.42857142857143</v>
      </c>
      <c r="AB112" s="1588">
        <v>55</v>
      </c>
      <c r="AC112" s="1570"/>
      <c r="AD112" s="1564">
        <f t="shared" si="64"/>
        <v>1.1000000000000001E-2</v>
      </c>
      <c r="AE112" s="1634">
        <f t="shared" si="65"/>
        <v>0.86</v>
      </c>
      <c r="AF112" s="1635">
        <f t="shared" si="66"/>
        <v>-46.428571428571431</v>
      </c>
      <c r="AG112" s="1636">
        <f t="shared" si="67"/>
        <v>2.782457142857143</v>
      </c>
      <c r="AH112" s="1741">
        <f t="shared" si="68"/>
        <v>52.2</v>
      </c>
      <c r="AI112" s="1607"/>
      <c r="AJ112" s="1733">
        <f>C112*LOOKUP(T112,'HS250-DATA'!C$7:C$10,'HS250-DATA'!F$7:F$10)</f>
        <v>28.26</v>
      </c>
      <c r="AK112" s="1733">
        <f t="shared" si="69"/>
        <v>0</v>
      </c>
      <c r="AL112" s="1733">
        <f>C112*E112*VLOOKUP(K112,'SCR-Diode DATA'!D$7:M$43,10,FALSE)</f>
        <v>23.94</v>
      </c>
      <c r="AM112" s="507">
        <f t="shared" si="70"/>
        <v>0.71058210473514893</v>
      </c>
    </row>
    <row r="113" spans="1:39" ht="18.75">
      <c r="A113" s="1598">
        <v>3</v>
      </c>
      <c r="B113" s="1533">
        <f t="shared" si="71"/>
        <v>6</v>
      </c>
      <c r="C113" s="1600">
        <v>1</v>
      </c>
      <c r="D113" s="1575">
        <f t="shared" si="54"/>
        <v>6</v>
      </c>
      <c r="E113" s="1575">
        <v>1</v>
      </c>
      <c r="F113" s="1611">
        <f t="shared" si="55"/>
        <v>79.211586303740205</v>
      </c>
      <c r="G113" s="1582">
        <f t="shared" si="56"/>
        <v>26.403862101246737</v>
      </c>
      <c r="H113" s="1583">
        <f t="shared" si="57"/>
        <v>1.7320508075688772</v>
      </c>
      <c r="I113" s="1594">
        <f t="shared" si="58"/>
        <v>45.732830675401679</v>
      </c>
      <c r="J113" s="1680" t="s">
        <v>542</v>
      </c>
      <c r="K113" s="1417" t="s">
        <v>326</v>
      </c>
      <c r="L113" s="1414">
        <v>170</v>
      </c>
      <c r="M113" s="1423"/>
      <c r="N113" s="1414">
        <v>1950</v>
      </c>
      <c r="O113" s="1413">
        <v>125</v>
      </c>
      <c r="P113" s="1413">
        <v>0.86</v>
      </c>
      <c r="Q113" s="1415">
        <v>5.5</v>
      </c>
      <c r="R113" s="1413">
        <v>0.3</v>
      </c>
      <c r="S113" s="1688">
        <v>0.1</v>
      </c>
      <c r="T113" s="1624">
        <v>15</v>
      </c>
      <c r="U113" s="1616" t="s">
        <v>642</v>
      </c>
      <c r="V113" s="1622">
        <f>IF(E113=1,IF(U113="N",LOOKUP(T113,'HS250-DATA'!C$7:C$10,'HS250-DATA'!D$7:D$10),IF(U113="Y",LOOKUP(T113,'HS250-DATA'!C$22:C$25,'HS250-DATA'!D$22:D$25),"FAN?")),IF(U113="N",LOOKUP(T113,'HS250-DATA'!C$14:C$17,'HS250-DATA'!D$14:D$17),IF(U113="Y",LOOKUP(T113,'HS250-DATA'!C$29:C$32,'HS250-DATA'!D$29:D$32),"FAN?")))</f>
        <v>0.25</v>
      </c>
      <c r="W113" s="1602">
        <f t="shared" si="59"/>
        <v>34.21052631578948</v>
      </c>
      <c r="X113" s="1602">
        <f t="shared" si="60"/>
        <v>205.26315789473688</v>
      </c>
      <c r="Y113" s="1602">
        <f t="shared" si="61"/>
        <v>205.26315789473688</v>
      </c>
      <c r="Z113" s="1579">
        <f t="shared" si="62"/>
        <v>120</v>
      </c>
      <c r="AA113" s="1602">
        <f t="shared" si="63"/>
        <v>106.31578947368422</v>
      </c>
      <c r="AB113" s="1588">
        <v>55</v>
      </c>
      <c r="AC113" s="1570"/>
      <c r="AD113" s="1564">
        <f t="shared" si="64"/>
        <v>1.6499999999999997E-2</v>
      </c>
      <c r="AE113" s="1634">
        <f t="shared" si="65"/>
        <v>0.86</v>
      </c>
      <c r="AF113" s="1635">
        <f t="shared" si="66"/>
        <v>-34.210526315789473</v>
      </c>
      <c r="AG113" s="1636">
        <f t="shared" si="67"/>
        <v>2.9974947368421048</v>
      </c>
      <c r="AH113" s="1741">
        <f t="shared" si="68"/>
        <v>59.13</v>
      </c>
      <c r="AI113" s="1607"/>
      <c r="AJ113" s="1733">
        <f>C113*LOOKUP(T113,'HS250-DATA'!C$7:C$10,'HS250-DATA'!F$7:F$10)</f>
        <v>28.26</v>
      </c>
      <c r="AK113" s="1733">
        <f t="shared" si="69"/>
        <v>0</v>
      </c>
      <c r="AL113" s="1733">
        <f>C113*E113*VLOOKUP(K113,'SCR-Diode DATA'!D$7:M$43,10,FALSE)</f>
        <v>30.87</v>
      </c>
      <c r="AM113" s="507">
        <f t="shared" si="70"/>
        <v>0.74648170500289557</v>
      </c>
    </row>
    <row r="114" spans="1:39" ht="11.25" customHeight="1">
      <c r="A114" s="1598"/>
      <c r="B114" s="1533"/>
      <c r="C114" s="1600"/>
      <c r="D114" s="1575"/>
      <c r="E114" s="1575"/>
      <c r="F114" s="1611"/>
      <c r="G114" s="1582"/>
      <c r="H114" s="1583"/>
      <c r="I114" s="1594"/>
      <c r="J114" s="1680"/>
      <c r="K114" s="1417"/>
      <c r="L114" s="1414"/>
      <c r="M114" s="1423"/>
      <c r="N114" s="1414"/>
      <c r="O114" s="1413"/>
      <c r="P114" s="1413"/>
      <c r="Q114" s="1415"/>
      <c r="R114" s="1413"/>
      <c r="S114" s="1688"/>
      <c r="T114" s="1624"/>
      <c r="U114" s="1616"/>
      <c r="V114" s="1622"/>
      <c r="W114" s="1602"/>
      <c r="X114" s="1602"/>
      <c r="Y114" s="1602"/>
      <c r="Z114" s="1579"/>
      <c r="AA114" s="1602"/>
      <c r="AB114" s="1588"/>
      <c r="AC114" s="1570"/>
      <c r="AD114" s="1564"/>
      <c r="AE114" s="1634"/>
      <c r="AF114" s="1635"/>
      <c r="AG114" s="1636"/>
      <c r="AH114" s="1742"/>
      <c r="AI114" s="1607"/>
      <c r="AJ114" s="1607"/>
      <c r="AK114" s="1607"/>
      <c r="AL114" s="1733"/>
      <c r="AM114" s="494"/>
    </row>
    <row r="115" spans="1:39" ht="18.75">
      <c r="A115" s="1598">
        <v>3</v>
      </c>
      <c r="B115" s="1533">
        <f t="shared" si="71"/>
        <v>6</v>
      </c>
      <c r="C115" s="1600">
        <v>1</v>
      </c>
      <c r="D115" s="1575">
        <f>B115/C115</f>
        <v>6</v>
      </c>
      <c r="E115" s="1575">
        <v>3</v>
      </c>
      <c r="F115" s="1611">
        <f>IF(A115=3,3*G115,IF(A115=1,2*G115,IF(A115="bd",1*G115,IF(A115="fwd",1,"Error"))))</f>
        <v>101.58763411773673</v>
      </c>
      <c r="G115" s="1582">
        <f>(-AE115+SQRT(AG115))/2/AD115</f>
        <v>33.862544705912242</v>
      </c>
      <c r="H115" s="1583">
        <f>IF(A115=3,SQRT(3),IF(A115=1,SQRT(2),1))</f>
        <v>1.7320508075688772</v>
      </c>
      <c r="I115" s="1594">
        <f>H115*G115</f>
        <v>58.651647904212503</v>
      </c>
      <c r="J115" s="1680" t="s">
        <v>548</v>
      </c>
      <c r="K115" s="1418" t="s">
        <v>549</v>
      </c>
      <c r="L115" s="1419">
        <v>90</v>
      </c>
      <c r="M115" s="1419">
        <v>150</v>
      </c>
      <c r="N115" s="1419">
        <v>1950</v>
      </c>
      <c r="O115" s="1412">
        <v>125</v>
      </c>
      <c r="P115" s="1416">
        <v>0.9</v>
      </c>
      <c r="Q115" s="1416">
        <v>2</v>
      </c>
      <c r="R115" s="1416">
        <v>0.28000000000000003</v>
      </c>
      <c r="S115" s="1687">
        <v>0.2</v>
      </c>
      <c r="T115" s="1624">
        <v>15</v>
      </c>
      <c r="U115" s="1616" t="s">
        <v>642</v>
      </c>
      <c r="V115" s="1622">
        <f>IF(E115=1,IF(U115="N",LOOKUP(T115,'HS250-DATA'!C$7:C$10,'HS250-DATA'!D$7:D$10),IF(U115="Y",LOOKUP(T115,'HS250-DATA'!C$22:C$25,'HS250-DATA'!D$22:D$25),"FAN?")),IF(U115="N",LOOKUP(T115,'HS250-DATA'!C$14:C$17,'HS250-DATA'!D$14:D$17),IF(U115="Y",LOOKUP(T115,'HS250-DATA'!C$29:C$32,'HS250-DATA'!D$29:D$32),"FAN?")))</f>
        <v>0.21</v>
      </c>
      <c r="W115" s="1602">
        <f>(G115*H115)^2*Q115*10^-3+G115*P115</f>
        <v>37.356321839080451</v>
      </c>
      <c r="X115" s="1602">
        <f>D115*W115</f>
        <v>224.1379310344827</v>
      </c>
      <c r="Y115" s="1602">
        <f>IF(A115=3,W115*6,IF(A115=1,W115*4,W115))</f>
        <v>224.1379310344827</v>
      </c>
      <c r="Z115" s="1579">
        <f>O115-5</f>
        <v>120</v>
      </c>
      <c r="AA115" s="1602">
        <f>D115*W115*V115+AB115</f>
        <v>102.06896551724137</v>
      </c>
      <c r="AB115" s="1588">
        <v>55</v>
      </c>
      <c r="AC115" s="1570"/>
      <c r="AD115" s="1564">
        <f>Q115*10^-3*H115^2</f>
        <v>5.9999999999999993E-3</v>
      </c>
      <c r="AE115" s="1634">
        <f>P115</f>
        <v>0.9</v>
      </c>
      <c r="AF115" s="1635">
        <f>(AB115-Z115)/(R115+S115+D115*V115)</f>
        <v>-37.356321839080458</v>
      </c>
      <c r="AG115" s="1636">
        <f>AE115^2-4*AD115*AF115</f>
        <v>1.7065517241379309</v>
      </c>
      <c r="AH115" s="1741">
        <f>SUM(AJ115:AL115)</f>
        <v>67.260000000000005</v>
      </c>
      <c r="AI115" s="1607"/>
      <c r="AJ115" s="1733">
        <f>C115*LOOKUP(T115,'HS250-DATA'!C$7:C$10,'HS250-DATA'!F$7:F$10)</f>
        <v>28.26</v>
      </c>
      <c r="AK115" s="1733">
        <f>IF(U115="Y",C115*12,0)</f>
        <v>0</v>
      </c>
      <c r="AL115" s="1733">
        <f>C115*E115*VLOOKUP(K115,'SCR-Diode DATA'!D$7:M$43,10,FALSE)</f>
        <v>39</v>
      </c>
      <c r="AM115" s="507">
        <f>AH115/F115</f>
        <v>0.6620884577550834</v>
      </c>
    </row>
    <row r="116" spans="1:39" ht="18.75">
      <c r="A116" s="1598">
        <v>3</v>
      </c>
      <c r="B116" s="1533">
        <f t="shared" si="71"/>
        <v>6</v>
      </c>
      <c r="C116" s="1600">
        <v>3</v>
      </c>
      <c r="D116" s="1575">
        <f>B116/C116</f>
        <v>2</v>
      </c>
      <c r="E116" s="1575">
        <v>1</v>
      </c>
      <c r="F116" s="1611">
        <f>IF(A116=3,3*G116,IF(A116=1,2*G116,IF(A116="bd",1*G116,IF(A116="fwd",1,"Error"))))</f>
        <v>162.44650717017356</v>
      </c>
      <c r="G116" s="1582">
        <f>(-AE116+SQRT(AG116))/2/AD116</f>
        <v>54.148835723391187</v>
      </c>
      <c r="H116" s="1583">
        <f>IF(A116=3,SQRT(3),IF(A116=1,SQRT(2),1))</f>
        <v>1.7320508075688772</v>
      </c>
      <c r="I116" s="1594">
        <f>H116*G116</f>
        <v>93.78853464361417</v>
      </c>
      <c r="J116" s="1680" t="s">
        <v>548</v>
      </c>
      <c r="K116" s="1418" t="s">
        <v>549</v>
      </c>
      <c r="L116" s="1419">
        <v>90</v>
      </c>
      <c r="M116" s="1419">
        <v>150</v>
      </c>
      <c r="N116" s="1419">
        <v>1950</v>
      </c>
      <c r="O116" s="1412">
        <v>125</v>
      </c>
      <c r="P116" s="1416">
        <v>0.9</v>
      </c>
      <c r="Q116" s="1416">
        <v>2</v>
      </c>
      <c r="R116" s="1416">
        <v>0.28000000000000003</v>
      </c>
      <c r="S116" s="1687">
        <v>0.2</v>
      </c>
      <c r="T116" s="1624">
        <v>15</v>
      </c>
      <c r="U116" s="1616" t="s">
        <v>642</v>
      </c>
      <c r="V116" s="1622">
        <f>IF(E116=1,IF(U116="N",LOOKUP(T116,'HS250-DATA'!C$7:C$10,'HS250-DATA'!D$7:D$10),IF(U116="Y",LOOKUP(T116,'HS250-DATA'!C$22:C$25,'HS250-DATA'!D$22:D$25),"FAN?")),IF(U116="N",LOOKUP(T116,'HS250-DATA'!C$14:C$17,'HS250-DATA'!D$14:D$17),IF(U116="Y",LOOKUP(T116,'HS250-DATA'!C$29:C$32,'HS250-DATA'!D$29:D$32),"FAN?")))</f>
        <v>0.25</v>
      </c>
      <c r="W116" s="1602">
        <f>(G116*H116)^2*Q116*10^-3+G116*P116</f>
        <v>66.326530612244909</v>
      </c>
      <c r="X116" s="1602">
        <f>D116*W116</f>
        <v>132.65306122448982</v>
      </c>
      <c r="Y116" s="1602">
        <f>IF(A116=3,W116*6,IF(A116=1,W116*4,W116))</f>
        <v>397.95918367346945</v>
      </c>
      <c r="Z116" s="1579">
        <f>O116-5</f>
        <v>120</v>
      </c>
      <c r="AA116" s="1602">
        <f>D116*W116*V116+AB116</f>
        <v>88.163265306122454</v>
      </c>
      <c r="AB116" s="1588">
        <v>55</v>
      </c>
      <c r="AC116" s="1570"/>
      <c r="AD116" s="1564">
        <f>Q116*10^-3*H116^2</f>
        <v>5.9999999999999993E-3</v>
      </c>
      <c r="AE116" s="1634">
        <f>P116</f>
        <v>0.9</v>
      </c>
      <c r="AF116" s="1635">
        <f>(AB116-Z116)/(R116+S116+D116*V116)</f>
        <v>-66.326530612244895</v>
      </c>
      <c r="AG116" s="1636">
        <f>AE116^2-4*AD116*AF116</f>
        <v>2.4018367346938776</v>
      </c>
      <c r="AH116" s="1741">
        <f>SUM(AJ116:AL116)</f>
        <v>123.78</v>
      </c>
      <c r="AI116" s="1607"/>
      <c r="AJ116" s="1733">
        <f>C116*LOOKUP(T116,'HS250-DATA'!C$7:C$10,'HS250-DATA'!F$7:F$10)</f>
        <v>84.78</v>
      </c>
      <c r="AK116" s="1733">
        <f>IF(U116="Y",C116*12,0)</f>
        <v>0</v>
      </c>
      <c r="AL116" s="1733">
        <f>C116*E116*VLOOKUP(K116,'SCR-Diode DATA'!D$7:M$43,10,FALSE)</f>
        <v>39</v>
      </c>
      <c r="AM116" s="507">
        <f>AH116/F116</f>
        <v>0.76197390855767788</v>
      </c>
    </row>
    <row r="117" spans="1:39" ht="18.75">
      <c r="A117" s="1598">
        <v>1</v>
      </c>
      <c r="B117" s="1533">
        <f t="shared" si="71"/>
        <v>4</v>
      </c>
      <c r="C117" s="1600">
        <v>1</v>
      </c>
      <c r="D117" s="1575">
        <f>B117/C117</f>
        <v>4</v>
      </c>
      <c r="E117" s="1575">
        <v>2</v>
      </c>
      <c r="F117" s="1611">
        <f>IF(A117=3,3*G117,IF(A117=1,2*G117,IF(A117="bd",1*G117,IF(A117="fwd",1,"Error"))))</f>
        <v>91.018075815963783</v>
      </c>
      <c r="G117" s="1582">
        <f>(-AE117+SQRT(AG117))/2/AD117</f>
        <v>45.509037907981892</v>
      </c>
      <c r="H117" s="1583">
        <f>IF(A117=3,SQRT(3),IF(A117=1,SQRT(2),1))</f>
        <v>1.4142135623730951</v>
      </c>
      <c r="I117" s="1594">
        <f>H117*G117</f>
        <v>64.359498620019295</v>
      </c>
      <c r="J117" s="1680" t="s">
        <v>552</v>
      </c>
      <c r="K117" s="1418" t="s">
        <v>553</v>
      </c>
      <c r="L117" s="1419">
        <v>90</v>
      </c>
      <c r="M117" s="1419">
        <v>150</v>
      </c>
      <c r="N117" s="1419">
        <v>1950</v>
      </c>
      <c r="O117" s="1412">
        <v>125</v>
      </c>
      <c r="P117" s="1416">
        <v>0.9</v>
      </c>
      <c r="Q117" s="1416">
        <v>2</v>
      </c>
      <c r="R117" s="1416">
        <v>0.28000000000000003</v>
      </c>
      <c r="S117" s="1687">
        <v>0.2</v>
      </c>
      <c r="T117" s="1624">
        <v>15</v>
      </c>
      <c r="U117" s="1616" t="s">
        <v>642</v>
      </c>
      <c r="V117" s="1622">
        <f>IF(E117=1,IF(U117="N",LOOKUP(T117,'HS250-DATA'!C$7:C$10,'HS250-DATA'!D$7:D$10),IF(U117="Y",LOOKUP(T117,'HS250-DATA'!C$22:C$25,'HS250-DATA'!D$22:D$25),"FAN?")),IF(U117="N",LOOKUP(T117,'HS250-DATA'!C$14:C$17,'HS250-DATA'!D$14:D$17),IF(U117="Y",LOOKUP(T117,'HS250-DATA'!C$29:C$32,'HS250-DATA'!D$29:D$32),"FAN?")))</f>
        <v>0.21</v>
      </c>
      <c r="W117" s="1602">
        <f>(G117*H117)^2*Q117*10^-3+G117*P117</f>
        <v>49.242424242424235</v>
      </c>
      <c r="X117" s="1602">
        <f>D117*W117</f>
        <v>196.96969696969694</v>
      </c>
      <c r="Y117" s="1602">
        <f>IF(A117=3,W117*6,IF(A117=1,W117*4,W117))</f>
        <v>196.96969696969694</v>
      </c>
      <c r="Z117" s="1579">
        <f>O117-5</f>
        <v>120</v>
      </c>
      <c r="AA117" s="1602">
        <f>D117*W117*V117+AB117</f>
        <v>96.363636363636346</v>
      </c>
      <c r="AB117" s="1588">
        <v>55</v>
      </c>
      <c r="AC117" s="1570"/>
      <c r="AD117" s="1564">
        <f>Q117*10^-3*H117^2</f>
        <v>4.000000000000001E-3</v>
      </c>
      <c r="AE117" s="1634">
        <f>P117</f>
        <v>0.9</v>
      </c>
      <c r="AF117" s="1635">
        <f>(AB117-Z117)/(R117+S117+D117*V117)</f>
        <v>-49.242424242424242</v>
      </c>
      <c r="AG117" s="1636">
        <f>AE117^2-4*AD117*AF117</f>
        <v>1.5978787878787881</v>
      </c>
      <c r="AH117" s="1741">
        <f>SUM(AJ117:AL117)</f>
        <v>54.260000000000005</v>
      </c>
      <c r="AI117" s="1607"/>
      <c r="AJ117" s="1733">
        <f>C117*LOOKUP(T117,'HS250-DATA'!C$7:C$10,'HS250-DATA'!F$7:F$10)</f>
        <v>28.26</v>
      </c>
      <c r="AK117" s="1733">
        <f>IF(U117="Y",C117*12,0)</f>
        <v>0</v>
      </c>
      <c r="AL117" s="1733">
        <f>C117*E117*VLOOKUP(K117,'SCR-Diode DATA'!D$7:M$43,10,FALSE)</f>
        <v>26</v>
      </c>
      <c r="AM117" s="507">
        <f>AH117/F117</f>
        <v>0.59614532073510684</v>
      </c>
    </row>
    <row r="118" spans="1:39" ht="18.75">
      <c r="A118" s="1598">
        <v>1</v>
      </c>
      <c r="B118" s="1533">
        <f t="shared" si="71"/>
        <v>4</v>
      </c>
      <c r="C118" s="1600">
        <v>2</v>
      </c>
      <c r="D118" s="1575">
        <f>B118/C118</f>
        <v>2</v>
      </c>
      <c r="E118" s="1575">
        <v>1</v>
      </c>
      <c r="F118" s="1611">
        <f>IF(A118=3,3*G118,IF(A118=1,2*G118,IF(A118="bd",1*G118,IF(A118="fwd",1,"Error"))))</f>
        <v>116.98176941504485</v>
      </c>
      <c r="G118" s="1582">
        <f>(-AE118+SQRT(AG118))/2/AD118</f>
        <v>58.490884707522426</v>
      </c>
      <c r="H118" s="1583">
        <f>IF(A118=3,SQRT(3),IF(A118=1,SQRT(2),1))</f>
        <v>1.4142135623730951</v>
      </c>
      <c r="I118" s="1594">
        <f>H118*G118</f>
        <v>82.718602428579288</v>
      </c>
      <c r="J118" s="1680" t="s">
        <v>552</v>
      </c>
      <c r="K118" s="1418" t="s">
        <v>553</v>
      </c>
      <c r="L118" s="1419">
        <v>90</v>
      </c>
      <c r="M118" s="1419">
        <v>150</v>
      </c>
      <c r="N118" s="1419">
        <v>1950</v>
      </c>
      <c r="O118" s="1412">
        <v>125</v>
      </c>
      <c r="P118" s="1416">
        <v>0.9</v>
      </c>
      <c r="Q118" s="1416">
        <v>2</v>
      </c>
      <c r="R118" s="1416">
        <v>0.28000000000000003</v>
      </c>
      <c r="S118" s="1687">
        <v>0.2</v>
      </c>
      <c r="T118" s="1624">
        <v>15</v>
      </c>
      <c r="U118" s="1616" t="s">
        <v>642</v>
      </c>
      <c r="V118" s="1622">
        <f>IF(E118=1,IF(U118="N",LOOKUP(T118,'HS250-DATA'!C$7:C$10,'HS250-DATA'!D$7:D$10),IF(U118="Y",LOOKUP(T118,'HS250-DATA'!C$22:C$25,'HS250-DATA'!D$22:D$25),"FAN?")),IF(U118="N",LOOKUP(T118,'HS250-DATA'!C$14:C$17,'HS250-DATA'!D$14:D$17),IF(U118="Y",LOOKUP(T118,'HS250-DATA'!C$29:C$32,'HS250-DATA'!D$29:D$32),"FAN?")))</f>
        <v>0.25</v>
      </c>
      <c r="W118" s="1602">
        <f>(G118*H118)^2*Q118*10^-3+G118*P118</f>
        <v>66.326530612244909</v>
      </c>
      <c r="X118" s="1602">
        <f>D118*W118</f>
        <v>132.65306122448982</v>
      </c>
      <c r="Y118" s="1602">
        <f>IF(A118=3,W118*6,IF(A118=1,W118*4,W118))</f>
        <v>265.30612244897964</v>
      </c>
      <c r="Z118" s="1579">
        <f>O118-5</f>
        <v>120</v>
      </c>
      <c r="AA118" s="1602">
        <f>D118*W118*V118+AB118</f>
        <v>88.163265306122454</v>
      </c>
      <c r="AB118" s="1588">
        <v>55</v>
      </c>
      <c r="AC118" s="1570"/>
      <c r="AD118" s="1564">
        <f>Q118*10^-3*H118^2</f>
        <v>4.000000000000001E-3</v>
      </c>
      <c r="AE118" s="1634">
        <f>P118</f>
        <v>0.9</v>
      </c>
      <c r="AF118" s="1635">
        <f>(AB118-Z118)/(R118+S118+D118*V118)</f>
        <v>-66.326530612244895</v>
      </c>
      <c r="AG118" s="1636">
        <f>AE118^2-4*AD118*AF118</f>
        <v>1.8712244897959187</v>
      </c>
      <c r="AH118" s="1741">
        <f>SUM(AJ118:AL118)</f>
        <v>82.52000000000001</v>
      </c>
      <c r="AI118" s="1607"/>
      <c r="AJ118" s="1733">
        <f>C118*LOOKUP(T118,'HS250-DATA'!C$7:C$10,'HS250-DATA'!F$7:F$10)</f>
        <v>56.52</v>
      </c>
      <c r="AK118" s="1733">
        <f>IF(U118="Y",C118*12,0)</f>
        <v>0</v>
      </c>
      <c r="AL118" s="1733">
        <f>C118*E118*VLOOKUP(K118,'SCR-Diode DATA'!D$7:M$43,10,FALSE)</f>
        <v>26</v>
      </c>
      <c r="AM118" s="507">
        <f>AH118/F118</f>
        <v>0.7054090599982602</v>
      </c>
    </row>
    <row r="119" spans="1:39" ht="18.75">
      <c r="A119" s="1598"/>
      <c r="B119" s="1533"/>
      <c r="C119" s="1600"/>
      <c r="D119" s="1575"/>
      <c r="E119" s="1575"/>
      <c r="F119" s="1611"/>
      <c r="G119" s="1582"/>
      <c r="H119" s="1583"/>
      <c r="I119" s="1594"/>
      <c r="J119" s="1680"/>
      <c r="K119" s="1418"/>
      <c r="L119" s="1419"/>
      <c r="M119" s="1419"/>
      <c r="N119" s="1419"/>
      <c r="O119" s="1412"/>
      <c r="P119" s="1416"/>
      <c r="Q119" s="1416"/>
      <c r="R119" s="1416"/>
      <c r="S119" s="1687"/>
      <c r="T119" s="1624"/>
      <c r="U119" s="1616"/>
      <c r="V119" s="1622"/>
      <c r="W119" s="1602"/>
      <c r="X119" s="1602"/>
      <c r="Y119" s="1602"/>
      <c r="Z119" s="1579"/>
      <c r="AA119" s="1602"/>
      <c r="AB119" s="1588"/>
      <c r="AC119" s="1570"/>
      <c r="AD119" s="1564"/>
      <c r="AE119" s="1634"/>
      <c r="AF119" s="1635"/>
      <c r="AG119" s="1636"/>
      <c r="AH119" s="1742"/>
      <c r="AI119" s="1607"/>
      <c r="AJ119" s="1607"/>
      <c r="AK119" s="1607"/>
      <c r="AL119" s="1733"/>
      <c r="AM119" s="1743"/>
    </row>
    <row r="120" spans="1:39" ht="18.75">
      <c r="A120" s="1598">
        <v>3</v>
      </c>
      <c r="B120" s="1533">
        <f t="shared" si="71"/>
        <v>6</v>
      </c>
      <c r="C120" s="1600">
        <v>1</v>
      </c>
      <c r="D120" s="1575">
        <f>B120/C120</f>
        <v>6</v>
      </c>
      <c r="E120" s="1575">
        <v>3</v>
      </c>
      <c r="F120" s="1611">
        <f>IF(A120=3,3*G120,IF(A120=1,2*G120,IF(A120="bd",1*G120,IF(A120="fwd",1,"Error"))))</f>
        <v>123.17016977483874</v>
      </c>
      <c r="G120" s="1582">
        <f>(-AE120+SQRT(AG120))/2/AD120</f>
        <v>41.056723258279582</v>
      </c>
      <c r="H120" s="1583">
        <f>IF(A120=3,SQRT(3),IF(A120=1,SQRT(2),1))</f>
        <v>1.7320508075688772</v>
      </c>
      <c r="I120" s="1594">
        <f>H120*G120</f>
        <v>71.11233067563505</v>
      </c>
      <c r="J120" s="1680" t="s">
        <v>548</v>
      </c>
      <c r="K120" s="1418" t="s">
        <v>554</v>
      </c>
      <c r="L120" s="1419">
        <v>160</v>
      </c>
      <c r="M120" s="1419">
        <v>250</v>
      </c>
      <c r="N120" s="1419">
        <v>4100</v>
      </c>
      <c r="O120" s="1412">
        <v>125</v>
      </c>
      <c r="P120" s="1416">
        <v>0.85</v>
      </c>
      <c r="Q120" s="1416">
        <v>1.5</v>
      </c>
      <c r="R120" s="1416">
        <v>0.17</v>
      </c>
      <c r="S120" s="1687">
        <v>0.1</v>
      </c>
      <c r="T120" s="1624">
        <v>15</v>
      </c>
      <c r="U120" s="1616" t="s">
        <v>642</v>
      </c>
      <c r="V120" s="1622">
        <f>IF(E120=1,IF(U120="N",LOOKUP(T120,'HS250-DATA'!C$7:C$10,'HS250-DATA'!D$7:D$10),IF(U120="Y",LOOKUP(T120,'HS250-DATA'!C$22:C$25,'HS250-DATA'!D$22:D$25),"FAN?")),IF(U120="N",LOOKUP(T120,'HS250-DATA'!C$14:C$17,'HS250-DATA'!D$14:D$17),IF(U120="Y",LOOKUP(T120,'HS250-DATA'!C$29:C$32,'HS250-DATA'!D$29:D$32),"FAN?")))</f>
        <v>0.21</v>
      </c>
      <c r="W120" s="1602">
        <f>(G120*H120)^2*Q120*10^-3+G120*P120</f>
        <v>42.483660130718945</v>
      </c>
      <c r="X120" s="1602">
        <f>D120*W120</f>
        <v>254.90196078431367</v>
      </c>
      <c r="Y120" s="1602">
        <f>IF(A120=3,W120*6,IF(A120=1,W120*4,W120))</f>
        <v>254.90196078431367</v>
      </c>
      <c r="Z120" s="1579">
        <f>O120-5</f>
        <v>120</v>
      </c>
      <c r="AA120" s="1602">
        <f>D120*W120*V120+AB120</f>
        <v>108.52941176470587</v>
      </c>
      <c r="AB120" s="1588">
        <v>55</v>
      </c>
      <c r="AC120" s="1570"/>
      <c r="AD120" s="1564">
        <f>Q120*10^-3*H120^2</f>
        <v>4.4999999999999997E-3</v>
      </c>
      <c r="AE120" s="1634">
        <f>P120</f>
        <v>0.85</v>
      </c>
      <c r="AF120" s="1635">
        <f>(AB120-Z120)/(R120+S120+D120*V120)</f>
        <v>-42.483660130718953</v>
      </c>
      <c r="AG120" s="1636">
        <f>AE120^2-4*AD120*AF120</f>
        <v>1.487205882352941</v>
      </c>
      <c r="AH120" s="1741">
        <f>SUM(AJ120:AL120)</f>
        <v>136.26</v>
      </c>
      <c r="AI120" s="1607"/>
      <c r="AJ120" s="1733">
        <f>C120*LOOKUP(T120,'HS250-DATA'!C$7:C$10,'HS250-DATA'!F$7:F$10)</f>
        <v>28.26</v>
      </c>
      <c r="AK120" s="1733">
        <f>IF(U120="Y",C120*12,0)</f>
        <v>0</v>
      </c>
      <c r="AL120" s="1733">
        <f>C120*E120*VLOOKUP(K120,'SCR-Diode DATA'!D$7:M$43,10,FALSE)</f>
        <v>108</v>
      </c>
      <c r="AM120" s="507">
        <f>AH120/F120</f>
        <v>1.1062743540021915</v>
      </c>
    </row>
    <row r="121" spans="1:39" ht="18.75">
      <c r="A121" s="1598">
        <v>3</v>
      </c>
      <c r="B121" s="1533">
        <f t="shared" si="71"/>
        <v>6</v>
      </c>
      <c r="C121" s="1600">
        <v>3</v>
      </c>
      <c r="D121" s="1575">
        <f>B121/C121</f>
        <v>2</v>
      </c>
      <c r="E121" s="1575">
        <v>1</v>
      </c>
      <c r="F121" s="1611">
        <f>IF(A121=3,3*G121,IF(A121=1,2*G121,IF(A121="bd",1*G121,IF(A121="fwd",1,"Error"))))</f>
        <v>215.77481788135742</v>
      </c>
      <c r="G121" s="1582">
        <f>(-AE121+SQRT(AG121))/2/AD121</f>
        <v>71.924939293785812</v>
      </c>
      <c r="H121" s="1583">
        <f>IF(A121=3,SQRT(3),IF(A121=1,SQRT(2),1))</f>
        <v>1.7320508075688772</v>
      </c>
      <c r="I121" s="1594">
        <f>H121*G121</f>
        <v>124.57764918814418</v>
      </c>
      <c r="J121" s="1680" t="s">
        <v>548</v>
      </c>
      <c r="K121" s="1418" t="s">
        <v>554</v>
      </c>
      <c r="L121" s="1419">
        <v>160</v>
      </c>
      <c r="M121" s="1419">
        <v>250</v>
      </c>
      <c r="N121" s="1419">
        <v>4100</v>
      </c>
      <c r="O121" s="1412">
        <v>125</v>
      </c>
      <c r="P121" s="1416">
        <v>0.85</v>
      </c>
      <c r="Q121" s="1416">
        <v>1.5</v>
      </c>
      <c r="R121" s="1416">
        <v>0.17</v>
      </c>
      <c r="S121" s="1687">
        <v>0.1</v>
      </c>
      <c r="T121" s="1624">
        <v>15</v>
      </c>
      <c r="U121" s="1616" t="s">
        <v>642</v>
      </c>
      <c r="V121" s="1622">
        <f>IF(E121=1,IF(U121="N",LOOKUP(T121,'HS250-DATA'!C$7:C$10,'HS250-DATA'!D$7:D$10),IF(U121="Y",LOOKUP(T121,'HS250-DATA'!C$22:C$25,'HS250-DATA'!D$22:D$25),"FAN?")),IF(U121="N",LOOKUP(T121,'HS250-DATA'!C$14:C$17,'HS250-DATA'!D$14:D$17),IF(U121="Y",LOOKUP(T121,'HS250-DATA'!C$29:C$32,'HS250-DATA'!D$29:D$32),"FAN?")))</f>
        <v>0.25</v>
      </c>
      <c r="W121" s="1602">
        <f>(G121*H121)^2*Q121*10^-3+G121*P121</f>
        <v>84.415584415584419</v>
      </c>
      <c r="X121" s="1602">
        <f>D121*W121</f>
        <v>168.83116883116884</v>
      </c>
      <c r="Y121" s="1602">
        <f>IF(A121=3,W121*6,IF(A121=1,W121*4,W121))</f>
        <v>506.49350649350652</v>
      </c>
      <c r="Z121" s="1579">
        <f>O121-5</f>
        <v>120</v>
      </c>
      <c r="AA121" s="1602">
        <f>D121*W121*V121+AB121</f>
        <v>97.20779220779221</v>
      </c>
      <c r="AB121" s="1588">
        <v>55</v>
      </c>
      <c r="AC121" s="1570"/>
      <c r="AD121" s="1564">
        <f>Q121*10^-3*H121^2</f>
        <v>4.4999999999999997E-3</v>
      </c>
      <c r="AE121" s="1634">
        <f>P121</f>
        <v>0.85</v>
      </c>
      <c r="AF121" s="1635">
        <f>(AB121-Z121)/(R121+S121+D121*V121)</f>
        <v>-84.415584415584419</v>
      </c>
      <c r="AG121" s="1636">
        <f>AE121^2-4*AD121*AF121</f>
        <v>2.2419805194805194</v>
      </c>
      <c r="AH121" s="1741">
        <f>SUM(AJ121:AL121)</f>
        <v>192.78</v>
      </c>
      <c r="AI121" s="1607"/>
      <c r="AJ121" s="1733">
        <f>C121*LOOKUP(T121,'HS250-DATA'!C$7:C$10,'HS250-DATA'!F$7:F$10)</f>
        <v>84.78</v>
      </c>
      <c r="AK121" s="1733">
        <f>IF(U121="Y",C121*12,0)</f>
        <v>0</v>
      </c>
      <c r="AL121" s="1733">
        <f>C121*E121*VLOOKUP(K121,'SCR-Diode DATA'!D$7:M$43,10,FALSE)</f>
        <v>108</v>
      </c>
      <c r="AM121" s="507">
        <f>AH121/F121</f>
        <v>0.8934314110092263</v>
      </c>
    </row>
    <row r="122" spans="1:39" ht="18.75">
      <c r="A122" s="1598">
        <v>1</v>
      </c>
      <c r="B122" s="1533">
        <f t="shared" si="71"/>
        <v>4</v>
      </c>
      <c r="C122" s="1600">
        <v>1</v>
      </c>
      <c r="D122" s="1575">
        <f>B122/C122</f>
        <v>4</v>
      </c>
      <c r="E122" s="1575">
        <v>2</v>
      </c>
      <c r="F122" s="1611">
        <f>IF(A122=3,3*G122,IF(A122=1,2*G122,IF(A122="bd",1*G122,IF(A122="fwd",1,"Error"))))</f>
        <v>114.60617947716386</v>
      </c>
      <c r="G122" s="1582">
        <f>(-AE122+SQRT(AG122))/2/AD122</f>
        <v>57.303089738581932</v>
      </c>
      <c r="H122" s="1583">
        <f>IF(A122=3,SQRT(3),IF(A122=1,SQRT(2),1))</f>
        <v>1.4142135623730951</v>
      </c>
      <c r="I122" s="1594">
        <f>H122*G122</f>
        <v>81.038806674185111</v>
      </c>
      <c r="J122" s="1680" t="s">
        <v>552</v>
      </c>
      <c r="K122" s="1418" t="s">
        <v>555</v>
      </c>
      <c r="L122" s="1419">
        <v>160</v>
      </c>
      <c r="M122" s="1419">
        <v>250</v>
      </c>
      <c r="N122" s="1419">
        <v>4100</v>
      </c>
      <c r="O122" s="1412">
        <v>125</v>
      </c>
      <c r="P122" s="1416">
        <v>0.85</v>
      </c>
      <c r="Q122" s="1416">
        <v>1.5</v>
      </c>
      <c r="R122" s="1416">
        <v>0.17</v>
      </c>
      <c r="S122" s="1687">
        <v>0.1</v>
      </c>
      <c r="T122" s="1624">
        <v>15</v>
      </c>
      <c r="U122" s="1616" t="s">
        <v>642</v>
      </c>
      <c r="V122" s="1622">
        <f>IF(E122=1,IF(U122="N",LOOKUP(T122,'HS250-DATA'!C$7:C$10,'HS250-DATA'!D$7:D$10),IF(U122="Y",LOOKUP(T122,'HS250-DATA'!C$22:C$25,'HS250-DATA'!D$22:D$25),"FAN?")),IF(U122="N",LOOKUP(T122,'HS250-DATA'!C$14:C$17,'HS250-DATA'!D$14:D$17),IF(U122="Y",LOOKUP(T122,'HS250-DATA'!C$29:C$32,'HS250-DATA'!D$29:D$32),"FAN?")))</f>
        <v>0.21</v>
      </c>
      <c r="W122" s="1602">
        <f>(G122*H122)^2*Q122*10^-3+G122*P122</f>
        <v>58.558558558558559</v>
      </c>
      <c r="X122" s="1602">
        <f>D122*W122</f>
        <v>234.23423423423424</v>
      </c>
      <c r="Y122" s="1602">
        <f>IF(A122=3,W122*6,IF(A122=1,W122*4,W122))</f>
        <v>234.23423423423424</v>
      </c>
      <c r="Z122" s="1579">
        <f>O122-5</f>
        <v>120</v>
      </c>
      <c r="AA122" s="1602">
        <f>D122*W122*V122+AB122</f>
        <v>104.18918918918919</v>
      </c>
      <c r="AB122" s="1588">
        <v>55</v>
      </c>
      <c r="AC122" s="1570"/>
      <c r="AD122" s="1564">
        <f>Q122*10^-3*H122^2</f>
        <v>3.0000000000000009E-3</v>
      </c>
      <c r="AE122" s="1634">
        <f>P122</f>
        <v>0.85</v>
      </c>
      <c r="AF122" s="1635">
        <f>(AB122-Z122)/(R122+S122+D122*V122)</f>
        <v>-58.558558558558566</v>
      </c>
      <c r="AG122" s="1636">
        <f>AE122^2-4*AD122*AF122</f>
        <v>1.4252027027027028</v>
      </c>
      <c r="AH122" s="1741">
        <f>SUM(AJ122:AL122)</f>
        <v>100.26</v>
      </c>
      <c r="AI122" s="1607"/>
      <c r="AJ122" s="1733">
        <f>C122*LOOKUP(T122,'HS250-DATA'!C$7:C$10,'HS250-DATA'!F$7:F$10)</f>
        <v>28.26</v>
      </c>
      <c r="AK122" s="1733">
        <f>IF(U122="Y",C122*12,0)</f>
        <v>0</v>
      </c>
      <c r="AL122" s="1733">
        <f>C122*E122*VLOOKUP(K122,'SCR-Diode DATA'!D$7:M$43,10,FALSE)</f>
        <v>72</v>
      </c>
      <c r="AM122" s="507">
        <f>AH122/F122</f>
        <v>0.87482193767725724</v>
      </c>
    </row>
    <row r="123" spans="1:39" ht="18.75">
      <c r="A123" s="1598">
        <v>1</v>
      </c>
      <c r="B123" s="1533">
        <f t="shared" si="71"/>
        <v>4</v>
      </c>
      <c r="C123" s="1600">
        <v>2</v>
      </c>
      <c r="D123" s="1575">
        <f>B123/C123</f>
        <v>2</v>
      </c>
      <c r="E123" s="1575">
        <v>1</v>
      </c>
      <c r="F123" s="1611">
        <f>IF(A123=3,3*G123,IF(A123=1,2*G123,IF(A123="bd",1*G123,IF(A123="fwd",1,"Error"))))</f>
        <v>155.79294728750392</v>
      </c>
      <c r="G123" s="1582">
        <f>(-AE123+SQRT(AG123))/2/AD123</f>
        <v>77.89647364375196</v>
      </c>
      <c r="H123" s="1583">
        <f>IF(A123=3,SQRT(3),IF(A123=1,SQRT(2),1))</f>
        <v>1.4142135623730951</v>
      </c>
      <c r="I123" s="1594">
        <f>H123*G123</f>
        <v>110.16224948803237</v>
      </c>
      <c r="J123" s="1680" t="s">
        <v>552</v>
      </c>
      <c r="K123" s="1418" t="s">
        <v>555</v>
      </c>
      <c r="L123" s="1419">
        <v>160</v>
      </c>
      <c r="M123" s="1419">
        <v>250</v>
      </c>
      <c r="N123" s="1419">
        <v>4100</v>
      </c>
      <c r="O123" s="1412">
        <v>125</v>
      </c>
      <c r="P123" s="1416">
        <v>0.85</v>
      </c>
      <c r="Q123" s="1416">
        <v>1.5</v>
      </c>
      <c r="R123" s="1416">
        <v>0.17</v>
      </c>
      <c r="S123" s="1687">
        <v>0.1</v>
      </c>
      <c r="T123" s="1624">
        <v>15</v>
      </c>
      <c r="U123" s="1616" t="s">
        <v>642</v>
      </c>
      <c r="V123" s="1622">
        <f>IF(E123=1,IF(U123="N",LOOKUP(T123,'HS250-DATA'!C$7:C$10,'HS250-DATA'!D$7:D$10),IF(U123="Y",LOOKUP(T123,'HS250-DATA'!C$22:C$25,'HS250-DATA'!D$22:D$25),"FAN?")),IF(U123="N",LOOKUP(T123,'HS250-DATA'!C$14:C$17,'HS250-DATA'!D$14:D$17),IF(U123="Y",LOOKUP(T123,'HS250-DATA'!C$29:C$32,'HS250-DATA'!D$29:D$32),"FAN?")))</f>
        <v>0.25</v>
      </c>
      <c r="W123" s="1602">
        <f>(G123*H123)^2*Q123*10^-3+G123*P123</f>
        <v>84.415584415584405</v>
      </c>
      <c r="X123" s="1602">
        <f>D123*W123</f>
        <v>168.83116883116881</v>
      </c>
      <c r="Y123" s="1602">
        <f>IF(A123=3,W123*6,IF(A123=1,W123*4,W123))</f>
        <v>337.66233766233762</v>
      </c>
      <c r="Z123" s="1579">
        <f>O123-5</f>
        <v>120</v>
      </c>
      <c r="AA123" s="1602">
        <f>D123*W123*V123+AB123</f>
        <v>97.20779220779221</v>
      </c>
      <c r="AB123" s="1588">
        <v>55</v>
      </c>
      <c r="AC123" s="1570"/>
      <c r="AD123" s="1564">
        <f>Q123*10^-3*H123^2</f>
        <v>3.0000000000000009E-3</v>
      </c>
      <c r="AE123" s="1634">
        <f>P123</f>
        <v>0.85</v>
      </c>
      <c r="AF123" s="1635">
        <f>(AB123-Z123)/(R123+S123+D123*V123)</f>
        <v>-84.415584415584419</v>
      </c>
      <c r="AG123" s="1636">
        <f>AE123^2-4*AD123*AF123</f>
        <v>1.7354870129870132</v>
      </c>
      <c r="AH123" s="1741">
        <f>SUM(AJ123:AL123)</f>
        <v>128.52000000000001</v>
      </c>
      <c r="AI123" s="1607"/>
      <c r="AJ123" s="1733">
        <f>C123*LOOKUP(T123,'HS250-DATA'!C$7:C$10,'HS250-DATA'!F$7:F$10)</f>
        <v>56.52</v>
      </c>
      <c r="AK123" s="1733">
        <f>IF(U123="Y",C123*12,0)</f>
        <v>0</v>
      </c>
      <c r="AL123" s="1733">
        <f>C123*E123*VLOOKUP(K123,'SCR-Diode DATA'!D$7:M$43,10,FALSE)</f>
        <v>72</v>
      </c>
      <c r="AM123" s="507">
        <f>AH123/F123</f>
        <v>0.82494106593173455</v>
      </c>
    </row>
    <row r="124" spans="1:39" ht="18.75">
      <c r="A124" s="1598"/>
      <c r="B124" s="1533"/>
      <c r="C124" s="1600"/>
      <c r="D124" s="1575"/>
      <c r="E124" s="1575"/>
      <c r="F124" s="1611"/>
      <c r="G124" s="1582"/>
      <c r="H124" s="1583"/>
      <c r="I124" s="1594"/>
      <c r="J124" s="1680"/>
      <c r="K124" s="1418"/>
      <c r="L124" s="1419"/>
      <c r="M124" s="1419"/>
      <c r="N124" s="1419"/>
      <c r="O124" s="1412"/>
      <c r="P124" s="1416"/>
      <c r="Q124" s="1416"/>
      <c r="R124" s="1416"/>
      <c r="S124" s="1687"/>
      <c r="T124" s="1624"/>
      <c r="U124" s="1616"/>
      <c r="V124" s="1622"/>
      <c r="W124" s="1602"/>
      <c r="X124" s="1602"/>
      <c r="Y124" s="1602"/>
      <c r="Z124" s="1579"/>
      <c r="AA124" s="1602"/>
      <c r="AB124" s="1588"/>
      <c r="AC124" s="1570"/>
      <c r="AD124" s="1564"/>
      <c r="AE124" s="1634"/>
      <c r="AF124" s="1635"/>
      <c r="AG124" s="1636"/>
      <c r="AH124" s="1742"/>
      <c r="AI124" s="1607"/>
      <c r="AJ124" s="1607"/>
      <c r="AK124" s="1607"/>
      <c r="AL124" s="1733"/>
      <c r="AM124" s="1743"/>
    </row>
    <row r="125" spans="1:39" ht="18.75">
      <c r="A125" s="1598">
        <v>3</v>
      </c>
      <c r="B125" s="1533">
        <f t="shared" si="71"/>
        <v>6</v>
      </c>
      <c r="C125" s="1600">
        <v>1</v>
      </c>
      <c r="D125" s="1575">
        <f>B125/C125</f>
        <v>6</v>
      </c>
      <c r="E125" s="1575">
        <v>3</v>
      </c>
      <c r="F125" s="1611">
        <f>IF(A125=3,3*G125,IF(A125=1,2*G125,IF(A125="bd",1*G125,IF(A125="fwd",1,"Error"))))</f>
        <v>147.44430726486041</v>
      </c>
      <c r="G125" s="1582">
        <f>(-AE125+SQRT(AG125))/2/AD125</f>
        <v>49.148102421620138</v>
      </c>
      <c r="H125" s="1583">
        <f>IF(A125=3,SQRT(3),IF(A125=1,SQRT(2),1))</f>
        <v>1.7320508075688772</v>
      </c>
      <c r="I125" s="1594">
        <f>H125*G125</f>
        <v>85.127010489845048</v>
      </c>
      <c r="J125" s="1680" t="s">
        <v>548</v>
      </c>
      <c r="K125" s="1418" t="s">
        <v>469</v>
      </c>
      <c r="L125" s="1419">
        <v>250</v>
      </c>
      <c r="M125" s="1419">
        <v>393</v>
      </c>
      <c r="N125" s="1419">
        <v>8800</v>
      </c>
      <c r="O125" s="1412">
        <v>125</v>
      </c>
      <c r="P125" s="1416">
        <v>0.81899999999999995</v>
      </c>
      <c r="Q125" s="1416">
        <v>0.58899999999999997</v>
      </c>
      <c r="R125" s="1416">
        <v>0.14000000000000001</v>
      </c>
      <c r="S125" s="1687">
        <v>0.06</v>
      </c>
      <c r="T125" s="1624">
        <v>15</v>
      </c>
      <c r="U125" s="1616" t="s">
        <v>642</v>
      </c>
      <c r="V125" s="1622">
        <f>IF(E125=1,IF(U125="N",LOOKUP(T125,'HS250-DATA'!C$7:C$10,'HS250-DATA'!D$7:D$10),IF(U125="Y",LOOKUP(T125,'HS250-DATA'!C$22:C$25,'HS250-DATA'!D$22:D$25),"FAN?")),IF(U125="N",LOOKUP(T125,'HS250-DATA'!C$14:C$17,'HS250-DATA'!D$14:D$17),IF(U125="Y",LOOKUP(T125,'HS250-DATA'!C$29:C$32,'HS250-DATA'!D$29:D$32),"FAN?")))</f>
        <v>0.21</v>
      </c>
      <c r="W125" s="1602">
        <f>(G125*H125)^2*Q125*10^-3+G125*P125</f>
        <v>44.520547945205486</v>
      </c>
      <c r="X125" s="1602">
        <f>D125*W125</f>
        <v>267.1232876712329</v>
      </c>
      <c r="Y125" s="1602">
        <f>IF(A125=3,W125*6,IF(A125=1,W125*4,W125))</f>
        <v>267.1232876712329</v>
      </c>
      <c r="Z125" s="1579">
        <f>O125-5</f>
        <v>120</v>
      </c>
      <c r="AA125" s="1602">
        <f>D125*W125*V125+AB125</f>
        <v>111.0958904109589</v>
      </c>
      <c r="AB125" s="1588">
        <v>55</v>
      </c>
      <c r="AC125" s="1570"/>
      <c r="AD125" s="1564">
        <f>Q125*10^-3*H125^2</f>
        <v>1.7669999999999997E-3</v>
      </c>
      <c r="AE125" s="1634">
        <f>P125</f>
        <v>0.81899999999999995</v>
      </c>
      <c r="AF125" s="1635">
        <f>(AB125-Z125)/(R125+S125+D125*V125)</f>
        <v>-44.520547945205479</v>
      </c>
      <c r="AG125" s="1636">
        <f>AE125^2-4*AD125*AF125</f>
        <v>0.98543223287671222</v>
      </c>
      <c r="AH125" s="1741">
        <f>SUM(AJ125:AL125)</f>
        <v>253.26</v>
      </c>
      <c r="AI125" s="1607"/>
      <c r="AJ125" s="1733">
        <f>C125*LOOKUP(T125,'HS250-DATA'!C$7:C$10,'HS250-DATA'!F$7:F$10)</f>
        <v>28.26</v>
      </c>
      <c r="AK125" s="1733">
        <f>IF(U125="Y",C125*12,0)</f>
        <v>0</v>
      </c>
      <c r="AL125" s="1733">
        <f>C125*E125*VLOOKUP(K125,'SCR-Diode DATA'!D$7:M$43,10,FALSE)</f>
        <v>225</v>
      </c>
      <c r="AM125" s="507">
        <f>AH125/F125</f>
        <v>1.7176655016260369</v>
      </c>
    </row>
    <row r="126" spans="1:39" ht="18.75">
      <c r="A126" s="1598">
        <v>3</v>
      </c>
      <c r="B126" s="1533">
        <f t="shared" si="71"/>
        <v>6</v>
      </c>
      <c r="C126" s="1600">
        <v>3</v>
      </c>
      <c r="D126" s="1575">
        <f>B126/C126</f>
        <v>2</v>
      </c>
      <c r="E126" s="1575">
        <v>1</v>
      </c>
      <c r="F126" s="1611">
        <f>IF(A126=3,3*G126,IF(A126=1,2*G126,IF(A126="bd",1*G126,IF(A126="fwd",1,"Error"))))</f>
        <v>282.67193305175425</v>
      </c>
      <c r="G126" s="1582">
        <f>(-AE126+SQRT(AG126))/2/AD126</f>
        <v>94.223977683918079</v>
      </c>
      <c r="H126" s="1583">
        <f>IF(A126=3,SQRT(3),IF(A126=1,SQRT(2),1))</f>
        <v>1.7320508075688772</v>
      </c>
      <c r="I126" s="1594">
        <f>H126*G126</f>
        <v>163.20071663978217</v>
      </c>
      <c r="J126" s="1680" t="s">
        <v>548</v>
      </c>
      <c r="K126" s="1418" t="s">
        <v>469</v>
      </c>
      <c r="L126" s="1419">
        <v>250</v>
      </c>
      <c r="M126" s="1419">
        <v>393</v>
      </c>
      <c r="N126" s="1419">
        <v>8800</v>
      </c>
      <c r="O126" s="1412">
        <v>125</v>
      </c>
      <c r="P126" s="1416">
        <v>0.81899999999999995</v>
      </c>
      <c r="Q126" s="1416">
        <v>0.58899999999999997</v>
      </c>
      <c r="R126" s="1416">
        <v>0.14000000000000001</v>
      </c>
      <c r="S126" s="1687">
        <v>0.06</v>
      </c>
      <c r="T126" s="1624">
        <v>15</v>
      </c>
      <c r="U126" s="1616" t="s">
        <v>642</v>
      </c>
      <c r="V126" s="1622">
        <f>IF(E126=1,IF(U126="N",LOOKUP(T126,'HS250-DATA'!C$7:C$10,'HS250-DATA'!D$7:D$10),IF(U126="Y",LOOKUP(T126,'HS250-DATA'!C$22:C$25,'HS250-DATA'!D$22:D$25),"FAN?")),IF(U126="N",LOOKUP(T126,'HS250-DATA'!C$14:C$17,'HS250-DATA'!D$14:D$17),IF(U126="Y",LOOKUP(T126,'HS250-DATA'!C$29:C$32,'HS250-DATA'!D$29:D$32),"FAN?")))</f>
        <v>0.25</v>
      </c>
      <c r="W126" s="1602">
        <f>(G126*H126)^2*Q126*10^-3+G126*P126</f>
        <v>92.857142857142861</v>
      </c>
      <c r="X126" s="1602">
        <f>D126*W126</f>
        <v>185.71428571428572</v>
      </c>
      <c r="Y126" s="1602">
        <f>IF(A126=3,W126*6,IF(A126=1,W126*4,W126))</f>
        <v>557.14285714285711</v>
      </c>
      <c r="Z126" s="1579">
        <f>O126-5</f>
        <v>120</v>
      </c>
      <c r="AA126" s="1602">
        <f>D126*W126*V126+AB126</f>
        <v>101.42857142857143</v>
      </c>
      <c r="AB126" s="1588">
        <v>55</v>
      </c>
      <c r="AC126" s="1570"/>
      <c r="AD126" s="1564">
        <f>Q126*10^-3*H126^2</f>
        <v>1.7669999999999997E-3</v>
      </c>
      <c r="AE126" s="1634">
        <f>P126</f>
        <v>0.81899999999999995</v>
      </c>
      <c r="AF126" s="1635">
        <f>(AB126-Z126)/(R126+S126+D126*V126)</f>
        <v>-92.857142857142861</v>
      </c>
      <c r="AG126" s="1636">
        <f>AE126^2-4*AD126*AF126</f>
        <v>1.3270752857142856</v>
      </c>
      <c r="AH126" s="1741">
        <f>SUM(AJ126:AL126)</f>
        <v>309.77999999999997</v>
      </c>
      <c r="AI126" s="1607"/>
      <c r="AJ126" s="1733">
        <f>C126*LOOKUP(T126,'HS250-DATA'!C$7:C$10,'HS250-DATA'!F$7:F$10)</f>
        <v>84.78</v>
      </c>
      <c r="AK126" s="1733">
        <f>IF(U126="Y",C126*12,0)</f>
        <v>0</v>
      </c>
      <c r="AL126" s="1733">
        <f>C126*E126*VLOOKUP(K126,'SCR-Diode DATA'!D$7:M$43,10,FALSE)</f>
        <v>225</v>
      </c>
      <c r="AM126" s="507">
        <f>AH126/F126</f>
        <v>1.0958993935322279</v>
      </c>
    </row>
    <row r="127" spans="1:39" ht="18.75">
      <c r="A127" s="1598">
        <v>1</v>
      </c>
      <c r="B127" s="1533">
        <f t="shared" si="71"/>
        <v>4</v>
      </c>
      <c r="C127" s="1600">
        <v>1</v>
      </c>
      <c r="D127" s="1575">
        <f>B127/C127</f>
        <v>4</v>
      </c>
      <c r="E127" s="1575">
        <v>2</v>
      </c>
      <c r="F127" s="1611">
        <f>IF(A127=3,3*G127,IF(A127=1,2*G127,IF(A127="bd",1*G127,IF(A127="fwd",1,"Error"))))</f>
        <v>138.77501845526734</v>
      </c>
      <c r="G127" s="1582">
        <f>(-AE127+SQRT(AG127))/2/AD127</f>
        <v>69.387509227633672</v>
      </c>
      <c r="H127" s="1583">
        <f>IF(A127=3,SQRT(3),IF(A127=1,SQRT(2),1))</f>
        <v>1.4142135623730951</v>
      </c>
      <c r="I127" s="1594">
        <f>H127*G127</f>
        <v>98.128756609007823</v>
      </c>
      <c r="J127" s="1680" t="s">
        <v>552</v>
      </c>
      <c r="K127" s="1418" t="s">
        <v>556</v>
      </c>
      <c r="L127" s="1419">
        <v>250</v>
      </c>
      <c r="M127" s="1419">
        <v>393</v>
      </c>
      <c r="N127" s="1419">
        <v>8800</v>
      </c>
      <c r="O127" s="1412">
        <v>125</v>
      </c>
      <c r="P127" s="1416">
        <v>0.81899999999999995</v>
      </c>
      <c r="Q127" s="1416">
        <v>0.58899999999999997</v>
      </c>
      <c r="R127" s="1416">
        <v>0.14000000000000001</v>
      </c>
      <c r="S127" s="1687">
        <v>0.06</v>
      </c>
      <c r="T127" s="1624">
        <v>15</v>
      </c>
      <c r="U127" s="1616" t="s">
        <v>642</v>
      </c>
      <c r="V127" s="1622">
        <f>IF(E127=1,IF(U127="N",LOOKUP(T127,'HS250-DATA'!C$7:C$10,'HS250-DATA'!D$7:D$10),IF(U127="Y",LOOKUP(T127,'HS250-DATA'!C$22:C$25,'HS250-DATA'!D$22:D$25),"FAN?")),IF(U127="N",LOOKUP(T127,'HS250-DATA'!C$14:C$17,'HS250-DATA'!D$14:D$17),IF(U127="Y",LOOKUP(T127,'HS250-DATA'!C$29:C$32,'HS250-DATA'!D$29:D$32),"FAN?")))</f>
        <v>0.21</v>
      </c>
      <c r="W127" s="1602">
        <f>(G127*H127)^2*Q127*10^-3+G127*P127</f>
        <v>62.499999999999986</v>
      </c>
      <c r="X127" s="1602">
        <f>D127*W127</f>
        <v>249.99999999999994</v>
      </c>
      <c r="Y127" s="1602">
        <f>IF(A127=3,W127*6,IF(A127=1,W127*4,W127))</f>
        <v>249.99999999999994</v>
      </c>
      <c r="Z127" s="1579">
        <f>O127-5</f>
        <v>120</v>
      </c>
      <c r="AA127" s="1602">
        <f>D127*W127*V127+AB127</f>
        <v>107.49999999999999</v>
      </c>
      <c r="AB127" s="1588">
        <v>55</v>
      </c>
      <c r="AC127" s="1570"/>
      <c r="AD127" s="1564">
        <f>Q127*10^-3*H127^2</f>
        <v>1.1780000000000002E-3</v>
      </c>
      <c r="AE127" s="1634">
        <f>P127</f>
        <v>0.81899999999999995</v>
      </c>
      <c r="AF127" s="1635">
        <f>(AB127-Z127)/(R127+S127+D127*V127)</f>
        <v>-62.5</v>
      </c>
      <c r="AG127" s="1636">
        <f>AE127^2-4*AD127*AF127</f>
        <v>0.96526099999999992</v>
      </c>
      <c r="AH127" s="1741">
        <f>SUM(AJ127:AL127)</f>
        <v>178.26</v>
      </c>
      <c r="AI127" s="1607"/>
      <c r="AJ127" s="1733">
        <f>C127*LOOKUP(T127,'HS250-DATA'!C$7:C$10,'HS250-DATA'!F$7:F$10)</f>
        <v>28.26</v>
      </c>
      <c r="AK127" s="1733">
        <f>IF(U127="Y",C127*12,0)</f>
        <v>0</v>
      </c>
      <c r="AL127" s="1733">
        <f>C127*E127*VLOOKUP(K127,'SCR-Diode DATA'!D$7:M$43,10,FALSE)</f>
        <v>150</v>
      </c>
      <c r="AM127" s="507">
        <f>AH127/F127</f>
        <v>1.2845251399297073</v>
      </c>
    </row>
    <row r="128" spans="1:39" ht="18.75">
      <c r="A128" s="1598">
        <v>1</v>
      </c>
      <c r="B128" s="1533">
        <f t="shared" si="71"/>
        <v>4</v>
      </c>
      <c r="C128" s="1600">
        <v>2</v>
      </c>
      <c r="D128" s="1575">
        <f>B128/C128</f>
        <v>2</v>
      </c>
      <c r="E128" s="1575">
        <v>1</v>
      </c>
      <c r="F128" s="1611">
        <f>IF(A128=3,3*G128,IF(A128=1,2*G128,IF(A128="bd",1*G128,IF(A128="fwd",1,"Error"))))</f>
        <v>198.43812713834575</v>
      </c>
      <c r="G128" s="1582">
        <f>(-AE128+SQRT(AG128))/2/AD128</f>
        <v>99.219063569172874</v>
      </c>
      <c r="H128" s="1583">
        <f>IF(A128=3,SQRT(3),IF(A128=1,SQRT(2),1))</f>
        <v>1.4142135623730951</v>
      </c>
      <c r="I128" s="1594">
        <f>H128*G128</f>
        <v>140.31694534548257</v>
      </c>
      <c r="J128" s="1680" t="s">
        <v>552</v>
      </c>
      <c r="K128" s="1418" t="s">
        <v>556</v>
      </c>
      <c r="L128" s="1419">
        <v>250</v>
      </c>
      <c r="M128" s="1419">
        <v>393</v>
      </c>
      <c r="N128" s="1419">
        <v>8800</v>
      </c>
      <c r="O128" s="1412">
        <v>125</v>
      </c>
      <c r="P128" s="1416">
        <v>0.81899999999999995</v>
      </c>
      <c r="Q128" s="1416">
        <v>0.58899999999999997</v>
      </c>
      <c r="R128" s="1416">
        <v>0.14000000000000001</v>
      </c>
      <c r="S128" s="1687">
        <v>0.06</v>
      </c>
      <c r="T128" s="1624">
        <v>15</v>
      </c>
      <c r="U128" s="1616" t="s">
        <v>642</v>
      </c>
      <c r="V128" s="1622">
        <f>IF(E128=1,IF(U128="N",LOOKUP(T128,'HS250-DATA'!C$7:C$10,'HS250-DATA'!D$7:D$10),IF(U128="Y",LOOKUP(T128,'HS250-DATA'!C$22:C$25,'HS250-DATA'!D$22:D$25),"FAN?")),IF(U128="N",LOOKUP(T128,'HS250-DATA'!C$14:C$17,'HS250-DATA'!D$14:D$17),IF(U128="Y",LOOKUP(T128,'HS250-DATA'!C$29:C$32,'HS250-DATA'!D$29:D$32),"FAN?")))</f>
        <v>0.25</v>
      </c>
      <c r="W128" s="1602">
        <f>(G128*H128)^2*Q128*10^-3+G128*P128</f>
        <v>92.857142857142904</v>
      </c>
      <c r="X128" s="1602">
        <f>D128*W128</f>
        <v>185.71428571428581</v>
      </c>
      <c r="Y128" s="1602">
        <f>IF(A128=3,W128*6,IF(A128=1,W128*4,W128))</f>
        <v>371.42857142857162</v>
      </c>
      <c r="Z128" s="1579">
        <f>O128-5</f>
        <v>120</v>
      </c>
      <c r="AA128" s="1602">
        <f>D128*W128*V128+AB128</f>
        <v>101.42857142857144</v>
      </c>
      <c r="AB128" s="1588">
        <v>55</v>
      </c>
      <c r="AC128" s="1570"/>
      <c r="AD128" s="1564">
        <f>Q128*10^-3*H128^2</f>
        <v>1.1780000000000002E-3</v>
      </c>
      <c r="AE128" s="1634">
        <f>P128</f>
        <v>0.81899999999999995</v>
      </c>
      <c r="AF128" s="1635">
        <f>(AB128-Z128)/(R128+S128+D128*V128)</f>
        <v>-92.857142857142861</v>
      </c>
      <c r="AG128" s="1636">
        <f>AE128^2-4*AD128*AF128</f>
        <v>1.1083038571428572</v>
      </c>
      <c r="AH128" s="1741">
        <f>SUM(AJ128:AL128)</f>
        <v>206.52</v>
      </c>
      <c r="AI128" s="1607"/>
      <c r="AJ128" s="1733">
        <f>C128*LOOKUP(T128,'HS250-DATA'!C$7:C$10,'HS250-DATA'!F$7:F$10)</f>
        <v>56.52</v>
      </c>
      <c r="AK128" s="1733">
        <f>IF(U128="Y",C128*12,0)</f>
        <v>0</v>
      </c>
      <c r="AL128" s="1733">
        <f>C128*E128*VLOOKUP(K128,'SCR-Diode DATA'!D$7:M$43,10,FALSE)</f>
        <v>150</v>
      </c>
      <c r="AM128" s="507">
        <f>AH128/F128</f>
        <v>1.04072741956499</v>
      </c>
    </row>
    <row r="129" spans="1:39" ht="18.75">
      <c r="A129" s="1598"/>
      <c r="B129" s="1533"/>
      <c r="C129" s="1600"/>
      <c r="D129" s="1575"/>
      <c r="E129" s="1575"/>
      <c r="F129" s="1611"/>
      <c r="G129" s="1582"/>
      <c r="H129" s="1583"/>
      <c r="I129" s="1594"/>
      <c r="J129" s="1680"/>
      <c r="K129" s="1418"/>
      <c r="L129" s="1419"/>
      <c r="M129" s="1419"/>
      <c r="N129" s="1419"/>
      <c r="O129" s="1412"/>
      <c r="P129" s="1416"/>
      <c r="Q129" s="1416"/>
      <c r="R129" s="1416"/>
      <c r="S129" s="1687"/>
      <c r="T129" s="1624"/>
      <c r="U129" s="1616"/>
      <c r="V129" s="1622"/>
      <c r="W129" s="1602"/>
      <c r="X129" s="1602"/>
      <c r="Y129" s="1602"/>
      <c r="Z129" s="1579"/>
      <c r="AA129" s="1602"/>
      <c r="AB129" s="1588"/>
      <c r="AC129" s="1570"/>
      <c r="AD129" s="1564"/>
      <c r="AE129" s="1634"/>
      <c r="AF129" s="1635"/>
      <c r="AG129" s="1636"/>
      <c r="AH129" s="1742"/>
      <c r="AI129" s="1607"/>
      <c r="AJ129" s="1607"/>
      <c r="AK129" s="1607"/>
      <c r="AL129" s="1733"/>
      <c r="AM129" s="1743"/>
    </row>
    <row r="130" spans="1:39" ht="18.75">
      <c r="A130" s="1598">
        <v>3</v>
      </c>
      <c r="B130" s="1533">
        <f t="shared" si="71"/>
        <v>6</v>
      </c>
      <c r="C130" s="1600">
        <v>1</v>
      </c>
      <c r="D130" s="1575">
        <f>B130/C130</f>
        <v>6</v>
      </c>
      <c r="E130" s="1575">
        <v>3</v>
      </c>
      <c r="F130" s="1611">
        <f>IF(A130=3,3*G130,IF(A130=1,2*G130,IF(A130="bd",1*G130,IF(A130="fwd",1,"Error"))))</f>
        <v>167.85801528938305</v>
      </c>
      <c r="G130" s="1582">
        <f>(-AE130+SQRT(AG130))/2/AD130</f>
        <v>55.952671763127682</v>
      </c>
      <c r="H130" s="1583">
        <f>IF(A130=3,SQRT(3),IF(A130=1,SQRT(2),1))</f>
        <v>1.7320508075688772</v>
      </c>
      <c r="I130" s="1594">
        <f>H130*G130</f>
        <v>96.912870312961616</v>
      </c>
      <c r="J130" s="1680" t="s">
        <v>548</v>
      </c>
      <c r="K130" s="1418" t="s">
        <v>470</v>
      </c>
      <c r="L130" s="1419">
        <v>500</v>
      </c>
      <c r="M130" s="1419">
        <v>900</v>
      </c>
      <c r="N130" s="1419">
        <v>16300</v>
      </c>
      <c r="O130" s="1412">
        <v>125</v>
      </c>
      <c r="P130" s="1416">
        <v>0.81</v>
      </c>
      <c r="Q130" s="1416">
        <v>0.32</v>
      </c>
      <c r="R130" s="1416">
        <v>6.5000000000000002E-2</v>
      </c>
      <c r="S130" s="1687">
        <v>0.02</v>
      </c>
      <c r="T130" s="1624">
        <v>15</v>
      </c>
      <c r="U130" s="1616" t="s">
        <v>642</v>
      </c>
      <c r="V130" s="1622">
        <f>IF(E130=1,IF(U130="N",LOOKUP(T130,'HS250-DATA'!C$7:C$10,'HS250-DATA'!D$7:D$10),IF(U130="Y",LOOKUP(T130,'HS250-DATA'!C$22:C$25,'HS250-DATA'!D$22:D$25),"FAN?")),IF(U130="N",LOOKUP(T130,'HS250-DATA'!C$14:C$17,'HS250-DATA'!D$14:D$17),IF(U130="Y",LOOKUP(T130,'HS250-DATA'!C$29:C$32,'HS250-DATA'!D$29:D$32),"FAN?")))</f>
        <v>0.21</v>
      </c>
      <c r="W130" s="1602">
        <f>(G130*H130)^2*Q130*10^-3+G130*P130</f>
        <v>48.327137546468443</v>
      </c>
      <c r="X130" s="1602">
        <f>D130*W130</f>
        <v>289.96282527881067</v>
      </c>
      <c r="Y130" s="1602">
        <f>IF(A130=3,W130*6,IF(A130=1,W130*4,W130))</f>
        <v>289.96282527881067</v>
      </c>
      <c r="Z130" s="1579">
        <f>O130-5</f>
        <v>120</v>
      </c>
      <c r="AA130" s="1602">
        <f>D130*W130*V130+AB130</f>
        <v>115.89219330855025</v>
      </c>
      <c r="AB130" s="1588">
        <v>55</v>
      </c>
      <c r="AC130" s="1570"/>
      <c r="AD130" s="1564">
        <f>Q130*10^-3*H130^2</f>
        <v>9.5999999999999992E-4</v>
      </c>
      <c r="AE130" s="1634">
        <f>P130</f>
        <v>0.81</v>
      </c>
      <c r="AF130" s="1635">
        <f>(AB130-Z130)/(R130+S130+D130*V130)</f>
        <v>-48.3271375464684</v>
      </c>
      <c r="AG130" s="1636">
        <f>AE130^2-4*AD130*AF130</f>
        <v>0.8416762081784388</v>
      </c>
      <c r="AH130" s="1741">
        <f>SUM(AJ130:AL130)</f>
        <v>433.26</v>
      </c>
      <c r="AI130" s="1607"/>
      <c r="AJ130" s="1733">
        <f>C130*LOOKUP(T130,'HS250-DATA'!C$7:C$10,'HS250-DATA'!F$7:F$10)</f>
        <v>28.26</v>
      </c>
      <c r="AK130" s="1733">
        <f>IF(U130="Y",C130*12,0)</f>
        <v>0</v>
      </c>
      <c r="AL130" s="1733">
        <f>C130*E130*VLOOKUP(K130,'SCR-Diode DATA'!D$7:M$43,10,FALSE)</f>
        <v>405</v>
      </c>
      <c r="AM130" s="507">
        <f>AH130/F130</f>
        <v>2.5811099890170301</v>
      </c>
    </row>
    <row r="131" spans="1:39" ht="18.75">
      <c r="A131" s="1598">
        <v>3</v>
      </c>
      <c r="B131" s="1533">
        <f t="shared" si="71"/>
        <v>6</v>
      </c>
      <c r="C131" s="1600">
        <v>3</v>
      </c>
      <c r="D131" s="1575">
        <f>B131/C131</f>
        <v>2</v>
      </c>
      <c r="E131" s="1575">
        <v>1</v>
      </c>
      <c r="F131" s="1611">
        <f>IF(A131=3,3*G131,IF(A131=1,2*G131,IF(A131="bd",1*G131,IF(A131="fwd",1,"Error"))))</f>
        <v>360.25116603838131</v>
      </c>
      <c r="G131" s="1582">
        <f>(-AE131+SQRT(AG131))/2/AD131</f>
        <v>120.08372201279377</v>
      </c>
      <c r="H131" s="1583">
        <f>IF(A131=3,SQRT(3),IF(A131=1,SQRT(2),1))</f>
        <v>1.7320508075688772</v>
      </c>
      <c r="I131" s="1594">
        <f>H131*G131</f>
        <v>207.991107688136</v>
      </c>
      <c r="J131" s="1680" t="s">
        <v>548</v>
      </c>
      <c r="K131" s="1418" t="s">
        <v>470</v>
      </c>
      <c r="L131" s="1419">
        <v>500</v>
      </c>
      <c r="M131" s="1419">
        <v>900</v>
      </c>
      <c r="N131" s="1419">
        <v>16300</v>
      </c>
      <c r="O131" s="1412">
        <v>125</v>
      </c>
      <c r="P131" s="1416">
        <v>0.81</v>
      </c>
      <c r="Q131" s="1416">
        <v>0.32</v>
      </c>
      <c r="R131" s="1416">
        <v>6.5000000000000002E-2</v>
      </c>
      <c r="S131" s="1687">
        <v>0.02</v>
      </c>
      <c r="T131" s="1624">
        <v>15</v>
      </c>
      <c r="U131" s="1616" t="s">
        <v>642</v>
      </c>
      <c r="V131" s="1622">
        <f>IF(E131=1,IF(U131="N",LOOKUP(T131,'HS250-DATA'!C$7:C$10,'HS250-DATA'!D$7:D$10),IF(U131="Y",LOOKUP(T131,'HS250-DATA'!C$22:C$25,'HS250-DATA'!D$22:D$25),"FAN?")),IF(U131="N",LOOKUP(T131,'HS250-DATA'!C$14:C$17,'HS250-DATA'!D$14:D$17),IF(U131="Y",LOOKUP(T131,'HS250-DATA'!C$29:C$32,'HS250-DATA'!D$29:D$32),"FAN?")))</f>
        <v>0.25</v>
      </c>
      <c r="W131" s="1602">
        <f>(G131*H131)^2*Q131*10^-3+G131*P131</f>
        <v>111.11111111111106</v>
      </c>
      <c r="X131" s="1602">
        <f>D131*W131</f>
        <v>222.22222222222211</v>
      </c>
      <c r="Y131" s="1602">
        <f>IF(A131=3,W131*6,IF(A131=1,W131*4,W131))</f>
        <v>666.66666666666629</v>
      </c>
      <c r="Z131" s="1579">
        <f>O131-5</f>
        <v>120</v>
      </c>
      <c r="AA131" s="1602">
        <f>D131*W131*V131+AB131</f>
        <v>110.55555555555553</v>
      </c>
      <c r="AB131" s="1588">
        <v>55</v>
      </c>
      <c r="AC131" s="1570"/>
      <c r="AD131" s="1564">
        <f>Q131*10^-3*H131^2</f>
        <v>9.5999999999999992E-4</v>
      </c>
      <c r="AE131" s="1634">
        <f>P131</f>
        <v>0.81</v>
      </c>
      <c r="AF131" s="1635">
        <f>(AB131-Z131)/(R131+S131+D131*V131)</f>
        <v>-111.11111111111111</v>
      </c>
      <c r="AG131" s="1636">
        <f>AE131^2-4*AD131*AF131</f>
        <v>1.0827666666666667</v>
      </c>
      <c r="AH131" s="1741">
        <f>SUM(AJ131:AL131)</f>
        <v>489.78</v>
      </c>
      <c r="AI131" s="1607"/>
      <c r="AJ131" s="1733">
        <f>C131*LOOKUP(T131,'HS250-DATA'!C$7:C$10,'HS250-DATA'!F$7:F$10)</f>
        <v>84.78</v>
      </c>
      <c r="AK131" s="1733">
        <f>IF(U131="Y",C131*12,0)</f>
        <v>0</v>
      </c>
      <c r="AL131" s="1733">
        <f>C131*E131*VLOOKUP(K131,'SCR-Diode DATA'!D$7:M$43,10,FALSE)</f>
        <v>405</v>
      </c>
      <c r="AM131" s="507">
        <f>AH131/F131</f>
        <v>1.359551463458188</v>
      </c>
    </row>
    <row r="132" spans="1:39" ht="18.75">
      <c r="A132" s="1598"/>
      <c r="B132" s="1533"/>
      <c r="C132" s="1600"/>
      <c r="D132" s="1575"/>
      <c r="E132" s="1575"/>
      <c r="F132" s="1611"/>
      <c r="G132" s="1582"/>
      <c r="H132" s="1583"/>
      <c r="I132" s="1594"/>
      <c r="J132" s="1680"/>
      <c r="K132" s="1418"/>
      <c r="L132" s="1419"/>
      <c r="M132" s="1419"/>
      <c r="N132" s="1419"/>
      <c r="O132" s="1412"/>
      <c r="P132" s="1416"/>
      <c r="Q132" s="1416"/>
      <c r="R132" s="1416"/>
      <c r="S132" s="1687"/>
      <c r="T132" s="1624"/>
      <c r="U132" s="1616"/>
      <c r="V132" s="1622"/>
      <c r="W132" s="1602"/>
      <c r="X132" s="1602"/>
      <c r="Y132" s="1602"/>
      <c r="Z132" s="1579"/>
      <c r="AA132" s="1602"/>
      <c r="AB132" s="1588"/>
      <c r="AC132" s="1570"/>
      <c r="AD132" s="1564"/>
      <c r="AE132" s="1634"/>
      <c r="AF132" s="1635"/>
      <c r="AG132" s="1636"/>
      <c r="AH132" s="1742"/>
      <c r="AI132" s="1607"/>
      <c r="AJ132" s="1607"/>
      <c r="AK132" s="1607"/>
      <c r="AL132" s="1733"/>
      <c r="AM132" s="1743"/>
    </row>
    <row r="133" spans="1:39" ht="18.75">
      <c r="A133" s="1598">
        <v>3</v>
      </c>
      <c r="B133" s="1533">
        <f t="shared" si="71"/>
        <v>6</v>
      </c>
      <c r="C133" s="1600">
        <v>1</v>
      </c>
      <c r="D133" s="1575">
        <f>B133/C133</f>
        <v>6</v>
      </c>
      <c r="E133" s="1575">
        <v>3</v>
      </c>
      <c r="F133" s="1611">
        <f>IF(A133=3,3*G133,IF(A133=1,2*G133,IF(A133="bd",1*G133,IF(A133="fwd",1,"Error"))))</f>
        <v>197.42062793052415</v>
      </c>
      <c r="G133" s="1582">
        <f>(-AE133+SQRT(AG133))/2/AD133</f>
        <v>65.806875976841383</v>
      </c>
      <c r="H133" s="1583">
        <f>IF(A133=3,SQRT(3),IF(A133=1,SQRT(2),1))</f>
        <v>1.7320508075688772</v>
      </c>
      <c r="I133" s="1594">
        <f>H133*G133</f>
        <v>113.98085267927306</v>
      </c>
      <c r="J133" s="1680" t="s">
        <v>548</v>
      </c>
      <c r="K133" s="1418" t="s">
        <v>471</v>
      </c>
      <c r="L133" s="1419">
        <v>700</v>
      </c>
      <c r="M133" s="1419">
        <v>1100</v>
      </c>
      <c r="N133" s="1419">
        <v>36500</v>
      </c>
      <c r="O133" s="1412">
        <v>125</v>
      </c>
      <c r="P133" s="1416">
        <v>0.70299999999999996</v>
      </c>
      <c r="Q133" s="1416">
        <v>0.184</v>
      </c>
      <c r="R133" s="1416">
        <v>5.8000000000000003E-2</v>
      </c>
      <c r="S133" s="1687">
        <v>1.7999999999999999E-2</v>
      </c>
      <c r="T133" s="1624">
        <v>15</v>
      </c>
      <c r="U133" s="1616" t="s">
        <v>642</v>
      </c>
      <c r="V133" s="1622">
        <f>IF(E133=1,IF(U133="N",LOOKUP(T133,'HS250-DATA'!C$7:C$10,'HS250-DATA'!D$7:D$10),IF(U133="Y",LOOKUP(T133,'HS250-DATA'!C$22:C$25,'HS250-DATA'!D$22:D$25),"FAN?")),IF(U133="N",LOOKUP(T133,'HS250-DATA'!C$14:C$17,'HS250-DATA'!D$14:D$17),IF(U133="Y",LOOKUP(T133,'HS250-DATA'!C$29:C$32,'HS250-DATA'!D$29:D$32),"FAN?")))</f>
        <v>0.21</v>
      </c>
      <c r="W133" s="1602">
        <f>(G133*H133)^2*Q133*10^-3+G133*P133</f>
        <v>48.652694610778411</v>
      </c>
      <c r="X133" s="1602">
        <f>D133*W133</f>
        <v>291.91616766467047</v>
      </c>
      <c r="Y133" s="1602">
        <f>IF(A133=3,W133*6,IF(A133=1,W133*4,W133))</f>
        <v>291.91616766467047</v>
      </c>
      <c r="Z133" s="1579">
        <f>O133-5</f>
        <v>120</v>
      </c>
      <c r="AA133" s="1602">
        <f>D133*W133*V133+AB133</f>
        <v>116.30239520958079</v>
      </c>
      <c r="AB133" s="1588">
        <v>55</v>
      </c>
      <c r="AC133" s="1570"/>
      <c r="AD133" s="1564">
        <f>Q133*10^-3*H133^2</f>
        <v>5.5199999999999986E-4</v>
      </c>
      <c r="AE133" s="1634">
        <f>P133</f>
        <v>0.70299999999999996</v>
      </c>
      <c r="AF133" s="1635">
        <f>(AB133-Z133)/(R133+S133+D133*V133)</f>
        <v>-48.65269461077844</v>
      </c>
      <c r="AG133" s="1636">
        <f>AE133^2-4*AD133*AF133</f>
        <v>0.6016341497005987</v>
      </c>
      <c r="AH133" s="1741">
        <f>SUM(AJ133:AL133)</f>
        <v>1003.26</v>
      </c>
      <c r="AI133" s="1607"/>
      <c r="AJ133" s="1733">
        <f>C133*LOOKUP(T133,'HS250-DATA'!C$7:C$10,'HS250-DATA'!F$7:F$10)</f>
        <v>28.26</v>
      </c>
      <c r="AK133" s="1733">
        <f>IF(U133="Y",C133*12,0)</f>
        <v>0</v>
      </c>
      <c r="AL133" s="1733">
        <f>C133*E133*VLOOKUP(K133,'SCR-Diode DATA'!D$7:M$43,10,FALSE)</f>
        <v>975</v>
      </c>
      <c r="AM133" s="507">
        <f>AH133/F133</f>
        <v>5.0818397779236379</v>
      </c>
    </row>
    <row r="134" spans="1:39" ht="18.75">
      <c r="A134" s="1598">
        <v>3</v>
      </c>
      <c r="B134" s="1533">
        <f t="shared" si="71"/>
        <v>6</v>
      </c>
      <c r="C134" s="1600">
        <v>3</v>
      </c>
      <c r="D134" s="1575">
        <f>B134/C134</f>
        <v>2</v>
      </c>
      <c r="E134" s="1575">
        <v>1</v>
      </c>
      <c r="F134" s="1611">
        <f>IF(A134=3,3*G134,IF(A134=1,2*G134,IF(A134="bd",1*G134,IF(A134="fwd",1,"Error"))))</f>
        <v>432.58793639675883</v>
      </c>
      <c r="G134" s="1582">
        <f>(-AE134+SQRT(AG134))/2/AD134</f>
        <v>144.19597879891961</v>
      </c>
      <c r="H134" s="1583">
        <f>IF(A134=3,SQRT(3),IF(A134=1,SQRT(2),1))</f>
        <v>1.7320508075688772</v>
      </c>
      <c r="I134" s="1594">
        <f>H134*G134</f>
        <v>249.7547615268534</v>
      </c>
      <c r="J134" s="1680" t="s">
        <v>548</v>
      </c>
      <c r="K134" s="1418" t="s">
        <v>471</v>
      </c>
      <c r="L134" s="1419">
        <v>700</v>
      </c>
      <c r="M134" s="1419">
        <v>1100</v>
      </c>
      <c r="N134" s="1419">
        <v>36500</v>
      </c>
      <c r="O134" s="1412">
        <v>125</v>
      </c>
      <c r="P134" s="1416">
        <v>0.70299999999999996</v>
      </c>
      <c r="Q134" s="1416">
        <v>0.184</v>
      </c>
      <c r="R134" s="1416">
        <v>5.8000000000000003E-2</v>
      </c>
      <c r="S134" s="1687">
        <v>1.7999999999999999E-2</v>
      </c>
      <c r="T134" s="1624">
        <v>15</v>
      </c>
      <c r="U134" s="1616" t="s">
        <v>642</v>
      </c>
      <c r="V134" s="1622">
        <f>IF(E134=1,IF(U134="N",LOOKUP(T134,'HS250-DATA'!C$7:C$10,'HS250-DATA'!D$7:D$10),IF(U134="Y",LOOKUP(T134,'HS250-DATA'!C$22:C$25,'HS250-DATA'!D$22:D$25),"FAN?")),IF(U134="N",LOOKUP(T134,'HS250-DATA'!C$14:C$17,'HS250-DATA'!D$14:D$17),IF(U134="Y",LOOKUP(T134,'HS250-DATA'!C$29:C$32,'HS250-DATA'!D$29:D$32),"FAN?")))</f>
        <v>0.25</v>
      </c>
      <c r="W134" s="1602">
        <f>(G134*H134)^2*Q134*10^-3+G134*P134</f>
        <v>112.8472222222222</v>
      </c>
      <c r="X134" s="1602">
        <f>D134*W134</f>
        <v>225.6944444444444</v>
      </c>
      <c r="Y134" s="1602">
        <f>IF(A134=3,W134*6,IF(A134=1,W134*4,W134))</f>
        <v>677.08333333333326</v>
      </c>
      <c r="Z134" s="1579">
        <f>O134-5</f>
        <v>120</v>
      </c>
      <c r="AA134" s="1602">
        <f>D134*W134*V134+AB134</f>
        <v>111.4236111111111</v>
      </c>
      <c r="AB134" s="1588">
        <v>55</v>
      </c>
      <c r="AC134" s="1570"/>
      <c r="AD134" s="1564">
        <f>Q134*10^-3*H134^2</f>
        <v>5.5199999999999986E-4</v>
      </c>
      <c r="AE134" s="1634">
        <f>P134</f>
        <v>0.70299999999999996</v>
      </c>
      <c r="AF134" s="1635">
        <f>(AB134-Z134)/(R134+S134+D134*V134)</f>
        <v>-112.84722222222223</v>
      </c>
      <c r="AG134" s="1636">
        <f>AE134^2-4*AD134*AF134</f>
        <v>0.74337566666666655</v>
      </c>
      <c r="AH134" s="1741">
        <f>SUM(AJ134:AL134)</f>
        <v>1059.78</v>
      </c>
      <c r="AI134" s="1607"/>
      <c r="AJ134" s="1733">
        <f>C134*LOOKUP(T134,'HS250-DATA'!C$7:C$10,'HS250-DATA'!F$7:F$10)</f>
        <v>84.78</v>
      </c>
      <c r="AK134" s="1733">
        <f>IF(U134="Y",C134*12,0)</f>
        <v>0</v>
      </c>
      <c r="AL134" s="1733">
        <f>C134*E134*VLOOKUP(K134,'SCR-Diode DATA'!D$7:M$43,10,FALSE)</f>
        <v>975</v>
      </c>
      <c r="AM134" s="507">
        <f>AH134/F134</f>
        <v>2.4498602730983148</v>
      </c>
    </row>
    <row r="135" spans="1:39" ht="18.75">
      <c r="A135" s="1598"/>
      <c r="B135" s="1533"/>
      <c r="C135" s="1600"/>
      <c r="D135" s="1575"/>
      <c r="E135" s="1575"/>
      <c r="F135" s="1611"/>
      <c r="G135" s="1582"/>
      <c r="H135" s="1583"/>
      <c r="I135" s="1594"/>
      <c r="J135" s="1680"/>
      <c r="K135" s="1418"/>
      <c r="L135" s="1419"/>
      <c r="M135" s="1419"/>
      <c r="N135" s="1419"/>
      <c r="O135" s="1412"/>
      <c r="P135" s="1416"/>
      <c r="Q135" s="1416"/>
      <c r="R135" s="1416"/>
      <c r="S135" s="1687"/>
      <c r="T135" s="1624"/>
      <c r="U135" s="1616"/>
      <c r="V135" s="1622"/>
      <c r="W135" s="1602"/>
      <c r="X135" s="1602"/>
      <c r="Y135" s="1602"/>
      <c r="Z135" s="1579"/>
      <c r="AA135" s="1602"/>
      <c r="AB135" s="1588"/>
      <c r="AC135" s="1570"/>
      <c r="AD135" s="1564"/>
      <c r="AE135" s="1634"/>
      <c r="AF135" s="1635"/>
      <c r="AG135" s="1636"/>
      <c r="AH135" s="1742"/>
      <c r="AI135" s="1607"/>
      <c r="AJ135" s="1607"/>
      <c r="AK135" s="1607"/>
      <c r="AL135" s="1733"/>
      <c r="AM135" s="1743"/>
    </row>
    <row r="136" spans="1:39" ht="18.75">
      <c r="A136" s="1598">
        <v>3</v>
      </c>
      <c r="B136" s="1533">
        <f t="shared" si="71"/>
        <v>6</v>
      </c>
      <c r="C136" s="1600">
        <v>1</v>
      </c>
      <c r="D136" s="1575">
        <f>B136/C136</f>
        <v>6</v>
      </c>
      <c r="E136" s="1575">
        <v>6</v>
      </c>
      <c r="F136" s="1611">
        <f>IF(A136=3,3*G136,IF(A136=1,2*G136,IF(A136="bd",1*G136,IF(A136="fwd",1,"Error"))))</f>
        <v>211.64012670827992</v>
      </c>
      <c r="G136" s="1582">
        <f>(-AE136+SQRT(AG136))/2/AD136</f>
        <v>70.546708902759974</v>
      </c>
      <c r="H136" s="1583">
        <f>IF(A136=3,SQRT(3),IF(A136=1,SQRT(2),1))</f>
        <v>1.7320508075688772</v>
      </c>
      <c r="I136" s="1594">
        <f>H136*G136</f>
        <v>122.1904841263519</v>
      </c>
      <c r="J136" s="1680" t="s">
        <v>558</v>
      </c>
      <c r="K136" s="1418" t="s">
        <v>472</v>
      </c>
      <c r="L136" s="1419">
        <v>1500</v>
      </c>
      <c r="M136" s="1419">
        <v>2355</v>
      </c>
      <c r="N136" s="1419">
        <v>62000</v>
      </c>
      <c r="O136" s="1412">
        <v>125</v>
      </c>
      <c r="P136" s="1416">
        <v>0.69099999999999995</v>
      </c>
      <c r="Q136" s="1412">
        <v>0.10199999999999999</v>
      </c>
      <c r="R136" s="1412">
        <v>2.4E-2</v>
      </c>
      <c r="S136" s="1687">
        <v>8.9999999999999993E-3</v>
      </c>
      <c r="T136" s="1624">
        <v>15</v>
      </c>
      <c r="U136" s="1616" t="s">
        <v>642</v>
      </c>
      <c r="V136" s="1622">
        <f>IF(E136=1,IF(U136="N",LOOKUP(T136,'HS250-DATA'!C$7:C$10,'HS250-DATA'!D$7:D$10),IF(U136="Y",LOOKUP(T136,'HS250-DATA'!C$22:C$25,'HS250-DATA'!D$22:D$25),"FAN?")),IF(U136="N",LOOKUP(T136,'HS250-DATA'!C$14:C$17,'HS250-DATA'!D$14:D$17),IF(U136="Y",LOOKUP(T136,'HS250-DATA'!C$29:C$32,'HS250-DATA'!D$29:D$32),"FAN?")))</f>
        <v>0.21</v>
      </c>
      <c r="W136" s="1602">
        <f>(G136*H136)^2*Q136*10^-3+G136*P136</f>
        <v>50.270688321732429</v>
      </c>
      <c r="X136" s="1602">
        <f>D136*W136</f>
        <v>301.62412993039459</v>
      </c>
      <c r="Y136" s="1602">
        <f>IF(A136=3,W136*6,IF(A136=1,W136*4,W136))</f>
        <v>301.62412993039459</v>
      </c>
      <c r="Z136" s="1579">
        <f>O136-5</f>
        <v>120</v>
      </c>
      <c r="AA136" s="1602">
        <f>D136*W136*V136+AB136</f>
        <v>118.34106728538286</v>
      </c>
      <c r="AB136" s="1588">
        <v>55</v>
      </c>
      <c r="AC136" s="1570"/>
      <c r="AD136" s="1564">
        <f>Q136*10^-3*H136^2</f>
        <v>3.0599999999999996E-4</v>
      </c>
      <c r="AE136" s="1634">
        <f>P136</f>
        <v>0.69099999999999995</v>
      </c>
      <c r="AF136" s="1635">
        <f>(AB136-Z136)/(R136+S136+D136*V136)</f>
        <v>-50.270688321732408</v>
      </c>
      <c r="AG136" s="1636">
        <f>AE136^2-4*AD136*AF136</f>
        <v>0.53901232250580033</v>
      </c>
      <c r="AH136" s="1741">
        <f>SUM(AJ136:AL136)</f>
        <v>1168.26</v>
      </c>
      <c r="AI136" s="1607"/>
      <c r="AJ136" s="1733">
        <f>C136*LOOKUP(T136,'HS250-DATA'!C$7:C$10,'HS250-DATA'!F$7:F$10)</f>
        <v>28.26</v>
      </c>
      <c r="AK136" s="1733">
        <f>IF(U136="Y",C136*12,0)</f>
        <v>0</v>
      </c>
      <c r="AL136" s="1733">
        <f>C136*E136*VLOOKUP(K136,'SCR-Diode DATA'!D$7:M$43,10,FALSE)</f>
        <v>1140</v>
      </c>
      <c r="AM136" s="507">
        <f>AH136/F136</f>
        <v>5.5200307152069694</v>
      </c>
    </row>
    <row r="137" spans="1:39" ht="18.75">
      <c r="A137" s="1598">
        <v>3</v>
      </c>
      <c r="B137" s="1533">
        <f t="shared" si="71"/>
        <v>6</v>
      </c>
      <c r="C137" s="1600">
        <v>2</v>
      </c>
      <c r="D137" s="1575">
        <f>B137/C137</f>
        <v>3</v>
      </c>
      <c r="E137" s="1575">
        <v>3</v>
      </c>
      <c r="F137" s="1611">
        <f>IF(A137=3,3*G137,IF(A137=1,2*G137,IF(A137="bd",1*G137,IF(A137="fwd",1,"Error"))))</f>
        <v>401.80858583818872</v>
      </c>
      <c r="G137" s="1582">
        <f>(-AE137+SQRT(AG137))/2/AD137</f>
        <v>133.93619527939623</v>
      </c>
      <c r="H137" s="1583">
        <f>IF(A137=3,SQRT(3),IF(A137=1,SQRT(2),1))</f>
        <v>1.7320508075688772</v>
      </c>
      <c r="I137" s="1594">
        <f>H137*G137</f>
        <v>231.98429519638108</v>
      </c>
      <c r="J137" s="1680" t="s">
        <v>558</v>
      </c>
      <c r="K137" s="1418" t="s">
        <v>472</v>
      </c>
      <c r="L137" s="1419">
        <v>1500</v>
      </c>
      <c r="M137" s="1419">
        <v>2355</v>
      </c>
      <c r="N137" s="1419">
        <v>62000</v>
      </c>
      <c r="O137" s="1412">
        <v>125</v>
      </c>
      <c r="P137" s="1416">
        <v>0.69099999999999995</v>
      </c>
      <c r="Q137" s="1412">
        <v>0.10199999999999999</v>
      </c>
      <c r="R137" s="1412">
        <v>2.4E-2</v>
      </c>
      <c r="S137" s="1687">
        <v>8.9999999999999993E-3</v>
      </c>
      <c r="T137" s="1624">
        <v>15</v>
      </c>
      <c r="U137" s="1616" t="s">
        <v>642</v>
      </c>
      <c r="V137" s="1622">
        <f>IF(E137=1,IF(U137="N",LOOKUP(T137,'HS250-DATA'!C$7:C$10,'HS250-DATA'!D$7:D$10),IF(U137="Y",LOOKUP(T137,'HS250-DATA'!C$22:C$25,'HS250-DATA'!D$22:D$25),"FAN?")),IF(U137="N",LOOKUP(T137,'HS250-DATA'!C$14:C$17,'HS250-DATA'!D$14:D$17),IF(U137="Y",LOOKUP(T137,'HS250-DATA'!C$29:C$32,'HS250-DATA'!D$29:D$32),"FAN?")))</f>
        <v>0.21</v>
      </c>
      <c r="W137" s="1602">
        <f>(G137*H137)^2*Q137*10^-3+G137*P137</f>
        <v>98.039215686274488</v>
      </c>
      <c r="X137" s="1602">
        <f>D137*W137</f>
        <v>294.11764705882348</v>
      </c>
      <c r="Y137" s="1602">
        <f>IF(A137=3,W137*6,IF(A137=1,W137*4,W137))</f>
        <v>588.23529411764696</v>
      </c>
      <c r="Z137" s="1579">
        <f>O137-5</f>
        <v>120</v>
      </c>
      <c r="AA137" s="1602">
        <f>D137*W137*V137+AB137</f>
        <v>116.76470588235293</v>
      </c>
      <c r="AB137" s="1588">
        <v>55</v>
      </c>
      <c r="AC137" s="1570"/>
      <c r="AD137" s="1564">
        <f>Q137*10^-3*H137^2</f>
        <v>3.0599999999999996E-4</v>
      </c>
      <c r="AE137" s="1634">
        <f>P137</f>
        <v>0.69099999999999995</v>
      </c>
      <c r="AF137" s="1635">
        <f>(AB137-Z137)/(R137+S137+D137*V137)</f>
        <v>-98.039215686274503</v>
      </c>
      <c r="AG137" s="1636">
        <f>AE137^2-4*AD137*AF137</f>
        <v>0.59748099999999993</v>
      </c>
      <c r="AH137" s="1741">
        <f>SUM(AJ137:AL137)</f>
        <v>1196.52</v>
      </c>
      <c r="AI137" s="1607"/>
      <c r="AJ137" s="1733">
        <f>C137*LOOKUP(T137,'HS250-DATA'!C$7:C$10,'HS250-DATA'!F$7:F$10)</f>
        <v>56.52</v>
      </c>
      <c r="AK137" s="1733">
        <f>IF(U137="Y",C137*12,0)</f>
        <v>0</v>
      </c>
      <c r="AL137" s="1733">
        <f>C137*E137*VLOOKUP(K137,'SCR-Diode DATA'!D$7:M$43,10,FALSE)</f>
        <v>1140</v>
      </c>
      <c r="AM137" s="507">
        <f>AH137/F137</f>
        <v>2.9778358207652822</v>
      </c>
    </row>
    <row r="138" spans="1:39" ht="18.75">
      <c r="A138" s="1598">
        <v>3</v>
      </c>
      <c r="B138" s="1533">
        <f t="shared" si="71"/>
        <v>6</v>
      </c>
      <c r="C138" s="1600">
        <v>3</v>
      </c>
      <c r="D138" s="1575">
        <f>B138/C138</f>
        <v>2</v>
      </c>
      <c r="E138" s="1575">
        <v>2</v>
      </c>
      <c r="F138" s="1611">
        <f>IF(A138=3,3*G138,IF(A138=1,2*G138,IF(A138="bd",1*G138,IF(A138="fwd",1,"Error"))))</f>
        <v>574.27597759455534</v>
      </c>
      <c r="G138" s="1582">
        <f>(-AE138+SQRT(AG138))/2/AD138</f>
        <v>191.4253258648518</v>
      </c>
      <c r="H138" s="1583">
        <f>IF(A138=3,SQRT(3),IF(A138=1,SQRT(2),1))</f>
        <v>1.7320508075688772</v>
      </c>
      <c r="I138" s="1594">
        <f>H138*G138</f>
        <v>331.55839025335206</v>
      </c>
      <c r="J138" s="1680" t="s">
        <v>558</v>
      </c>
      <c r="K138" s="1418" t="s">
        <v>472</v>
      </c>
      <c r="L138" s="1419">
        <v>1500</v>
      </c>
      <c r="M138" s="1419">
        <v>2355</v>
      </c>
      <c r="N138" s="1419">
        <v>62000</v>
      </c>
      <c r="O138" s="1412">
        <v>125</v>
      </c>
      <c r="P138" s="1416">
        <v>0.69099999999999995</v>
      </c>
      <c r="Q138" s="1412">
        <v>0.10199999999999999</v>
      </c>
      <c r="R138" s="1412">
        <v>2.4E-2</v>
      </c>
      <c r="S138" s="1687">
        <v>8.9999999999999993E-3</v>
      </c>
      <c r="T138" s="1624">
        <v>15</v>
      </c>
      <c r="U138" s="1616" t="s">
        <v>642</v>
      </c>
      <c r="V138" s="1622">
        <f>IF(E138=1,IF(U138="N",LOOKUP(T138,'HS250-DATA'!C$7:C$10,'HS250-DATA'!D$7:D$10),IF(U138="Y",LOOKUP(T138,'HS250-DATA'!C$22:C$25,'HS250-DATA'!D$22:D$25),"FAN?")),IF(U138="N",LOOKUP(T138,'HS250-DATA'!C$14:C$17,'HS250-DATA'!D$14:D$17),IF(U138="Y",LOOKUP(T138,'HS250-DATA'!C$29:C$32,'HS250-DATA'!D$29:D$32),"FAN?")))</f>
        <v>0.21</v>
      </c>
      <c r="W138" s="1602">
        <f>(G138*H138)^2*Q138*10^-3+G138*P138</f>
        <v>143.48785871964677</v>
      </c>
      <c r="X138" s="1602">
        <f>D138*W138</f>
        <v>286.97571743929353</v>
      </c>
      <c r="Y138" s="1602">
        <f>IF(A138=3,W138*6,IF(A138=1,W138*4,W138))</f>
        <v>860.92715231788065</v>
      </c>
      <c r="Z138" s="1579">
        <f>O138-5</f>
        <v>120</v>
      </c>
      <c r="AA138" s="1602">
        <f>D138*W138*V138+AB138</f>
        <v>115.26490066225165</v>
      </c>
      <c r="AB138" s="1588">
        <v>55</v>
      </c>
      <c r="AC138" s="1570"/>
      <c r="AD138" s="1564">
        <f>Q138*10^-3*H138^2</f>
        <v>3.0599999999999996E-4</v>
      </c>
      <c r="AE138" s="1634">
        <f>P138</f>
        <v>0.69099999999999995</v>
      </c>
      <c r="AF138" s="1635">
        <f>(AB138-Z138)/(R138+S138+D138*V138)</f>
        <v>-143.48785871964682</v>
      </c>
      <c r="AG138" s="1636">
        <f>AE138^2-4*AD138*AF138</f>
        <v>0.65311013907284765</v>
      </c>
      <c r="AH138" s="1741">
        <f>SUM(AJ138:AL138)</f>
        <v>1224.78</v>
      </c>
      <c r="AI138" s="1607"/>
      <c r="AJ138" s="1733">
        <f>C138*LOOKUP(T138,'HS250-DATA'!C$7:C$10,'HS250-DATA'!F$7:F$10)</f>
        <v>84.78</v>
      </c>
      <c r="AK138" s="1733">
        <f>IF(U138="Y",C138*12,0)</f>
        <v>0</v>
      </c>
      <c r="AL138" s="1733">
        <f>C138*E138*VLOOKUP(K138,'SCR-Diode DATA'!D$7:M$43,10,FALSE)</f>
        <v>1140</v>
      </c>
      <c r="AM138" s="507">
        <f>AH138/F138</f>
        <v>2.1327376519041983</v>
      </c>
    </row>
    <row r="139" spans="1:39" ht="18.75">
      <c r="A139" s="1598">
        <v>3</v>
      </c>
      <c r="B139" s="1533">
        <f t="shared" si="71"/>
        <v>6</v>
      </c>
      <c r="C139" s="1600">
        <v>6</v>
      </c>
      <c r="D139" s="1575">
        <f>B139/C139</f>
        <v>1</v>
      </c>
      <c r="E139" s="1575">
        <v>1</v>
      </c>
      <c r="F139" s="1611">
        <f>IF(A139=3,3*G139,IF(A139=1,2*G139,IF(A139="bd",1*G139,IF(A139="fwd",1,"Error"))))</f>
        <v>882.27060896696389</v>
      </c>
      <c r="G139" s="1582">
        <f>(-AE139+SQRT(AG139))/2/AD139</f>
        <v>294.09020298898798</v>
      </c>
      <c r="H139" s="1583">
        <f>IF(A139=3,SQRT(3),IF(A139=1,SQRT(2),1))</f>
        <v>1.7320508075688772</v>
      </c>
      <c r="I139" s="1594">
        <f>H139*G139</f>
        <v>509.37917358517166</v>
      </c>
      <c r="J139" s="1680" t="s">
        <v>558</v>
      </c>
      <c r="K139" s="1418" t="s">
        <v>472</v>
      </c>
      <c r="L139" s="1419">
        <v>1500</v>
      </c>
      <c r="M139" s="1419">
        <v>2355</v>
      </c>
      <c r="N139" s="1419">
        <v>62000</v>
      </c>
      <c r="O139" s="1412">
        <v>125</v>
      </c>
      <c r="P139" s="1416">
        <v>0.69099999999999995</v>
      </c>
      <c r="Q139" s="1412">
        <v>0.10199999999999999</v>
      </c>
      <c r="R139" s="1412">
        <v>2.4E-2</v>
      </c>
      <c r="S139" s="1687">
        <v>8.9999999999999993E-3</v>
      </c>
      <c r="T139" s="1624">
        <v>15</v>
      </c>
      <c r="U139" s="1616" t="s">
        <v>642</v>
      </c>
      <c r="V139" s="1622">
        <f>IF(E139=1,IF(U139="N",LOOKUP(T139,'HS250-DATA'!C$7:C$10,'HS250-DATA'!D$7:D$10),IF(U139="Y",LOOKUP(T139,'HS250-DATA'!C$22:C$25,'HS250-DATA'!D$22:D$25),"FAN?")),IF(U139="N",LOOKUP(T139,'HS250-DATA'!C$14:C$17,'HS250-DATA'!D$14:D$17),IF(U139="Y",LOOKUP(T139,'HS250-DATA'!C$29:C$32,'HS250-DATA'!D$29:D$32),"FAN?")))</f>
        <v>0.25</v>
      </c>
      <c r="W139" s="1602">
        <f>(G139*H139)^2*Q139*10^-3+G139*P139</f>
        <v>229.68197879858653</v>
      </c>
      <c r="X139" s="1602">
        <f>D139*W139</f>
        <v>229.68197879858653</v>
      </c>
      <c r="Y139" s="1602">
        <f>IF(A139=3,W139*6,IF(A139=1,W139*4,W139))</f>
        <v>1378.0918727915191</v>
      </c>
      <c r="Z139" s="1579">
        <f>O139-5</f>
        <v>120</v>
      </c>
      <c r="AA139" s="1602">
        <f>D139*W139*V139+AB139</f>
        <v>112.42049469964664</v>
      </c>
      <c r="AB139" s="1588">
        <v>55</v>
      </c>
      <c r="AC139" s="1570"/>
      <c r="AD139" s="1564">
        <f>Q139*10^-3*H139^2</f>
        <v>3.0599999999999996E-4</v>
      </c>
      <c r="AE139" s="1634">
        <f>P139</f>
        <v>0.69099999999999995</v>
      </c>
      <c r="AF139" s="1635">
        <f>(AB139-Z139)/(R139+S139+D139*V139)</f>
        <v>-229.68197879858656</v>
      </c>
      <c r="AG139" s="1636">
        <f>AE139^2-4*AD139*AF139</f>
        <v>0.75861174204946979</v>
      </c>
      <c r="AH139" s="1741">
        <f>SUM(AJ139:AL139)</f>
        <v>1309.56</v>
      </c>
      <c r="AI139" s="1607"/>
      <c r="AJ139" s="1733">
        <f>C139*LOOKUP(T139,'HS250-DATA'!C$7:C$10,'HS250-DATA'!F$7:F$10)</f>
        <v>169.56</v>
      </c>
      <c r="AK139" s="1733">
        <f>IF(U139="Y",C139*12,0)</f>
        <v>0</v>
      </c>
      <c r="AL139" s="1733">
        <f>C139*E139*VLOOKUP(K139,'SCR-Diode DATA'!D$7:M$43,10,FALSE)</f>
        <v>1140</v>
      </c>
      <c r="AM139" s="507">
        <f>AH139/F139</f>
        <v>1.4843065003982645</v>
      </c>
    </row>
    <row r="140" spans="1:39" ht="19.5" thickBot="1">
      <c r="A140" s="1599"/>
      <c r="B140" s="1692"/>
      <c r="C140" s="1601"/>
      <c r="D140" s="1591"/>
      <c r="E140" s="1591"/>
      <c r="F140" s="1662"/>
      <c r="G140" s="1589"/>
      <c r="H140" s="1590"/>
      <c r="I140" s="1595"/>
      <c r="J140" s="1693"/>
      <c r="K140" s="1686"/>
      <c r="L140" s="1685"/>
      <c r="M140" s="1685"/>
      <c r="N140" s="1685"/>
      <c r="O140" s="1684"/>
      <c r="P140" s="1683"/>
      <c r="Q140" s="1683"/>
      <c r="R140" s="1683"/>
      <c r="S140" s="1682"/>
      <c r="T140" s="1569"/>
      <c r="U140" s="1568"/>
      <c r="V140" s="1567"/>
      <c r="W140" s="1605"/>
      <c r="X140" s="1605"/>
      <c r="Y140" s="1605"/>
      <c r="Z140" s="1566"/>
      <c r="AA140" s="1605"/>
      <c r="AB140" s="1592"/>
      <c r="AC140" s="1570"/>
      <c r="AD140" s="1564"/>
      <c r="AE140" s="1634"/>
      <c r="AF140" s="1635"/>
      <c r="AG140" s="1636"/>
      <c r="AH140" s="1744"/>
      <c r="AI140" s="1608"/>
      <c r="AJ140" s="1608"/>
      <c r="AK140" s="1608"/>
      <c r="AL140" s="1745"/>
      <c r="AM140" s="1746"/>
    </row>
    <row r="141" spans="1:39" ht="13.5" thickBot="1"/>
    <row r="142" spans="1:39" ht="21.75" thickBot="1">
      <c r="A142" s="1619" t="s">
        <v>608</v>
      </c>
      <c r="B142" s="42"/>
      <c r="C142" s="1618"/>
      <c r="D142" s="1631"/>
      <c r="E142" s="1570"/>
      <c r="F142" s="1570"/>
      <c r="G142" s="1570"/>
      <c r="H142" s="1570"/>
      <c r="I142" s="1574"/>
      <c r="J142" s="1574"/>
      <c r="K142" s="1570"/>
      <c r="L142" s="1570"/>
      <c r="M142" s="1570"/>
      <c r="N142" s="1570"/>
      <c r="O142" s="1570"/>
      <c r="P142" s="1570"/>
      <c r="Q142" s="1570"/>
      <c r="R142" s="1570"/>
      <c r="S142" s="1570"/>
      <c r="T142" s="1570"/>
      <c r="U142" s="1570"/>
      <c r="V142" s="1570"/>
      <c r="W142" s="1570"/>
      <c r="X142" s="1570"/>
      <c r="Y142" s="1570"/>
      <c r="Z142" s="1570"/>
      <c r="AA142" s="1570"/>
      <c r="AB142" s="1570"/>
      <c r="AC142" s="1572"/>
      <c r="AD142" s="1637" t="s">
        <v>610</v>
      </c>
      <c r="AE142" s="1638"/>
      <c r="AF142" s="1639" t="s">
        <v>611</v>
      </c>
      <c r="AG142" s="1640" t="s">
        <v>612</v>
      </c>
      <c r="AH142" s="1606"/>
      <c r="AI142" s="1570"/>
      <c r="AJ142" s="1570"/>
      <c r="AK142" s="1570"/>
      <c r="AL142" s="1570"/>
    </row>
    <row r="143" spans="1:39" ht="35.25">
      <c r="A143" s="1648" t="s">
        <v>613</v>
      </c>
      <c r="B143" s="1613"/>
      <c r="C143" s="1617"/>
      <c r="D143" s="1613"/>
      <c r="E143" s="1613"/>
      <c r="F143" s="1623" t="s">
        <v>644</v>
      </c>
      <c r="G143" s="1609"/>
      <c r="H143" s="1609"/>
      <c r="I143" s="1610"/>
      <c r="J143" s="1663"/>
      <c r="K143" s="1647" t="s">
        <v>520</v>
      </c>
      <c r="L143" s="1585"/>
      <c r="M143" s="1609"/>
      <c r="N143" s="1609"/>
      <c r="O143" s="1612"/>
      <c r="P143" s="1609"/>
      <c r="Q143" s="1609"/>
      <c r="R143" s="1609"/>
      <c r="S143" s="1610"/>
      <c r="T143" s="1629" t="s">
        <v>614</v>
      </c>
      <c r="U143" s="1629"/>
      <c r="V143" s="1621"/>
      <c r="W143" s="1609"/>
      <c r="X143" s="1609"/>
      <c r="Y143" s="1609"/>
      <c r="Z143" s="1620"/>
      <c r="AA143" s="1609"/>
      <c r="AB143" s="1610"/>
      <c r="AC143" s="1573"/>
      <c r="AD143" s="1641" t="s">
        <v>643</v>
      </c>
      <c r="AE143" s="1615"/>
      <c r="AF143" s="1625" t="s">
        <v>615</v>
      </c>
      <c r="AG143" s="1642"/>
      <c r="AH143" s="1606"/>
      <c r="AI143" s="1570"/>
      <c r="AJ143" s="1570"/>
      <c r="AK143" s="1570"/>
      <c r="AL143" s="1570"/>
    </row>
    <row r="144" spans="1:39" ht="63">
      <c r="A144" s="1597" t="s">
        <v>573</v>
      </c>
      <c r="B144" s="1577" t="s">
        <v>616</v>
      </c>
      <c r="C144" s="1689" t="s">
        <v>574</v>
      </c>
      <c r="D144" s="1577" t="s">
        <v>617</v>
      </c>
      <c r="E144" s="1690" t="s">
        <v>618</v>
      </c>
      <c r="F144" s="1627" t="s">
        <v>619</v>
      </c>
      <c r="G144" s="1578" t="s">
        <v>620</v>
      </c>
      <c r="H144" s="1578" t="s">
        <v>621</v>
      </c>
      <c r="I144" s="1593" t="s">
        <v>622</v>
      </c>
      <c r="J144" s="1664"/>
      <c r="K144" s="1586" t="s">
        <v>523</v>
      </c>
      <c r="L144" s="1578" t="s">
        <v>524</v>
      </c>
      <c r="M144" s="1578" t="s">
        <v>525</v>
      </c>
      <c r="N144" s="1580" t="s">
        <v>575</v>
      </c>
      <c r="O144" s="1580" t="s">
        <v>623</v>
      </c>
      <c r="P144" s="1580" t="s">
        <v>624</v>
      </c>
      <c r="Q144" s="1580" t="s">
        <v>625</v>
      </c>
      <c r="R144" s="1576" t="s">
        <v>626</v>
      </c>
      <c r="S144" s="1587" t="s">
        <v>627</v>
      </c>
      <c r="T144" s="1630" t="s">
        <v>628</v>
      </c>
      <c r="U144" s="1630" t="s">
        <v>143</v>
      </c>
      <c r="V144" s="1616" t="s">
        <v>629</v>
      </c>
      <c r="W144" s="1578" t="s">
        <v>630</v>
      </c>
      <c r="X144" s="1578" t="s">
        <v>631</v>
      </c>
      <c r="Y144" s="1578" t="s">
        <v>632</v>
      </c>
      <c r="Z144" s="1691" t="s">
        <v>646</v>
      </c>
      <c r="AA144" s="1580" t="s">
        <v>576</v>
      </c>
      <c r="AB144" s="1614" t="s">
        <v>577</v>
      </c>
      <c r="AC144" s="1571"/>
      <c r="AD144" s="1597" t="s">
        <v>633</v>
      </c>
      <c r="AE144" s="1579" t="s">
        <v>634</v>
      </c>
      <c r="AF144" s="1616" t="s">
        <v>635</v>
      </c>
      <c r="AG144" s="1587" t="s">
        <v>243</v>
      </c>
      <c r="AH144" s="1694"/>
      <c r="AI144" s="1571"/>
      <c r="AJ144" s="1632"/>
      <c r="AK144" s="1633"/>
      <c r="AL144" s="1633"/>
    </row>
    <row r="145" spans="1:39" ht="29.25" thickBot="1">
      <c r="A145" s="1650"/>
      <c r="B145" s="1651"/>
      <c r="C145" s="1652"/>
      <c r="D145" s="1651"/>
      <c r="E145" s="1651"/>
      <c r="F145" s="1653" t="s">
        <v>22</v>
      </c>
      <c r="G145" s="1653" t="s">
        <v>22</v>
      </c>
      <c r="H145" s="1653"/>
      <c r="I145" s="1654" t="s">
        <v>22</v>
      </c>
      <c r="J145" s="1665"/>
      <c r="K145" s="1655"/>
      <c r="L145" s="1653" t="s">
        <v>22</v>
      </c>
      <c r="M145" s="1653" t="s">
        <v>22</v>
      </c>
      <c r="N145" s="1653" t="s">
        <v>22</v>
      </c>
      <c r="O145" s="1656" t="s">
        <v>636</v>
      </c>
      <c r="P145" s="1651" t="s">
        <v>53</v>
      </c>
      <c r="Q145" s="1657" t="s">
        <v>535</v>
      </c>
      <c r="R145" s="1651" t="s">
        <v>536</v>
      </c>
      <c r="S145" s="1658" t="s">
        <v>536</v>
      </c>
      <c r="T145" s="1660" t="s">
        <v>477</v>
      </c>
      <c r="U145" s="1660"/>
      <c r="V145" s="1661" t="s">
        <v>637</v>
      </c>
      <c r="W145" s="1653" t="s">
        <v>275</v>
      </c>
      <c r="X145" s="1653" t="s">
        <v>275</v>
      </c>
      <c r="Y145" s="1653" t="s">
        <v>275</v>
      </c>
      <c r="Z145" s="1652" t="s">
        <v>638</v>
      </c>
      <c r="AA145" s="1651" t="s">
        <v>534</v>
      </c>
      <c r="AB145" s="1658" t="s">
        <v>534</v>
      </c>
      <c r="AC145" s="1571"/>
      <c r="AD145" s="1643" t="s">
        <v>639</v>
      </c>
      <c r="AE145" s="1565" t="s">
        <v>528</v>
      </c>
      <c r="AF145" s="1644" t="s">
        <v>640</v>
      </c>
      <c r="AG145" s="1645" t="s">
        <v>641</v>
      </c>
      <c r="AH145" s="1694"/>
      <c r="AI145" s="1571"/>
      <c r="AJ145" s="1632"/>
      <c r="AK145" s="1633"/>
      <c r="AL145" s="1633"/>
    </row>
    <row r="146" spans="1:39" ht="24">
      <c r="A146" s="1673">
        <v>3</v>
      </c>
      <c r="B146" s="1327">
        <f>IF(A146=3,6,IF(A146=1,4,IF(A146="bd",1,IF(A146="fwd",1,"Circuit Type"))))</f>
        <v>6</v>
      </c>
      <c r="C146" s="1620">
        <v>1</v>
      </c>
      <c r="D146" s="1609">
        <f t="shared" ref="D146:D151" si="72">B146/C146</f>
        <v>6</v>
      </c>
      <c r="E146" s="1609">
        <v>1</v>
      </c>
      <c r="F146" s="1674">
        <f t="shared" ref="F146:F151" si="73">IF(A146=3,3*G146,IF(A146=1,2*G146,IF(A146="bd",1*G146,IF(A146="fwd",1,"Error"))))</f>
        <v>41.531123796672894</v>
      </c>
      <c r="G146" s="1670">
        <f t="shared" ref="G146:G151" si="74">(-AE146+SQRT(AG146))/2/AD146</f>
        <v>13.843707932224298</v>
      </c>
      <c r="H146" s="1675">
        <f t="shared" ref="H146:H151" si="75">IF(A146=3,SQRT(3),IF(A146=1,SQRT(2),1))</f>
        <v>1.7320508075688772</v>
      </c>
      <c r="I146" s="1676">
        <f t="shared" ref="I146:I151" si="76">H146*G146</f>
        <v>23.978005503756766</v>
      </c>
      <c r="J146" s="1677" t="s">
        <v>539</v>
      </c>
      <c r="K146" s="1584" t="s">
        <v>540</v>
      </c>
      <c r="L146" s="1603">
        <v>42</v>
      </c>
      <c r="M146" s="1603"/>
      <c r="N146" s="1603">
        <v>280</v>
      </c>
      <c r="O146" s="1678">
        <v>125</v>
      </c>
      <c r="P146" s="1585">
        <v>1.1000000000000001</v>
      </c>
      <c r="Q146" s="1679">
        <v>20</v>
      </c>
      <c r="R146" s="1585">
        <v>1.6</v>
      </c>
      <c r="S146" s="1604">
        <v>0.1</v>
      </c>
      <c r="T146" s="1667">
        <v>6.5</v>
      </c>
      <c r="U146" s="1668" t="s">
        <v>645</v>
      </c>
      <c r="V146" s="1669">
        <f>IF(E146=1,IF(U146="N",LOOKUP(T146,'HS250-DATA'!C$7:C$10,'HS250-DATA'!D$7:D$10),IF(U146="Y",LOOKUP(T146,'HS250-DATA'!C$22:C$25,'HS250-DATA'!D$22:D$25),"FAN?")),IF(U146="N",LOOKUP(T146,'HS250-DATA'!C$14:C$17,'HS250-DATA'!D$14:D$17),IF(U146="Y",LOOKUP(T146,'HS250-DATA'!C$29:C$32,'HS250-DATA'!D$29:D$32),"FAN?")))</f>
        <v>0.122</v>
      </c>
      <c r="W146" s="1671">
        <f t="shared" ref="W146:W151" si="77">(G146*H146)^2*Q146*10^-3+G146*P146</f>
        <v>26.726973684210524</v>
      </c>
      <c r="X146" s="1671">
        <f t="shared" ref="X146:X151" si="78">D146*W146</f>
        <v>160.36184210526315</v>
      </c>
      <c r="Y146" s="1671">
        <f t="shared" ref="Y146:Y151" si="79">IF(A146=3,W146*6,IF(A146=1,W146*4,W146))</f>
        <v>160.36184210526315</v>
      </c>
      <c r="Z146" s="1672">
        <f t="shared" ref="Z146:Z151" si="80">O146-5</f>
        <v>120</v>
      </c>
      <c r="AA146" s="1671">
        <f t="shared" ref="AA146:AA151" si="81">D146*W146*V146+AB146</f>
        <v>74.56414473684211</v>
      </c>
      <c r="AB146" s="1610">
        <v>55</v>
      </c>
      <c r="AC146" s="1570"/>
      <c r="AD146" s="1564">
        <f t="shared" ref="AD146:AD151" si="82">Q146*10^-3*H146^2</f>
        <v>5.9999999999999991E-2</v>
      </c>
      <c r="AE146" s="1634">
        <f t="shared" ref="AE146:AE151" si="83">P146</f>
        <v>1.1000000000000001</v>
      </c>
      <c r="AF146" s="1635">
        <f t="shared" ref="AF146:AF151" si="84">(AB146-Z146)/(R146+S146+D146*V146)</f>
        <v>-26.72697368421052</v>
      </c>
      <c r="AG146" s="1636">
        <f t="shared" ref="AG146:AG151" si="85">AE146^2-4*AD146*AF146</f>
        <v>7.6244736842105238</v>
      </c>
      <c r="AH146" s="1747">
        <f t="shared" ref="AH146:AH151" si="86">SUM(AJ146:AL146)</f>
        <v>50.85</v>
      </c>
      <c r="AI146" s="1639"/>
      <c r="AJ146" s="1748">
        <f>C146*LOOKUP(T146,'HS250-DATA'!C$7:C$10,'HS250-DATA'!F$7:F$10)</f>
        <v>16.350000000000001</v>
      </c>
      <c r="AK146" s="1748">
        <f t="shared" ref="AK146:AK151" si="87">IF(U146="Y",C146*12,0)</f>
        <v>12</v>
      </c>
      <c r="AL146" s="1748">
        <f>C146*E146*VLOOKUP(K146,'SCR-Diode DATA'!D$7:M$43,10,FALSE)</f>
        <v>22.5</v>
      </c>
      <c r="AM146" s="1749">
        <f t="shared" ref="AM146:AM151" si="88">AH146/F146</f>
        <v>1.2243829531064521</v>
      </c>
    </row>
    <row r="147" spans="1:39" ht="24">
      <c r="A147" s="1598">
        <v>1</v>
      </c>
      <c r="B147" s="1533">
        <f>IF(A147=3,6,IF(A147=1,4,IF(A147="bd",1,IF(A147="fwd",1,"Circuit Type"))))</f>
        <v>4</v>
      </c>
      <c r="C147" s="1600">
        <v>1</v>
      </c>
      <c r="D147" s="1575">
        <f t="shared" si="72"/>
        <v>4</v>
      </c>
      <c r="E147" s="1575">
        <v>1</v>
      </c>
      <c r="F147" s="1611">
        <f t="shared" si="73"/>
        <v>33.549156775189033</v>
      </c>
      <c r="G147" s="1582">
        <f t="shared" si="74"/>
        <v>16.774578387594516</v>
      </c>
      <c r="H147" s="1583">
        <f t="shared" si="75"/>
        <v>1.4142135623730951</v>
      </c>
      <c r="I147" s="1594">
        <f t="shared" si="76"/>
        <v>23.722836258826771</v>
      </c>
      <c r="J147" s="1666" t="s">
        <v>539</v>
      </c>
      <c r="K147" s="1586" t="s">
        <v>540</v>
      </c>
      <c r="L147" s="1578">
        <v>42</v>
      </c>
      <c r="M147" s="1578"/>
      <c r="N147" s="1578">
        <v>280</v>
      </c>
      <c r="O147" s="1580">
        <v>125</v>
      </c>
      <c r="P147" s="1576">
        <v>1.1000000000000001</v>
      </c>
      <c r="Q147" s="1581">
        <v>20</v>
      </c>
      <c r="R147" s="1576">
        <v>1.6</v>
      </c>
      <c r="S147" s="1587">
        <v>0.1</v>
      </c>
      <c r="T147" s="1624">
        <v>6.5</v>
      </c>
      <c r="U147" s="1616" t="s">
        <v>645</v>
      </c>
      <c r="V147" s="1622">
        <f>IF(E147=1,IF(U147="N",LOOKUP(T147,'HS250-DATA'!C$7:C$10,'HS250-DATA'!D$7:D$10),IF(U147="Y",LOOKUP(T147,'HS250-DATA'!C$22:C$25,'HS250-DATA'!D$22:D$25),"FAN?")),IF(U147="N",LOOKUP(T147,'HS250-DATA'!C$14:C$17,'HS250-DATA'!D$14:D$17),IF(U147="Y",LOOKUP(T147,'HS250-DATA'!C$29:C$32,'HS250-DATA'!D$29:D$32),"FAN?")))</f>
        <v>0.122</v>
      </c>
      <c r="W147" s="1602">
        <f t="shared" si="77"/>
        <v>29.707495429616092</v>
      </c>
      <c r="X147" s="1602">
        <f t="shared" si="78"/>
        <v>118.82998171846437</v>
      </c>
      <c r="Y147" s="1602">
        <f t="shared" si="79"/>
        <v>118.82998171846437</v>
      </c>
      <c r="Z147" s="1579">
        <f t="shared" si="80"/>
        <v>120</v>
      </c>
      <c r="AA147" s="1602">
        <f t="shared" si="81"/>
        <v>69.497257769652649</v>
      </c>
      <c r="AB147" s="1588">
        <v>55</v>
      </c>
      <c r="AC147" s="1570"/>
      <c r="AD147" s="1564">
        <f t="shared" si="82"/>
        <v>4.0000000000000008E-2</v>
      </c>
      <c r="AE147" s="1634">
        <f t="shared" si="83"/>
        <v>1.1000000000000001</v>
      </c>
      <c r="AF147" s="1635">
        <f t="shared" si="84"/>
        <v>-29.707495429616085</v>
      </c>
      <c r="AG147" s="1636">
        <f t="shared" si="85"/>
        <v>5.9631992687385749</v>
      </c>
      <c r="AH147" s="1741">
        <f t="shared" si="86"/>
        <v>50.85</v>
      </c>
      <c r="AI147" s="1607"/>
      <c r="AJ147" s="1733">
        <f>C147*LOOKUP(T147,'HS250-DATA'!C$7:C$10,'HS250-DATA'!F$7:F$10)</f>
        <v>16.350000000000001</v>
      </c>
      <c r="AK147" s="1733">
        <f t="shared" si="87"/>
        <v>12</v>
      </c>
      <c r="AL147" s="1733">
        <f>C147*E147*VLOOKUP(K147,'SCR-Diode DATA'!D$7:M$43,10,FALSE)</f>
        <v>22.5</v>
      </c>
      <c r="AM147" s="507">
        <f t="shared" si="88"/>
        <v>1.5156863804578733</v>
      </c>
    </row>
    <row r="148" spans="1:39" ht="18.75">
      <c r="A148" s="1598">
        <v>3</v>
      </c>
      <c r="B148" s="1533">
        <f t="shared" ref="B148:B177" si="89">IF(A148=3,6,IF(A148=1,4,IF(A148="bd",1,IF(A148="fwd",1,"Circuit Type"))))</f>
        <v>6</v>
      </c>
      <c r="C148" s="1600">
        <v>1</v>
      </c>
      <c r="D148" s="1575">
        <f t="shared" si="72"/>
        <v>6</v>
      </c>
      <c r="E148" s="1575">
        <v>1</v>
      </c>
      <c r="F148" s="1611">
        <f t="shared" si="73"/>
        <v>62.219284001740789</v>
      </c>
      <c r="G148" s="1582">
        <f t="shared" si="74"/>
        <v>20.739761333913595</v>
      </c>
      <c r="H148" s="1583">
        <f t="shared" si="75"/>
        <v>1.7320508075688772</v>
      </c>
      <c r="I148" s="1594">
        <f t="shared" si="76"/>
        <v>35.922320367190814</v>
      </c>
      <c r="J148" s="1681" t="s">
        <v>542</v>
      </c>
      <c r="K148" s="1417" t="s">
        <v>543</v>
      </c>
      <c r="L148" s="1414">
        <v>68</v>
      </c>
      <c r="M148" s="1414"/>
      <c r="N148" s="1414">
        <v>380</v>
      </c>
      <c r="O148" s="1413">
        <v>125</v>
      </c>
      <c r="P148" s="1413">
        <v>1</v>
      </c>
      <c r="Q148" s="1415">
        <v>10</v>
      </c>
      <c r="R148" s="1413">
        <v>1.1000000000000001</v>
      </c>
      <c r="S148" s="1688">
        <v>0.1</v>
      </c>
      <c r="T148" s="1624">
        <v>6.5</v>
      </c>
      <c r="U148" s="1616" t="s">
        <v>645</v>
      </c>
      <c r="V148" s="1622">
        <f>IF(E148=1,IF(U148="N",LOOKUP(T148,'HS250-DATA'!C$7:C$10,'HS250-DATA'!D$7:D$10),IF(U148="Y",LOOKUP(T148,'HS250-DATA'!C$22:C$25,'HS250-DATA'!D$22:D$25),"FAN?")),IF(U148="N",LOOKUP(T148,'HS250-DATA'!C$14:C$17,'HS250-DATA'!D$14:D$17),IF(U148="Y",LOOKUP(T148,'HS250-DATA'!C$29:C$32,'HS250-DATA'!D$29:D$32),"FAN?")))</f>
        <v>0.122</v>
      </c>
      <c r="W148" s="1602">
        <f t="shared" si="77"/>
        <v>33.643892339544514</v>
      </c>
      <c r="X148" s="1602">
        <f t="shared" si="78"/>
        <v>201.86335403726707</v>
      </c>
      <c r="Y148" s="1602">
        <f t="shared" si="79"/>
        <v>201.86335403726707</v>
      </c>
      <c r="Z148" s="1579">
        <f t="shared" si="80"/>
        <v>120</v>
      </c>
      <c r="AA148" s="1602">
        <f t="shared" si="81"/>
        <v>79.627329192546583</v>
      </c>
      <c r="AB148" s="1588">
        <v>55</v>
      </c>
      <c r="AC148" s="1570"/>
      <c r="AD148" s="1564">
        <f t="shared" si="82"/>
        <v>2.9999999999999995E-2</v>
      </c>
      <c r="AE148" s="1634">
        <f t="shared" si="83"/>
        <v>1</v>
      </c>
      <c r="AF148" s="1635">
        <f t="shared" si="84"/>
        <v>-33.643892339544507</v>
      </c>
      <c r="AG148" s="1636">
        <f t="shared" si="85"/>
        <v>5.0372670807453401</v>
      </c>
      <c r="AH148" s="1741">
        <f t="shared" si="86"/>
        <v>57.150000000000006</v>
      </c>
      <c r="AI148" s="1607"/>
      <c r="AJ148" s="1733">
        <f>C148*LOOKUP(T148,'HS250-DATA'!C$7:C$10,'HS250-DATA'!F$7:F$10)</f>
        <v>16.350000000000001</v>
      </c>
      <c r="AK148" s="1733">
        <f t="shared" si="87"/>
        <v>12</v>
      </c>
      <c r="AL148" s="1733">
        <f>C148*E148*VLOOKUP(K148,'SCR-Diode DATA'!D$7:M$43,10,FALSE)</f>
        <v>28.8</v>
      </c>
      <c r="AM148" s="507">
        <f t="shared" si="88"/>
        <v>0.91852551691853357</v>
      </c>
    </row>
    <row r="149" spans="1:39" ht="18.75">
      <c r="A149" s="1598">
        <v>1</v>
      </c>
      <c r="B149" s="1533">
        <f t="shared" si="89"/>
        <v>4</v>
      </c>
      <c r="C149" s="1600">
        <v>1</v>
      </c>
      <c r="D149" s="1575">
        <f t="shared" si="72"/>
        <v>4</v>
      </c>
      <c r="E149" s="1575">
        <v>1</v>
      </c>
      <c r="F149" s="1611">
        <f t="shared" si="73"/>
        <v>51.002088101919298</v>
      </c>
      <c r="G149" s="1582">
        <f t="shared" si="74"/>
        <v>25.501044050959649</v>
      </c>
      <c r="H149" s="1583">
        <f t="shared" si="75"/>
        <v>1.4142135623730951</v>
      </c>
      <c r="I149" s="1594">
        <f t="shared" si="76"/>
        <v>36.063922351540867</v>
      </c>
      <c r="J149" s="1681" t="s">
        <v>542</v>
      </c>
      <c r="K149" s="1417" t="s">
        <v>543</v>
      </c>
      <c r="L149" s="1414">
        <v>68</v>
      </c>
      <c r="M149" s="1414"/>
      <c r="N149" s="1414">
        <v>380</v>
      </c>
      <c r="O149" s="1413">
        <v>125</v>
      </c>
      <c r="P149" s="1413">
        <v>1</v>
      </c>
      <c r="Q149" s="1415">
        <v>10</v>
      </c>
      <c r="R149" s="1413">
        <v>1.1000000000000001</v>
      </c>
      <c r="S149" s="1688">
        <v>0.1</v>
      </c>
      <c r="T149" s="1624">
        <v>6.5</v>
      </c>
      <c r="U149" s="1616" t="s">
        <v>645</v>
      </c>
      <c r="V149" s="1622">
        <f>IF(E149=1,IF(U149="N",LOOKUP(T149,'HS250-DATA'!C$7:C$10,'HS250-DATA'!D$7:D$10),IF(U149="Y",LOOKUP(T149,'HS250-DATA'!C$22:C$25,'HS250-DATA'!D$22:D$25),"FAN?")),IF(U149="N",LOOKUP(T149,'HS250-DATA'!C$14:C$17,'HS250-DATA'!D$14:D$17),IF(U149="Y",LOOKUP(T149,'HS250-DATA'!C$29:C$32,'HS250-DATA'!D$29:D$32),"FAN?")))</f>
        <v>0.122</v>
      </c>
      <c r="W149" s="1602">
        <f t="shared" si="77"/>
        <v>38.507109004739334</v>
      </c>
      <c r="X149" s="1602">
        <f t="shared" si="78"/>
        <v>154.02843601895734</v>
      </c>
      <c r="Y149" s="1602">
        <f t="shared" si="79"/>
        <v>154.02843601895734</v>
      </c>
      <c r="Z149" s="1579">
        <f t="shared" si="80"/>
        <v>120</v>
      </c>
      <c r="AA149" s="1602">
        <f t="shared" si="81"/>
        <v>73.791469194312796</v>
      </c>
      <c r="AB149" s="1588">
        <v>55</v>
      </c>
      <c r="AC149" s="1570"/>
      <c r="AD149" s="1564">
        <f t="shared" si="82"/>
        <v>2.0000000000000004E-2</v>
      </c>
      <c r="AE149" s="1634">
        <f t="shared" si="83"/>
        <v>1</v>
      </c>
      <c r="AF149" s="1635">
        <f t="shared" si="84"/>
        <v>-38.507109004739334</v>
      </c>
      <c r="AG149" s="1636">
        <f t="shared" si="85"/>
        <v>4.0805687203791479</v>
      </c>
      <c r="AH149" s="1741">
        <f t="shared" si="86"/>
        <v>57.150000000000006</v>
      </c>
      <c r="AI149" s="1607"/>
      <c r="AJ149" s="1733">
        <f>C149*LOOKUP(T149,'HS250-DATA'!C$7:C$10,'HS250-DATA'!F$7:F$10)</f>
        <v>16.350000000000001</v>
      </c>
      <c r="AK149" s="1733">
        <f t="shared" si="87"/>
        <v>12</v>
      </c>
      <c r="AL149" s="1733">
        <f>C149*E149*VLOOKUP(K149,'SCR-Diode DATA'!D$7:M$43,10,FALSE)</f>
        <v>28.8</v>
      </c>
      <c r="AM149" s="507">
        <f t="shared" si="88"/>
        <v>1.1205423567324364</v>
      </c>
    </row>
    <row r="150" spans="1:39" ht="18.75">
      <c r="A150" s="1598">
        <v>1</v>
      </c>
      <c r="B150" s="1533">
        <f t="shared" si="89"/>
        <v>4</v>
      </c>
      <c r="C150" s="1600">
        <v>1</v>
      </c>
      <c r="D150" s="1575">
        <f t="shared" si="72"/>
        <v>4</v>
      </c>
      <c r="E150" s="1575">
        <v>1</v>
      </c>
      <c r="F150" s="1611">
        <f t="shared" si="73"/>
        <v>102.73231424498118</v>
      </c>
      <c r="G150" s="1582">
        <f t="shared" si="74"/>
        <v>51.366157122490591</v>
      </c>
      <c r="H150" s="1583">
        <f t="shared" si="75"/>
        <v>1.4142135623730951</v>
      </c>
      <c r="I150" s="1594">
        <f t="shared" si="76"/>
        <v>72.642716049613554</v>
      </c>
      <c r="J150" s="1680" t="s">
        <v>545</v>
      </c>
      <c r="K150" s="1417" t="s">
        <v>503</v>
      </c>
      <c r="L150" s="1414">
        <v>125</v>
      </c>
      <c r="M150" s="1414"/>
      <c r="N150" s="1414">
        <v>1950</v>
      </c>
      <c r="O150" s="1413">
        <v>125</v>
      </c>
      <c r="P150" s="1413">
        <v>0.86</v>
      </c>
      <c r="Q150" s="1415">
        <v>5.5</v>
      </c>
      <c r="R150" s="1413">
        <v>0.3</v>
      </c>
      <c r="S150" s="1688">
        <v>0.1</v>
      </c>
      <c r="T150" s="1624">
        <v>6.5</v>
      </c>
      <c r="U150" s="1616" t="s">
        <v>645</v>
      </c>
      <c r="V150" s="1622">
        <f>IF(E150=1,IF(U150="N",LOOKUP(T150,'HS250-DATA'!C$7:C$10,'HS250-DATA'!D$7:D$10),IF(U150="Y",LOOKUP(T150,'HS250-DATA'!C$22:C$25,'HS250-DATA'!D$22:D$25),"FAN?")),IF(U150="N",LOOKUP(T150,'HS250-DATA'!C$14:C$17,'HS250-DATA'!D$14:D$17),IF(U150="Y",LOOKUP(T150,'HS250-DATA'!C$29:C$32,'HS250-DATA'!D$29:D$32),"FAN?")))</f>
        <v>0.122</v>
      </c>
      <c r="W150" s="1602">
        <f t="shared" si="77"/>
        <v>73.198198198198213</v>
      </c>
      <c r="X150" s="1602">
        <f t="shared" si="78"/>
        <v>292.79279279279285</v>
      </c>
      <c r="Y150" s="1602">
        <f t="shared" si="79"/>
        <v>292.79279279279285</v>
      </c>
      <c r="Z150" s="1579">
        <f t="shared" si="80"/>
        <v>120</v>
      </c>
      <c r="AA150" s="1602">
        <f t="shared" si="81"/>
        <v>90.72072072072072</v>
      </c>
      <c r="AB150" s="1588">
        <v>55</v>
      </c>
      <c r="AC150" s="1570"/>
      <c r="AD150" s="1564">
        <f t="shared" si="82"/>
        <v>1.1000000000000001E-2</v>
      </c>
      <c r="AE150" s="1634">
        <f t="shared" si="83"/>
        <v>0.86</v>
      </c>
      <c r="AF150" s="1635">
        <f t="shared" si="84"/>
        <v>-73.198198198198199</v>
      </c>
      <c r="AG150" s="1636">
        <f t="shared" si="85"/>
        <v>3.9603207207207207</v>
      </c>
      <c r="AH150" s="1741">
        <f t="shared" si="86"/>
        <v>52.290000000000006</v>
      </c>
      <c r="AI150" s="1607"/>
      <c r="AJ150" s="1733">
        <f>C150*LOOKUP(T150,'HS250-DATA'!C$7:C$10,'HS250-DATA'!F$7:F$10)</f>
        <v>16.350000000000001</v>
      </c>
      <c r="AK150" s="1733">
        <f t="shared" si="87"/>
        <v>12</v>
      </c>
      <c r="AL150" s="1733">
        <f>C150*E150*VLOOKUP(K150,'SCR-Diode DATA'!D$7:M$43,10,FALSE)</f>
        <v>23.94</v>
      </c>
      <c r="AM150" s="507">
        <f t="shared" si="88"/>
        <v>0.50899271942133384</v>
      </c>
    </row>
    <row r="151" spans="1:39" ht="18.75">
      <c r="A151" s="1598">
        <v>3</v>
      </c>
      <c r="B151" s="1533">
        <f t="shared" si="89"/>
        <v>6</v>
      </c>
      <c r="C151" s="1600">
        <v>1</v>
      </c>
      <c r="D151" s="1575">
        <f t="shared" si="72"/>
        <v>6</v>
      </c>
      <c r="E151" s="1575">
        <v>1</v>
      </c>
      <c r="F151" s="1611">
        <f t="shared" si="73"/>
        <v>115.29341674602929</v>
      </c>
      <c r="G151" s="1582">
        <f t="shared" si="74"/>
        <v>38.431138915343098</v>
      </c>
      <c r="H151" s="1583">
        <f t="shared" si="75"/>
        <v>1.7320508075688772</v>
      </c>
      <c r="I151" s="1594">
        <f t="shared" si="76"/>
        <v>66.564685194111718</v>
      </c>
      <c r="J151" s="1680" t="s">
        <v>542</v>
      </c>
      <c r="K151" s="1417" t="s">
        <v>326</v>
      </c>
      <c r="L151" s="1414">
        <v>170</v>
      </c>
      <c r="M151" s="1423"/>
      <c r="N151" s="1414">
        <v>1950</v>
      </c>
      <c r="O151" s="1413">
        <v>125</v>
      </c>
      <c r="P151" s="1413">
        <v>0.86</v>
      </c>
      <c r="Q151" s="1415">
        <v>5.5</v>
      </c>
      <c r="R151" s="1413">
        <v>0.3</v>
      </c>
      <c r="S151" s="1688">
        <v>0.1</v>
      </c>
      <c r="T151" s="1624">
        <v>6.5</v>
      </c>
      <c r="U151" s="1616" t="s">
        <v>645</v>
      </c>
      <c r="V151" s="1622">
        <f>IF(E151=1,IF(U151="N",LOOKUP(T151,'HS250-DATA'!C$7:C$10,'HS250-DATA'!D$7:D$10),IF(U151="Y",LOOKUP(T151,'HS250-DATA'!C$22:C$25,'HS250-DATA'!D$22:D$25),"FAN?")),IF(U151="N",LOOKUP(T151,'HS250-DATA'!C$14:C$17,'HS250-DATA'!D$14:D$17),IF(U151="Y",LOOKUP(T151,'HS250-DATA'!C$29:C$32,'HS250-DATA'!D$29:D$32),"FAN?")))</f>
        <v>0.122</v>
      </c>
      <c r="W151" s="1602">
        <f t="shared" si="77"/>
        <v>57.420494699646639</v>
      </c>
      <c r="X151" s="1602">
        <f t="shared" si="78"/>
        <v>344.52296819787983</v>
      </c>
      <c r="Y151" s="1602">
        <f t="shared" si="79"/>
        <v>344.52296819787983</v>
      </c>
      <c r="Z151" s="1579">
        <f t="shared" si="80"/>
        <v>120</v>
      </c>
      <c r="AA151" s="1602">
        <f t="shared" si="81"/>
        <v>97.031802120141336</v>
      </c>
      <c r="AB151" s="1588">
        <v>55</v>
      </c>
      <c r="AC151" s="1570"/>
      <c r="AD151" s="1564">
        <f t="shared" si="82"/>
        <v>1.6499999999999997E-2</v>
      </c>
      <c r="AE151" s="1634">
        <f t="shared" si="83"/>
        <v>0.86</v>
      </c>
      <c r="AF151" s="1635">
        <f t="shared" si="84"/>
        <v>-57.420494699646639</v>
      </c>
      <c r="AG151" s="1636">
        <f t="shared" si="85"/>
        <v>4.5293526501766772</v>
      </c>
      <c r="AH151" s="1741">
        <f t="shared" si="86"/>
        <v>59.22</v>
      </c>
      <c r="AI151" s="1607"/>
      <c r="AJ151" s="1733">
        <f>C151*LOOKUP(T151,'HS250-DATA'!C$7:C$10,'HS250-DATA'!F$7:F$10)</f>
        <v>16.350000000000001</v>
      </c>
      <c r="AK151" s="1733">
        <f t="shared" si="87"/>
        <v>12</v>
      </c>
      <c r="AL151" s="1733">
        <f>C151*E151*VLOOKUP(K151,'SCR-Diode DATA'!D$7:M$43,10,FALSE)</f>
        <v>30.87</v>
      </c>
      <c r="AM151" s="507">
        <f t="shared" si="88"/>
        <v>0.51364597972190407</v>
      </c>
    </row>
    <row r="152" spans="1:39" ht="11.25" customHeight="1">
      <c r="A152" s="1598"/>
      <c r="B152" s="1533"/>
      <c r="C152" s="1600"/>
      <c r="D152" s="1575"/>
      <c r="E152" s="1575"/>
      <c r="F152" s="1611"/>
      <c r="G152" s="1582"/>
      <c r="H152" s="1583"/>
      <c r="I152" s="1594"/>
      <c r="J152" s="1680"/>
      <c r="K152" s="1417"/>
      <c r="L152" s="1414"/>
      <c r="M152" s="1423"/>
      <c r="N152" s="1414"/>
      <c r="O152" s="1413"/>
      <c r="P152" s="1413"/>
      <c r="Q152" s="1415"/>
      <c r="R152" s="1413"/>
      <c r="S152" s="1688"/>
      <c r="T152" s="1624"/>
      <c r="U152" s="1616"/>
      <c r="V152" s="1622"/>
      <c r="W152" s="1602"/>
      <c r="X152" s="1602"/>
      <c r="Y152" s="1602"/>
      <c r="Z152" s="1579"/>
      <c r="AA152" s="1602"/>
      <c r="AB152" s="1588"/>
      <c r="AC152" s="1570"/>
      <c r="AD152" s="1564"/>
      <c r="AE152" s="1634"/>
      <c r="AF152" s="1635"/>
      <c r="AG152" s="1636"/>
      <c r="AH152" s="1742"/>
      <c r="AI152" s="1607"/>
      <c r="AJ152" s="1607"/>
      <c r="AK152" s="1607"/>
      <c r="AL152" s="1733"/>
      <c r="AM152" s="494"/>
    </row>
    <row r="153" spans="1:39" ht="18.75">
      <c r="A153" s="1598">
        <v>3</v>
      </c>
      <c r="B153" s="1533">
        <f t="shared" si="89"/>
        <v>6</v>
      </c>
      <c r="C153" s="1600">
        <v>1</v>
      </c>
      <c r="D153" s="1575">
        <f>B153/C153</f>
        <v>6</v>
      </c>
      <c r="E153" s="1575">
        <v>3</v>
      </c>
      <c r="F153" s="1611">
        <f>IF(A153=3,3*G153,IF(A153=1,2*G153,IF(A153="bd",1*G153,IF(A153="fwd",1,"Error"))))</f>
        <v>141.58953421768348</v>
      </c>
      <c r="G153" s="1582">
        <f>(-AE153+SQRT(AG153))/2/AD153</f>
        <v>47.196511405894498</v>
      </c>
      <c r="H153" s="1583">
        <f>IF(A153=3,SQRT(3),IF(A153=1,SQRT(2),1))</f>
        <v>1.7320508075688772</v>
      </c>
      <c r="I153" s="1594">
        <f>H153*G153</f>
        <v>81.746755695013292</v>
      </c>
      <c r="J153" s="1680" t="s">
        <v>548</v>
      </c>
      <c r="K153" s="1418" t="s">
        <v>549</v>
      </c>
      <c r="L153" s="1419">
        <v>90</v>
      </c>
      <c r="M153" s="1419">
        <v>150</v>
      </c>
      <c r="N153" s="1419">
        <v>1950</v>
      </c>
      <c r="O153" s="1412">
        <v>125</v>
      </c>
      <c r="P153" s="1416">
        <v>0.9</v>
      </c>
      <c r="Q153" s="1416">
        <v>2</v>
      </c>
      <c r="R153" s="1416">
        <v>0.28000000000000003</v>
      </c>
      <c r="S153" s="1687">
        <v>0.2</v>
      </c>
      <c r="T153" s="1624">
        <v>6.5</v>
      </c>
      <c r="U153" s="1616" t="s">
        <v>645</v>
      </c>
      <c r="V153" s="1622">
        <f>IF(E153=1,IF(U153="N",LOOKUP(T153,'HS250-DATA'!C$7:C$10,'HS250-DATA'!D$7:D$10),IF(U153="Y",LOOKUP(T153,'HS250-DATA'!C$22:C$25,'HS250-DATA'!D$22:D$25),"FAN?")),IF(U153="N",LOOKUP(T153,'HS250-DATA'!C$14:C$17,'HS250-DATA'!D$14:D$17),IF(U153="Y",LOOKUP(T153,'HS250-DATA'!C$29:C$32,'HS250-DATA'!D$29:D$32),"FAN?")))</f>
        <v>0.114</v>
      </c>
      <c r="W153" s="1602">
        <f>(G153*H153)^2*Q153*10^-3+G153*P153</f>
        <v>55.841924398625423</v>
      </c>
      <c r="X153" s="1602">
        <f>D153*W153</f>
        <v>335.05154639175254</v>
      </c>
      <c r="Y153" s="1602">
        <f>IF(A153=3,W153*6,IF(A153=1,W153*4,W153))</f>
        <v>335.05154639175254</v>
      </c>
      <c r="Z153" s="1579">
        <f>O153-5</f>
        <v>120</v>
      </c>
      <c r="AA153" s="1602">
        <f>D153*W153*V153+AB153</f>
        <v>93.19587628865979</v>
      </c>
      <c r="AB153" s="1588">
        <v>55</v>
      </c>
      <c r="AC153" s="1570"/>
      <c r="AD153" s="1564">
        <f>Q153*10^-3*H153^2</f>
        <v>5.9999999999999993E-3</v>
      </c>
      <c r="AE153" s="1634">
        <f>P153</f>
        <v>0.9</v>
      </c>
      <c r="AF153" s="1635">
        <f>(AB153-Z153)/(R153+S153+D153*V153)</f>
        <v>-55.841924398625423</v>
      </c>
      <c r="AG153" s="1636">
        <f>AE153^2-4*AD153*AF153</f>
        <v>2.15020618556701</v>
      </c>
      <c r="AH153" s="1741">
        <f>SUM(AJ153:AL153)</f>
        <v>67.349999999999994</v>
      </c>
      <c r="AI153" s="1607"/>
      <c r="AJ153" s="1733">
        <f>C153*LOOKUP(T153,'HS250-DATA'!C$7:C$10,'HS250-DATA'!F$7:F$10)</f>
        <v>16.350000000000001</v>
      </c>
      <c r="AK153" s="1733">
        <f>IF(U153="Y",C153*12,0)</f>
        <v>12</v>
      </c>
      <c r="AL153" s="1733">
        <f>C153*E153*VLOOKUP(K153,'SCR-Diode DATA'!D$7:M$43,10,FALSE)</f>
        <v>39</v>
      </c>
      <c r="AM153" s="507">
        <f>AH153/F153</f>
        <v>0.47567075046983581</v>
      </c>
    </row>
    <row r="154" spans="1:39" ht="18.75">
      <c r="A154" s="1598">
        <v>3</v>
      </c>
      <c r="B154" s="1533">
        <f t="shared" si="89"/>
        <v>6</v>
      </c>
      <c r="C154" s="1600">
        <v>3</v>
      </c>
      <c r="D154" s="1575">
        <f>B154/C154</f>
        <v>2</v>
      </c>
      <c r="E154" s="1575">
        <v>1</v>
      </c>
      <c r="F154" s="1611">
        <f>IF(A154=3,3*G154,IF(A154=1,2*G154,IF(A154="bd",1*G154,IF(A154="fwd",1,"Error"))))</f>
        <v>205.45732458316101</v>
      </c>
      <c r="G154" s="1582">
        <f>(-AE154+SQRT(AG154))/2/AD154</f>
        <v>68.48577486105367</v>
      </c>
      <c r="H154" s="1583">
        <f>IF(A154=3,SQRT(3),IF(A154=1,SQRT(2),1))</f>
        <v>1.7320508075688772</v>
      </c>
      <c r="I154" s="1594">
        <f>H154*G154</f>
        <v>118.62084165506832</v>
      </c>
      <c r="J154" s="1680" t="s">
        <v>548</v>
      </c>
      <c r="K154" s="1418" t="s">
        <v>549</v>
      </c>
      <c r="L154" s="1419">
        <v>90</v>
      </c>
      <c r="M154" s="1419">
        <v>150</v>
      </c>
      <c r="N154" s="1419">
        <v>1950</v>
      </c>
      <c r="O154" s="1412">
        <v>125</v>
      </c>
      <c r="P154" s="1416">
        <v>0.9</v>
      </c>
      <c r="Q154" s="1416">
        <v>2</v>
      </c>
      <c r="R154" s="1416">
        <v>0.28000000000000003</v>
      </c>
      <c r="S154" s="1687">
        <v>0.2</v>
      </c>
      <c r="T154" s="1624">
        <v>6.5</v>
      </c>
      <c r="U154" s="1616" t="s">
        <v>645</v>
      </c>
      <c r="V154" s="1622">
        <f>IF(E154=1,IF(U154="N",LOOKUP(T154,'HS250-DATA'!C$7:C$10,'HS250-DATA'!D$7:D$10),IF(U154="Y",LOOKUP(T154,'HS250-DATA'!C$22:C$25,'HS250-DATA'!D$22:D$25),"FAN?")),IF(U154="N",LOOKUP(T154,'HS250-DATA'!C$14:C$17,'HS250-DATA'!D$14:D$17),IF(U154="Y",LOOKUP(T154,'HS250-DATA'!C$29:C$32,'HS250-DATA'!D$29:D$32),"FAN?")))</f>
        <v>0.122</v>
      </c>
      <c r="W154" s="1602">
        <f>(G154*H154)^2*Q154*10^-3+G154*P154</f>
        <v>89.779005524861887</v>
      </c>
      <c r="X154" s="1602">
        <f>D154*W154</f>
        <v>179.55801104972377</v>
      </c>
      <c r="Y154" s="1602">
        <f>IF(A154=3,W154*6,IF(A154=1,W154*4,W154))</f>
        <v>538.67403314917135</v>
      </c>
      <c r="Z154" s="1579">
        <f>O154-5</f>
        <v>120</v>
      </c>
      <c r="AA154" s="1602">
        <f>D154*W154*V154+AB154</f>
        <v>76.906077348066304</v>
      </c>
      <c r="AB154" s="1588">
        <v>55</v>
      </c>
      <c r="AC154" s="1570"/>
      <c r="AD154" s="1564">
        <f>Q154*10^-3*H154^2</f>
        <v>5.9999999999999993E-3</v>
      </c>
      <c r="AE154" s="1634">
        <f>P154</f>
        <v>0.9</v>
      </c>
      <c r="AF154" s="1635">
        <f>(AB154-Z154)/(R154+S154+D154*V154)</f>
        <v>-89.779005524861887</v>
      </c>
      <c r="AG154" s="1636">
        <f>AE154^2-4*AD154*AF154</f>
        <v>2.9646961325966852</v>
      </c>
      <c r="AH154" s="1741">
        <f>SUM(AJ154:AL154)</f>
        <v>124.05000000000001</v>
      </c>
      <c r="AI154" s="1607"/>
      <c r="AJ154" s="1733">
        <f>C154*LOOKUP(T154,'HS250-DATA'!C$7:C$10,'HS250-DATA'!F$7:F$10)</f>
        <v>49.050000000000004</v>
      </c>
      <c r="AK154" s="1733">
        <f>IF(U154="Y",C154*12,0)</f>
        <v>36</v>
      </c>
      <c r="AL154" s="1733">
        <f>C154*E154*VLOOKUP(K154,'SCR-Diode DATA'!D$7:M$43,10,FALSE)</f>
        <v>39</v>
      </c>
      <c r="AM154" s="507">
        <f>AH154/F154</f>
        <v>0.60377501873772077</v>
      </c>
    </row>
    <row r="155" spans="1:39" ht="18.75">
      <c r="A155" s="1598">
        <v>1</v>
      </c>
      <c r="B155" s="1533">
        <f t="shared" si="89"/>
        <v>4</v>
      </c>
      <c r="C155" s="1600">
        <v>1</v>
      </c>
      <c r="D155" s="1575">
        <f>B155/C155</f>
        <v>4</v>
      </c>
      <c r="E155" s="1575">
        <v>2</v>
      </c>
      <c r="F155" s="1611">
        <f>IF(A155=3,3*G155,IF(A155=1,2*G155,IF(A155="bd",1*G155,IF(A155="fwd",1,"Error"))))</f>
        <v>121.51038143819653</v>
      </c>
      <c r="G155" s="1582">
        <f>(-AE155+SQRT(AG155))/2/AD155</f>
        <v>60.755190719098266</v>
      </c>
      <c r="H155" s="1583">
        <f>IF(A155=3,SQRT(3),IF(A155=1,SQRT(2),1))</f>
        <v>1.4142135623730951</v>
      </c>
      <c r="I155" s="1594">
        <f>H155*G155</f>
        <v>85.920814699512761</v>
      </c>
      <c r="J155" s="1680" t="s">
        <v>552</v>
      </c>
      <c r="K155" s="1418" t="s">
        <v>553</v>
      </c>
      <c r="L155" s="1419">
        <v>90</v>
      </c>
      <c r="M155" s="1419">
        <v>150</v>
      </c>
      <c r="N155" s="1419">
        <v>1950</v>
      </c>
      <c r="O155" s="1412">
        <v>125</v>
      </c>
      <c r="P155" s="1416">
        <v>0.9</v>
      </c>
      <c r="Q155" s="1416">
        <v>2</v>
      </c>
      <c r="R155" s="1416">
        <v>0.28000000000000003</v>
      </c>
      <c r="S155" s="1687">
        <v>0.2</v>
      </c>
      <c r="T155" s="1624">
        <v>6.5</v>
      </c>
      <c r="U155" s="1616" t="s">
        <v>645</v>
      </c>
      <c r="V155" s="1622">
        <f>IF(E155=1,IF(U155="N",LOOKUP(T155,'HS250-DATA'!C$7:C$10,'HS250-DATA'!D$7:D$10),IF(U155="Y",LOOKUP(T155,'HS250-DATA'!C$22:C$25,'HS250-DATA'!D$22:D$25),"FAN?")),IF(U155="N",LOOKUP(T155,'HS250-DATA'!C$14:C$17,'HS250-DATA'!D$14:D$17),IF(U155="Y",LOOKUP(T155,'HS250-DATA'!C$29:C$32,'HS250-DATA'!D$29:D$32),"FAN?")))</f>
        <v>0.114</v>
      </c>
      <c r="W155" s="1602">
        <f>(G155*H155)^2*Q155*10^-3+G155*P155</f>
        <v>69.444444444444457</v>
      </c>
      <c r="X155" s="1602">
        <f>D155*W155</f>
        <v>277.77777777777783</v>
      </c>
      <c r="Y155" s="1602">
        <f>IF(A155=3,W155*6,IF(A155=1,W155*4,W155))</f>
        <v>277.77777777777783</v>
      </c>
      <c r="Z155" s="1579">
        <f>O155-5</f>
        <v>120</v>
      </c>
      <c r="AA155" s="1602">
        <f>D155*W155*V155+AB155</f>
        <v>86.666666666666671</v>
      </c>
      <c r="AB155" s="1588">
        <v>55</v>
      </c>
      <c r="AC155" s="1570"/>
      <c r="AD155" s="1564">
        <f>Q155*10^-3*H155^2</f>
        <v>4.000000000000001E-3</v>
      </c>
      <c r="AE155" s="1634">
        <f>P155</f>
        <v>0.9</v>
      </c>
      <c r="AF155" s="1635">
        <f>(AB155-Z155)/(R155+S155+D155*V155)</f>
        <v>-69.444444444444443</v>
      </c>
      <c r="AG155" s="1636">
        <f>AE155^2-4*AD155*AF155</f>
        <v>1.9211111111111114</v>
      </c>
      <c r="AH155" s="1741">
        <f>SUM(AJ155:AL155)</f>
        <v>54.35</v>
      </c>
      <c r="AI155" s="1607"/>
      <c r="AJ155" s="1733">
        <f>C155*LOOKUP(T155,'HS250-DATA'!C$7:C$10,'HS250-DATA'!F$7:F$10)</f>
        <v>16.350000000000001</v>
      </c>
      <c r="AK155" s="1733">
        <f>IF(U155="Y",C155*12,0)</f>
        <v>12</v>
      </c>
      <c r="AL155" s="1733">
        <f>C155*E155*VLOOKUP(K155,'SCR-Diode DATA'!D$7:M$43,10,FALSE)</f>
        <v>26</v>
      </c>
      <c r="AM155" s="507">
        <f>AH155/F155</f>
        <v>0.4472868849287901</v>
      </c>
    </row>
    <row r="156" spans="1:39" ht="18.75">
      <c r="A156" s="1598">
        <v>1</v>
      </c>
      <c r="B156" s="1533">
        <f t="shared" si="89"/>
        <v>4</v>
      </c>
      <c r="C156" s="1600">
        <v>2</v>
      </c>
      <c r="D156" s="1575">
        <f>B156/C156</f>
        <v>2</v>
      </c>
      <c r="E156" s="1575">
        <v>1</v>
      </c>
      <c r="F156" s="1611">
        <f>IF(A156=3,3*G156,IF(A156=1,2*G156,IF(A156="bd",1*G156,IF(A156="fwd",1,"Error"))))</f>
        <v>149.70522484329183</v>
      </c>
      <c r="G156" s="1582">
        <f>(-AE156+SQRT(AG156))/2/AD156</f>
        <v>74.852612421645915</v>
      </c>
      <c r="H156" s="1583">
        <f>IF(A156=3,SQRT(3),IF(A156=1,SQRT(2),1))</f>
        <v>1.4142135623730951</v>
      </c>
      <c r="I156" s="1594">
        <f>H156*G156</f>
        <v>105.85757966574846</v>
      </c>
      <c r="J156" s="1680" t="s">
        <v>552</v>
      </c>
      <c r="K156" s="1418" t="s">
        <v>553</v>
      </c>
      <c r="L156" s="1419">
        <v>90</v>
      </c>
      <c r="M156" s="1419">
        <v>150</v>
      </c>
      <c r="N156" s="1419">
        <v>1950</v>
      </c>
      <c r="O156" s="1412">
        <v>125</v>
      </c>
      <c r="P156" s="1416">
        <v>0.9</v>
      </c>
      <c r="Q156" s="1416">
        <v>2</v>
      </c>
      <c r="R156" s="1416">
        <v>0.28000000000000003</v>
      </c>
      <c r="S156" s="1687">
        <v>0.2</v>
      </c>
      <c r="T156" s="1624">
        <v>6.5</v>
      </c>
      <c r="U156" s="1616" t="s">
        <v>645</v>
      </c>
      <c r="V156" s="1622">
        <f>IF(E156=1,IF(U156="N",LOOKUP(T156,'HS250-DATA'!C$7:C$10,'HS250-DATA'!D$7:D$10),IF(U156="Y",LOOKUP(T156,'HS250-DATA'!C$22:C$25,'HS250-DATA'!D$22:D$25),"FAN?")),IF(U156="N",LOOKUP(T156,'HS250-DATA'!C$14:C$17,'HS250-DATA'!D$14:D$17),IF(U156="Y",LOOKUP(T156,'HS250-DATA'!C$29:C$32,'HS250-DATA'!D$29:D$32),"FAN?")))</f>
        <v>0.122</v>
      </c>
      <c r="W156" s="1602">
        <f>(G156*H156)^2*Q156*10^-3+G156*P156</f>
        <v>89.779005524861901</v>
      </c>
      <c r="X156" s="1602">
        <f>D156*W156</f>
        <v>179.5580110497238</v>
      </c>
      <c r="Y156" s="1602">
        <f>IF(A156=3,W156*6,IF(A156=1,W156*4,W156))</f>
        <v>359.1160220994476</v>
      </c>
      <c r="Z156" s="1579">
        <f>O156-5</f>
        <v>120</v>
      </c>
      <c r="AA156" s="1602">
        <f>D156*W156*V156+AB156</f>
        <v>76.906077348066304</v>
      </c>
      <c r="AB156" s="1588">
        <v>55</v>
      </c>
      <c r="AC156" s="1570"/>
      <c r="AD156" s="1564">
        <f>Q156*10^-3*H156^2</f>
        <v>4.000000000000001E-3</v>
      </c>
      <c r="AE156" s="1634">
        <f>P156</f>
        <v>0.9</v>
      </c>
      <c r="AF156" s="1635">
        <f>(AB156-Z156)/(R156+S156+D156*V156)</f>
        <v>-89.779005524861887</v>
      </c>
      <c r="AG156" s="1636">
        <f>AE156^2-4*AD156*AF156</f>
        <v>2.2464640883977909</v>
      </c>
      <c r="AH156" s="1741">
        <f>SUM(AJ156:AL156)</f>
        <v>82.7</v>
      </c>
      <c r="AI156" s="1607"/>
      <c r="AJ156" s="1733">
        <f>C156*LOOKUP(T156,'HS250-DATA'!C$7:C$10,'HS250-DATA'!F$7:F$10)</f>
        <v>32.700000000000003</v>
      </c>
      <c r="AK156" s="1733">
        <f>IF(U156="Y",C156*12,0)</f>
        <v>24</v>
      </c>
      <c r="AL156" s="1733">
        <f>C156*E156*VLOOKUP(K156,'SCR-Diode DATA'!D$7:M$43,10,FALSE)</f>
        <v>26</v>
      </c>
      <c r="AM156" s="507">
        <f>AH156/F156</f>
        <v>0.55241892917610969</v>
      </c>
    </row>
    <row r="157" spans="1:39" ht="18.75">
      <c r="A157" s="1598"/>
      <c r="B157" s="1533"/>
      <c r="C157" s="1600"/>
      <c r="D157" s="1575"/>
      <c r="E157" s="1575"/>
      <c r="F157" s="1611"/>
      <c r="G157" s="1582"/>
      <c r="H157" s="1583"/>
      <c r="I157" s="1594"/>
      <c r="J157" s="1680"/>
      <c r="K157" s="1418"/>
      <c r="L157" s="1419"/>
      <c r="M157" s="1419"/>
      <c r="N157" s="1419"/>
      <c r="O157" s="1412"/>
      <c r="P157" s="1416"/>
      <c r="Q157" s="1416"/>
      <c r="R157" s="1416"/>
      <c r="S157" s="1687"/>
      <c r="T157" s="1624"/>
      <c r="U157" s="1616"/>
      <c r="V157" s="1622"/>
      <c r="W157" s="1602"/>
      <c r="X157" s="1602"/>
      <c r="Y157" s="1602"/>
      <c r="Z157" s="1579"/>
      <c r="AA157" s="1602"/>
      <c r="AB157" s="1588"/>
      <c r="AC157" s="1570"/>
      <c r="AD157" s="1564"/>
      <c r="AE157" s="1634"/>
      <c r="AF157" s="1635"/>
      <c r="AG157" s="1636"/>
      <c r="AH157" s="1742"/>
      <c r="AI157" s="1607"/>
      <c r="AJ157" s="1607"/>
      <c r="AK157" s="1607"/>
      <c r="AL157" s="1733"/>
      <c r="AM157" s="1743"/>
    </row>
    <row r="158" spans="1:39" ht="18.75">
      <c r="A158" s="1598">
        <v>3</v>
      </c>
      <c r="B158" s="1533">
        <f t="shared" si="89"/>
        <v>6</v>
      </c>
      <c r="C158" s="1600">
        <v>1</v>
      </c>
      <c r="D158" s="1575">
        <f>B158/C158</f>
        <v>6</v>
      </c>
      <c r="E158" s="1575">
        <v>3</v>
      </c>
      <c r="F158" s="1611">
        <f>IF(A158=3,3*G158,IF(A158=1,2*G158,IF(A158="bd",1*G158,IF(A158="fwd",1,"Error"))))</f>
        <v>182.01183059693832</v>
      </c>
      <c r="G158" s="1582">
        <f>(-AE158+SQRT(AG158))/2/AD158</f>
        <v>60.670610198979439</v>
      </c>
      <c r="H158" s="1583">
        <f>IF(A158=3,SQRT(3),IF(A158=1,SQRT(2),1))</f>
        <v>1.7320508075688772</v>
      </c>
      <c r="I158" s="1594">
        <f>H158*G158</f>
        <v>105.0845793908389</v>
      </c>
      <c r="J158" s="1680" t="s">
        <v>548</v>
      </c>
      <c r="K158" s="1418" t="s">
        <v>554</v>
      </c>
      <c r="L158" s="1419">
        <v>160</v>
      </c>
      <c r="M158" s="1419">
        <v>250</v>
      </c>
      <c r="N158" s="1419">
        <v>4100</v>
      </c>
      <c r="O158" s="1412">
        <v>125</v>
      </c>
      <c r="P158" s="1416">
        <v>0.85</v>
      </c>
      <c r="Q158" s="1416">
        <v>1.5</v>
      </c>
      <c r="R158" s="1416">
        <v>0.17</v>
      </c>
      <c r="S158" s="1687">
        <v>0.1</v>
      </c>
      <c r="T158" s="1624">
        <v>6.5</v>
      </c>
      <c r="U158" s="1616" t="s">
        <v>645</v>
      </c>
      <c r="V158" s="1622">
        <f>IF(E158=1,IF(U158="N",LOOKUP(T158,'HS250-DATA'!C$7:C$10,'HS250-DATA'!D$7:D$10),IF(U158="Y",LOOKUP(T158,'HS250-DATA'!C$22:C$25,'HS250-DATA'!D$22:D$25),"FAN?")),IF(U158="N",LOOKUP(T158,'HS250-DATA'!C$14:C$17,'HS250-DATA'!D$14:D$17),IF(U158="Y",LOOKUP(T158,'HS250-DATA'!C$29:C$32,'HS250-DATA'!D$29:D$32),"FAN?")))</f>
        <v>0.114</v>
      </c>
      <c r="W158" s="1602">
        <f>(G158*H158)^2*Q158*10^-3+G158*P158</f>
        <v>68.134171907756809</v>
      </c>
      <c r="X158" s="1602">
        <f>D158*W158</f>
        <v>408.80503144654085</v>
      </c>
      <c r="Y158" s="1602">
        <f>IF(A158=3,W158*6,IF(A158=1,W158*4,W158))</f>
        <v>408.80503144654085</v>
      </c>
      <c r="Z158" s="1579">
        <f>O158-5</f>
        <v>120</v>
      </c>
      <c r="AA158" s="1602">
        <f>D158*W158*V158+AB158</f>
        <v>101.60377358490567</v>
      </c>
      <c r="AB158" s="1588">
        <v>55</v>
      </c>
      <c r="AC158" s="1570"/>
      <c r="AD158" s="1564">
        <f>Q158*10^-3*H158^2</f>
        <v>4.4999999999999997E-3</v>
      </c>
      <c r="AE158" s="1634">
        <f>P158</f>
        <v>0.85</v>
      </c>
      <c r="AF158" s="1635">
        <f>(AB158-Z158)/(R158+S158+D158*V158)</f>
        <v>-68.134171907756809</v>
      </c>
      <c r="AG158" s="1636">
        <f>AE158^2-4*AD158*AF158</f>
        <v>1.9489150943396223</v>
      </c>
      <c r="AH158" s="1741">
        <f>SUM(AJ158:AL158)</f>
        <v>136.35</v>
      </c>
      <c r="AI158" s="1607"/>
      <c r="AJ158" s="1733">
        <f>C158*LOOKUP(T158,'HS250-DATA'!C$7:C$10,'HS250-DATA'!F$7:F$10)</f>
        <v>16.350000000000001</v>
      </c>
      <c r="AK158" s="1733">
        <f>IF(U158="Y",C158*12,0)</f>
        <v>12</v>
      </c>
      <c r="AL158" s="1733">
        <f>C158*E158*VLOOKUP(K158,'SCR-Diode DATA'!D$7:M$43,10,FALSE)</f>
        <v>108</v>
      </c>
      <c r="AM158" s="507">
        <f>AH158/F158</f>
        <v>0.74912712845542673</v>
      </c>
    </row>
    <row r="159" spans="1:39" ht="18.75">
      <c r="A159" s="1598">
        <v>3</v>
      </c>
      <c r="B159" s="1533">
        <f t="shared" si="89"/>
        <v>6</v>
      </c>
      <c r="C159" s="1600">
        <v>3</v>
      </c>
      <c r="D159" s="1575">
        <f>B159/C159</f>
        <v>2</v>
      </c>
      <c r="E159" s="1575">
        <v>1</v>
      </c>
      <c r="F159" s="1611">
        <f>IF(A159=3,3*G159,IF(A159=1,2*G159,IF(A159="bd",1*G159,IF(A159="fwd",1,"Error"))))</f>
        <v>293.89804637113224</v>
      </c>
      <c r="G159" s="1582">
        <f>(-AE159+SQRT(AG159))/2/AD159</f>
        <v>97.96601545704408</v>
      </c>
      <c r="H159" s="1583">
        <f>IF(A159=3,SQRT(3),IF(A159=1,SQRT(2),1))</f>
        <v>1.7320508075688772</v>
      </c>
      <c r="I159" s="1594">
        <f>H159*G159</f>
        <v>169.68211618667831</v>
      </c>
      <c r="J159" s="1680" t="s">
        <v>548</v>
      </c>
      <c r="K159" s="1418" t="s">
        <v>554</v>
      </c>
      <c r="L159" s="1419">
        <v>160</v>
      </c>
      <c r="M159" s="1419">
        <v>250</v>
      </c>
      <c r="N159" s="1419">
        <v>4100</v>
      </c>
      <c r="O159" s="1412">
        <v>125</v>
      </c>
      <c r="P159" s="1416">
        <v>0.85</v>
      </c>
      <c r="Q159" s="1416">
        <v>1.5</v>
      </c>
      <c r="R159" s="1416">
        <v>0.17</v>
      </c>
      <c r="S159" s="1687">
        <v>0.1</v>
      </c>
      <c r="T159" s="1624">
        <v>6.5</v>
      </c>
      <c r="U159" s="1616" t="s">
        <v>645</v>
      </c>
      <c r="V159" s="1622">
        <f>IF(E159=1,IF(U159="N",LOOKUP(T159,'HS250-DATA'!C$7:C$10,'HS250-DATA'!D$7:D$10),IF(U159="Y",LOOKUP(T159,'HS250-DATA'!C$22:C$25,'HS250-DATA'!D$22:D$25),"FAN?")),IF(U159="N",LOOKUP(T159,'HS250-DATA'!C$14:C$17,'HS250-DATA'!D$14:D$17),IF(U159="Y",LOOKUP(T159,'HS250-DATA'!C$29:C$32,'HS250-DATA'!D$29:D$32),"FAN?")))</f>
        <v>0.122</v>
      </c>
      <c r="W159" s="1602">
        <f>(G159*H159)^2*Q159*10^-3+G159*P159</f>
        <v>126.45914396887156</v>
      </c>
      <c r="X159" s="1602">
        <f>D159*W159</f>
        <v>252.91828793774312</v>
      </c>
      <c r="Y159" s="1602">
        <f>IF(A159=3,W159*6,IF(A159=1,W159*4,W159))</f>
        <v>758.75486381322935</v>
      </c>
      <c r="Z159" s="1579">
        <f>O159-5</f>
        <v>120</v>
      </c>
      <c r="AA159" s="1602">
        <f>D159*W159*V159+AB159</f>
        <v>85.856031128404652</v>
      </c>
      <c r="AB159" s="1588">
        <v>55</v>
      </c>
      <c r="AC159" s="1570"/>
      <c r="AD159" s="1564">
        <f>Q159*10^-3*H159^2</f>
        <v>4.4999999999999997E-3</v>
      </c>
      <c r="AE159" s="1634">
        <f>P159</f>
        <v>0.85</v>
      </c>
      <c r="AF159" s="1635">
        <f>(AB159-Z159)/(R159+S159+D159*V159)</f>
        <v>-126.45914396887159</v>
      </c>
      <c r="AG159" s="1636">
        <f>AE159^2-4*AD159*AF159</f>
        <v>2.9987645914396879</v>
      </c>
      <c r="AH159" s="1741">
        <f>SUM(AJ159:AL159)</f>
        <v>193.05</v>
      </c>
      <c r="AI159" s="1607"/>
      <c r="AJ159" s="1733">
        <f>C159*LOOKUP(T159,'HS250-DATA'!C$7:C$10,'HS250-DATA'!F$7:F$10)</f>
        <v>49.050000000000004</v>
      </c>
      <c r="AK159" s="1733">
        <f>IF(U159="Y",C159*12,0)</f>
        <v>36</v>
      </c>
      <c r="AL159" s="1733">
        <f>C159*E159*VLOOKUP(K159,'SCR-Diode DATA'!D$7:M$43,10,FALSE)</f>
        <v>108</v>
      </c>
      <c r="AM159" s="507">
        <f>AH159/F159</f>
        <v>0.65686043981462172</v>
      </c>
    </row>
    <row r="160" spans="1:39" ht="18.75">
      <c r="A160" s="1598">
        <v>1</v>
      </c>
      <c r="B160" s="1533">
        <f t="shared" si="89"/>
        <v>4</v>
      </c>
      <c r="C160" s="1600">
        <v>1</v>
      </c>
      <c r="D160" s="1575">
        <f>B160/C160</f>
        <v>4</v>
      </c>
      <c r="E160" s="1575">
        <v>2</v>
      </c>
      <c r="F160" s="1611">
        <f>IF(A160=3,3*G160,IF(A160=1,2*G160,IF(A160="bd",1*G160,IF(A160="fwd",1,"Error"))))</f>
        <v>163.49252950229783</v>
      </c>
      <c r="G160" s="1582">
        <f>(-AE160+SQRT(AG160))/2/AD160</f>
        <v>81.746264751148914</v>
      </c>
      <c r="H160" s="1583">
        <f>IF(A160=3,SQRT(3),IF(A160=1,SQRT(2),1))</f>
        <v>1.4142135623730951</v>
      </c>
      <c r="I160" s="1594">
        <f>H160*G160</f>
        <v>115.60667628441648</v>
      </c>
      <c r="J160" s="1680" t="s">
        <v>552</v>
      </c>
      <c r="K160" s="1418" t="s">
        <v>555</v>
      </c>
      <c r="L160" s="1419">
        <v>160</v>
      </c>
      <c r="M160" s="1419">
        <v>250</v>
      </c>
      <c r="N160" s="1419">
        <v>4100</v>
      </c>
      <c r="O160" s="1412">
        <v>125</v>
      </c>
      <c r="P160" s="1416">
        <v>0.85</v>
      </c>
      <c r="Q160" s="1416">
        <v>1.5</v>
      </c>
      <c r="R160" s="1416">
        <v>0.17</v>
      </c>
      <c r="S160" s="1687">
        <v>0.1</v>
      </c>
      <c r="T160" s="1624">
        <v>6.5</v>
      </c>
      <c r="U160" s="1616" t="s">
        <v>645</v>
      </c>
      <c r="V160" s="1622">
        <f>IF(E160=1,IF(U160="N",LOOKUP(T160,'HS250-DATA'!C$7:C$10,'HS250-DATA'!D$7:D$10),IF(U160="Y",LOOKUP(T160,'HS250-DATA'!C$22:C$25,'HS250-DATA'!D$22:D$25),"FAN?")),IF(U160="N",LOOKUP(T160,'HS250-DATA'!C$14:C$17,'HS250-DATA'!D$14:D$17),IF(U160="Y",LOOKUP(T160,'HS250-DATA'!C$29:C$32,'HS250-DATA'!D$29:D$32),"FAN?")))</f>
        <v>0.114</v>
      </c>
      <c r="W160" s="1602">
        <f>(G160*H160)^2*Q160*10^-3+G160*P160</f>
        <v>89.531680440771368</v>
      </c>
      <c r="X160" s="1602">
        <f>D160*W160</f>
        <v>358.12672176308547</v>
      </c>
      <c r="Y160" s="1602">
        <f>IF(A160=3,W160*6,IF(A160=1,W160*4,W160))</f>
        <v>358.12672176308547</v>
      </c>
      <c r="Z160" s="1579">
        <f>O160-5</f>
        <v>120</v>
      </c>
      <c r="AA160" s="1602">
        <f>D160*W160*V160+AB160</f>
        <v>95.826446280991746</v>
      </c>
      <c r="AB160" s="1588">
        <v>55</v>
      </c>
      <c r="AC160" s="1570"/>
      <c r="AD160" s="1564">
        <f>Q160*10^-3*H160^2</f>
        <v>3.0000000000000009E-3</v>
      </c>
      <c r="AE160" s="1634">
        <f>P160</f>
        <v>0.85</v>
      </c>
      <c r="AF160" s="1635">
        <f>(AB160-Z160)/(R160+S160+D160*V160)</f>
        <v>-89.531680440771353</v>
      </c>
      <c r="AG160" s="1636">
        <f>AE160^2-4*AD160*AF160</f>
        <v>1.7968801652892565</v>
      </c>
      <c r="AH160" s="1741">
        <f>SUM(AJ160:AL160)</f>
        <v>100.35</v>
      </c>
      <c r="AI160" s="1607"/>
      <c r="AJ160" s="1733">
        <f>C160*LOOKUP(T160,'HS250-DATA'!C$7:C$10,'HS250-DATA'!F$7:F$10)</f>
        <v>16.350000000000001</v>
      </c>
      <c r="AK160" s="1733">
        <f>IF(U160="Y",C160*12,0)</f>
        <v>12</v>
      </c>
      <c r="AL160" s="1733">
        <f>C160*E160*VLOOKUP(K160,'SCR-Diode DATA'!D$7:M$43,10,FALSE)</f>
        <v>72</v>
      </c>
      <c r="AM160" s="507">
        <f>AH160/F160</f>
        <v>0.61378951261861547</v>
      </c>
    </row>
    <row r="161" spans="1:39" ht="18.75">
      <c r="A161" s="1598">
        <v>1</v>
      </c>
      <c r="B161" s="1533">
        <f t="shared" si="89"/>
        <v>4</v>
      </c>
      <c r="C161" s="1600">
        <v>2</v>
      </c>
      <c r="D161" s="1575">
        <f>B161/C161</f>
        <v>2</v>
      </c>
      <c r="E161" s="1575">
        <v>1</v>
      </c>
      <c r="F161" s="1611">
        <f>IF(A161=3,3*G161,IF(A161=1,2*G161,IF(A161="bd",1*G161,IF(A161="fwd",1,"Error"))))</f>
        <v>215.55540149265289</v>
      </c>
      <c r="G161" s="1582">
        <f>(-AE161+SQRT(AG161))/2/AD161</f>
        <v>107.77770074632645</v>
      </c>
      <c r="H161" s="1583">
        <f>IF(A161=3,SQRT(3),IF(A161=1,SQRT(2),1))</f>
        <v>1.4142135623730951</v>
      </c>
      <c r="I161" s="1594">
        <f>H161*G161</f>
        <v>152.42068611684371</v>
      </c>
      <c r="J161" s="1680" t="s">
        <v>552</v>
      </c>
      <c r="K161" s="1418" t="s">
        <v>555</v>
      </c>
      <c r="L161" s="1419">
        <v>160</v>
      </c>
      <c r="M161" s="1419">
        <v>250</v>
      </c>
      <c r="N161" s="1419">
        <v>4100</v>
      </c>
      <c r="O161" s="1412">
        <v>125</v>
      </c>
      <c r="P161" s="1416">
        <v>0.85</v>
      </c>
      <c r="Q161" s="1416">
        <v>1.5</v>
      </c>
      <c r="R161" s="1416">
        <v>0.17</v>
      </c>
      <c r="S161" s="1687">
        <v>0.1</v>
      </c>
      <c r="T161" s="1624">
        <v>6.5</v>
      </c>
      <c r="U161" s="1616" t="s">
        <v>645</v>
      </c>
      <c r="V161" s="1622">
        <f>IF(E161=1,IF(U161="N",LOOKUP(T161,'HS250-DATA'!C$7:C$10,'HS250-DATA'!D$7:D$10),IF(U161="Y",LOOKUP(T161,'HS250-DATA'!C$22:C$25,'HS250-DATA'!D$22:D$25),"FAN?")),IF(U161="N",LOOKUP(T161,'HS250-DATA'!C$14:C$17,'HS250-DATA'!D$14:D$17),IF(U161="Y",LOOKUP(T161,'HS250-DATA'!C$29:C$32,'HS250-DATA'!D$29:D$32),"FAN?")))</f>
        <v>0.122</v>
      </c>
      <c r="W161" s="1602">
        <f>(G161*H161)^2*Q161*10^-3+G161*P161</f>
        <v>126.45914396887156</v>
      </c>
      <c r="X161" s="1602">
        <f>D161*W161</f>
        <v>252.91828793774312</v>
      </c>
      <c r="Y161" s="1602">
        <f>IF(A161=3,W161*6,IF(A161=1,W161*4,W161))</f>
        <v>505.83657587548623</v>
      </c>
      <c r="Z161" s="1579">
        <f>O161-5</f>
        <v>120</v>
      </c>
      <c r="AA161" s="1602">
        <f>D161*W161*V161+AB161</f>
        <v>85.856031128404652</v>
      </c>
      <c r="AB161" s="1588">
        <v>55</v>
      </c>
      <c r="AC161" s="1570"/>
      <c r="AD161" s="1564">
        <f>Q161*10^-3*H161^2</f>
        <v>3.0000000000000009E-3</v>
      </c>
      <c r="AE161" s="1634">
        <f>P161</f>
        <v>0.85</v>
      </c>
      <c r="AF161" s="1635">
        <f>(AB161-Z161)/(R161+S161+D161*V161)</f>
        <v>-126.45914396887159</v>
      </c>
      <c r="AG161" s="1636">
        <f>AE161^2-4*AD161*AF161</f>
        <v>2.2400097276264592</v>
      </c>
      <c r="AH161" s="1741">
        <f>SUM(AJ161:AL161)</f>
        <v>128.69999999999999</v>
      </c>
      <c r="AI161" s="1607"/>
      <c r="AJ161" s="1733">
        <f>C161*LOOKUP(T161,'HS250-DATA'!C$7:C$10,'HS250-DATA'!F$7:F$10)</f>
        <v>32.700000000000003</v>
      </c>
      <c r="AK161" s="1733">
        <f>IF(U161="Y",C161*12,0)</f>
        <v>24</v>
      </c>
      <c r="AL161" s="1733">
        <f>C161*E161*VLOOKUP(K161,'SCR-Diode DATA'!D$7:M$43,10,FALSE)</f>
        <v>72</v>
      </c>
      <c r="AM161" s="507">
        <f>AH161/F161</f>
        <v>0.5970622824053271</v>
      </c>
    </row>
    <row r="162" spans="1:39" ht="18.75">
      <c r="A162" s="1598"/>
      <c r="B162" s="1533"/>
      <c r="C162" s="1600"/>
      <c r="D162" s="1575"/>
      <c r="E162" s="1575"/>
      <c r="F162" s="1611"/>
      <c r="G162" s="1582"/>
      <c r="H162" s="1583"/>
      <c r="I162" s="1594"/>
      <c r="J162" s="1680"/>
      <c r="K162" s="1418"/>
      <c r="L162" s="1419"/>
      <c r="M162" s="1419"/>
      <c r="N162" s="1419"/>
      <c r="O162" s="1412"/>
      <c r="P162" s="1416"/>
      <c r="Q162" s="1416"/>
      <c r="R162" s="1416"/>
      <c r="S162" s="1687"/>
      <c r="T162" s="1624"/>
      <c r="U162" s="1616"/>
      <c r="V162" s="1622"/>
      <c r="W162" s="1602"/>
      <c r="X162" s="1602"/>
      <c r="Y162" s="1602"/>
      <c r="Z162" s="1579"/>
      <c r="AA162" s="1602"/>
      <c r="AB162" s="1588"/>
      <c r="AC162" s="1570"/>
      <c r="AD162" s="1564"/>
      <c r="AE162" s="1634"/>
      <c r="AF162" s="1635"/>
      <c r="AG162" s="1636"/>
      <c r="AH162" s="1742"/>
      <c r="AI162" s="1607"/>
      <c r="AJ162" s="1607"/>
      <c r="AK162" s="1607"/>
      <c r="AL162" s="1733"/>
      <c r="AM162" s="1743"/>
    </row>
    <row r="163" spans="1:39" ht="18.75">
      <c r="A163" s="1598">
        <v>3</v>
      </c>
      <c r="B163" s="1533">
        <f t="shared" si="89"/>
        <v>6</v>
      </c>
      <c r="C163" s="1600">
        <v>1</v>
      </c>
      <c r="D163" s="1575">
        <f>B163/C163</f>
        <v>6</v>
      </c>
      <c r="E163" s="1575">
        <v>3</v>
      </c>
      <c r="F163" s="1611">
        <f>IF(A163=3,3*G163,IF(A163=1,2*G163,IF(A163="bd",1*G163,IF(A163="fwd",1,"Error"))))</f>
        <v>230.97214401841026</v>
      </c>
      <c r="G163" s="1582">
        <f>(-AE163+SQRT(AG163))/2/AD163</f>
        <v>76.990714672803421</v>
      </c>
      <c r="H163" s="1583">
        <f>IF(A163=3,SQRT(3),IF(A163=1,SQRT(2),1))</f>
        <v>1.7320508075688772</v>
      </c>
      <c r="I163" s="1594">
        <f>H163*G163</f>
        <v>133.35182952433416</v>
      </c>
      <c r="J163" s="1680" t="s">
        <v>548</v>
      </c>
      <c r="K163" s="1418" t="s">
        <v>469</v>
      </c>
      <c r="L163" s="1419">
        <v>250</v>
      </c>
      <c r="M163" s="1419">
        <v>393</v>
      </c>
      <c r="N163" s="1419">
        <v>8800</v>
      </c>
      <c r="O163" s="1412">
        <v>125</v>
      </c>
      <c r="P163" s="1416">
        <v>0.81899999999999995</v>
      </c>
      <c r="Q163" s="1416">
        <v>0.58899999999999997</v>
      </c>
      <c r="R163" s="1416">
        <v>0.14000000000000001</v>
      </c>
      <c r="S163" s="1687">
        <v>0.06</v>
      </c>
      <c r="T163" s="1624">
        <v>6.5</v>
      </c>
      <c r="U163" s="1616" t="s">
        <v>645</v>
      </c>
      <c r="V163" s="1622">
        <f>IF(E163=1,IF(U163="N",LOOKUP(T163,'HS250-DATA'!C$7:C$10,'HS250-DATA'!D$7:D$10),IF(U163="Y",LOOKUP(T163,'HS250-DATA'!C$22:C$25,'HS250-DATA'!D$22:D$25),"FAN?")),IF(U163="N",LOOKUP(T163,'HS250-DATA'!C$14:C$17,'HS250-DATA'!D$14:D$17),IF(U163="Y",LOOKUP(T163,'HS250-DATA'!C$29:C$32,'HS250-DATA'!D$29:D$32),"FAN?")))</f>
        <v>0.114</v>
      </c>
      <c r="W163" s="1602">
        <f>(G163*H163)^2*Q163*10^-3+G163*P163</f>
        <v>73.529411764705884</v>
      </c>
      <c r="X163" s="1602">
        <f>D163*W163</f>
        <v>441.1764705882353</v>
      </c>
      <c r="Y163" s="1602">
        <f>IF(A163=3,W163*6,IF(A163=1,W163*4,W163))</f>
        <v>441.1764705882353</v>
      </c>
      <c r="Z163" s="1579">
        <f>O163-5</f>
        <v>120</v>
      </c>
      <c r="AA163" s="1602">
        <f>D163*W163*V163+AB163</f>
        <v>105.29411764705883</v>
      </c>
      <c r="AB163" s="1588">
        <v>55</v>
      </c>
      <c r="AC163" s="1570"/>
      <c r="AD163" s="1564">
        <f>Q163*10^-3*H163^2</f>
        <v>1.7669999999999997E-3</v>
      </c>
      <c r="AE163" s="1634">
        <f>P163</f>
        <v>0.81899999999999995</v>
      </c>
      <c r="AF163" s="1635">
        <f>(AB163-Z163)/(R163+S163+D163*V163)</f>
        <v>-73.52941176470587</v>
      </c>
      <c r="AG163" s="1636">
        <f>AE163^2-4*AD163*AF163</f>
        <v>1.190466882352941</v>
      </c>
      <c r="AH163" s="1741">
        <f>SUM(AJ163:AL163)</f>
        <v>253.35</v>
      </c>
      <c r="AI163" s="1607"/>
      <c r="AJ163" s="1733">
        <f>C163*LOOKUP(T163,'HS250-DATA'!C$7:C$10,'HS250-DATA'!F$7:F$10)</f>
        <v>16.350000000000001</v>
      </c>
      <c r="AK163" s="1733">
        <f>IF(U163="Y",C163*12,0)</f>
        <v>12</v>
      </c>
      <c r="AL163" s="1733">
        <f>C163*E163*VLOOKUP(K163,'SCR-Diode DATA'!D$7:M$43,10,FALSE)</f>
        <v>225</v>
      </c>
      <c r="AM163" s="507">
        <f>AH163/F163</f>
        <v>1.0968855187134863</v>
      </c>
    </row>
    <row r="164" spans="1:39" ht="18.75">
      <c r="A164" s="1598">
        <v>3</v>
      </c>
      <c r="B164" s="1533">
        <f t="shared" si="89"/>
        <v>6</v>
      </c>
      <c r="C164" s="1600">
        <v>3</v>
      </c>
      <c r="D164" s="1575">
        <f>B164/C164</f>
        <v>2</v>
      </c>
      <c r="E164" s="1575">
        <v>1</v>
      </c>
      <c r="F164" s="1611">
        <f>IF(A164=3,3*G164,IF(A164=1,2*G164,IF(A164="bd",1*G164,IF(A164="fwd",1,"Error"))))</f>
        <v>413.36535002236133</v>
      </c>
      <c r="G164" s="1582">
        <f>(-AE164+SQRT(AG164))/2/AD164</f>
        <v>137.78845000745378</v>
      </c>
      <c r="H164" s="1583">
        <f>IF(A164=3,SQRT(3),IF(A164=1,SQRT(2),1))</f>
        <v>1.7320508075688772</v>
      </c>
      <c r="I164" s="1594">
        <f>H164*G164</f>
        <v>238.65659610907417</v>
      </c>
      <c r="J164" s="1680" t="s">
        <v>548</v>
      </c>
      <c r="K164" s="1418" t="s">
        <v>469</v>
      </c>
      <c r="L164" s="1419">
        <v>250</v>
      </c>
      <c r="M164" s="1419">
        <v>393</v>
      </c>
      <c r="N164" s="1419">
        <v>8800</v>
      </c>
      <c r="O164" s="1412">
        <v>125</v>
      </c>
      <c r="P164" s="1416">
        <v>0.81899999999999995</v>
      </c>
      <c r="Q164" s="1416">
        <v>0.58899999999999997</v>
      </c>
      <c r="R164" s="1416">
        <v>0.14000000000000001</v>
      </c>
      <c r="S164" s="1687">
        <v>0.06</v>
      </c>
      <c r="T164" s="1624">
        <v>6.5</v>
      </c>
      <c r="U164" s="1616" t="s">
        <v>645</v>
      </c>
      <c r="V164" s="1622">
        <f>IF(E164=1,IF(U164="N",LOOKUP(T164,'HS250-DATA'!C$7:C$10,'HS250-DATA'!D$7:D$10),IF(U164="Y",LOOKUP(T164,'HS250-DATA'!C$22:C$25,'HS250-DATA'!D$22:D$25),"FAN?")),IF(U164="N",LOOKUP(T164,'HS250-DATA'!C$14:C$17,'HS250-DATA'!D$14:D$17),IF(U164="Y",LOOKUP(T164,'HS250-DATA'!C$29:C$32,'HS250-DATA'!D$29:D$32),"FAN?")))</f>
        <v>0.122</v>
      </c>
      <c r="W164" s="1602">
        <f>(G164*H164)^2*Q164*10^-3+G164*P164</f>
        <v>146.39639639639643</v>
      </c>
      <c r="X164" s="1602">
        <f>D164*W164</f>
        <v>292.79279279279285</v>
      </c>
      <c r="Y164" s="1602">
        <f>IF(A164=3,W164*6,IF(A164=1,W164*4,W164))</f>
        <v>878.37837837837856</v>
      </c>
      <c r="Z164" s="1579">
        <f>O164-5</f>
        <v>120</v>
      </c>
      <c r="AA164" s="1602">
        <f>D164*W164*V164+AB164</f>
        <v>90.72072072072072</v>
      </c>
      <c r="AB164" s="1588">
        <v>55</v>
      </c>
      <c r="AC164" s="1570"/>
      <c r="AD164" s="1564">
        <f>Q164*10^-3*H164^2</f>
        <v>1.7669999999999997E-3</v>
      </c>
      <c r="AE164" s="1634">
        <f>P164</f>
        <v>0.81899999999999995</v>
      </c>
      <c r="AF164" s="1635">
        <f>(AB164-Z164)/(R164+S164+D164*V164)</f>
        <v>-146.3963963963964</v>
      </c>
      <c r="AG164" s="1636">
        <f>AE164^2-4*AD164*AF164</f>
        <v>1.7054907297297295</v>
      </c>
      <c r="AH164" s="1741">
        <f>SUM(AJ164:AL164)</f>
        <v>310.05</v>
      </c>
      <c r="AI164" s="1607"/>
      <c r="AJ164" s="1733">
        <f>C164*LOOKUP(T164,'HS250-DATA'!C$7:C$10,'HS250-DATA'!F$7:F$10)</f>
        <v>49.050000000000004</v>
      </c>
      <c r="AK164" s="1733">
        <f>IF(U164="Y",C164*12,0)</f>
        <v>36</v>
      </c>
      <c r="AL164" s="1733">
        <f>C164*E164*VLOOKUP(K164,'SCR-Diode DATA'!D$7:M$43,10,FALSE)</f>
        <v>225</v>
      </c>
      <c r="AM164" s="507">
        <f>AH164/F164</f>
        <v>0.75006286807355194</v>
      </c>
    </row>
    <row r="165" spans="1:39" ht="18.75">
      <c r="A165" s="1598">
        <v>1</v>
      </c>
      <c r="B165" s="1533">
        <f t="shared" si="89"/>
        <v>4</v>
      </c>
      <c r="C165" s="1600">
        <v>1</v>
      </c>
      <c r="D165" s="1575">
        <f>B165/C165</f>
        <v>4</v>
      </c>
      <c r="E165" s="1575">
        <v>2</v>
      </c>
      <c r="F165" s="1611">
        <f>IF(A165=3,3*G165,IF(A165=1,2*G165,IF(A165="bd",1*G165,IF(A165="fwd",1,"Error"))))</f>
        <v>210.19299852584555</v>
      </c>
      <c r="G165" s="1582">
        <f>(-AE165+SQRT(AG165))/2/AD165</f>
        <v>105.09649926292278</v>
      </c>
      <c r="H165" s="1583">
        <f>IF(A165=3,SQRT(3),IF(A165=1,SQRT(2),1))</f>
        <v>1.4142135623730951</v>
      </c>
      <c r="I165" s="1594">
        <f>H165*G165</f>
        <v>148.62889461555937</v>
      </c>
      <c r="J165" s="1680" t="s">
        <v>552</v>
      </c>
      <c r="K165" s="1418" t="s">
        <v>556</v>
      </c>
      <c r="L165" s="1419">
        <v>250</v>
      </c>
      <c r="M165" s="1419">
        <v>393</v>
      </c>
      <c r="N165" s="1419">
        <v>8800</v>
      </c>
      <c r="O165" s="1412">
        <v>125</v>
      </c>
      <c r="P165" s="1416">
        <v>0.81899999999999995</v>
      </c>
      <c r="Q165" s="1416">
        <v>0.58899999999999997</v>
      </c>
      <c r="R165" s="1416">
        <v>0.14000000000000001</v>
      </c>
      <c r="S165" s="1687">
        <v>0.06</v>
      </c>
      <c r="T165" s="1624">
        <v>6.5</v>
      </c>
      <c r="U165" s="1616" t="s">
        <v>645</v>
      </c>
      <c r="V165" s="1622">
        <f>IF(E165=1,IF(U165="N",LOOKUP(T165,'HS250-DATA'!C$7:C$10,'HS250-DATA'!D$7:D$10),IF(U165="Y",LOOKUP(T165,'HS250-DATA'!C$22:C$25,'HS250-DATA'!D$22:D$25),"FAN?")),IF(U165="N",LOOKUP(T165,'HS250-DATA'!C$14:C$17,'HS250-DATA'!D$14:D$17),IF(U165="Y",LOOKUP(T165,'HS250-DATA'!C$29:C$32,'HS250-DATA'!D$29:D$32),"FAN?")))</f>
        <v>0.114</v>
      </c>
      <c r="W165" s="1602">
        <f>(G165*H165)^2*Q165*10^-3+G165*P165</f>
        <v>99.085365853658502</v>
      </c>
      <c r="X165" s="1602">
        <f>D165*W165</f>
        <v>396.34146341463401</v>
      </c>
      <c r="Y165" s="1602">
        <f>IF(A165=3,W165*6,IF(A165=1,W165*4,W165))</f>
        <v>396.34146341463401</v>
      </c>
      <c r="Z165" s="1579">
        <f>O165-5</f>
        <v>120</v>
      </c>
      <c r="AA165" s="1602">
        <f>D165*W165*V165+AB165</f>
        <v>100.18292682926827</v>
      </c>
      <c r="AB165" s="1588">
        <v>55</v>
      </c>
      <c r="AC165" s="1570"/>
      <c r="AD165" s="1564">
        <f>Q165*10^-3*H165^2</f>
        <v>1.1780000000000002E-3</v>
      </c>
      <c r="AE165" s="1634">
        <f>P165</f>
        <v>0.81899999999999995</v>
      </c>
      <c r="AF165" s="1635">
        <f>(AB165-Z165)/(R165+S165+D165*V165)</f>
        <v>-99.08536585365853</v>
      </c>
      <c r="AG165" s="1636">
        <f>AE165^2-4*AD165*AF165</f>
        <v>1.1376512439024391</v>
      </c>
      <c r="AH165" s="1741">
        <f>SUM(AJ165:AL165)</f>
        <v>178.35</v>
      </c>
      <c r="AI165" s="1607"/>
      <c r="AJ165" s="1733">
        <f>C165*LOOKUP(T165,'HS250-DATA'!C$7:C$10,'HS250-DATA'!F$7:F$10)</f>
        <v>16.350000000000001</v>
      </c>
      <c r="AK165" s="1733">
        <f>IF(U165="Y",C165*12,0)</f>
        <v>12</v>
      </c>
      <c r="AL165" s="1733">
        <f>C165*E165*VLOOKUP(K165,'SCR-Diode DATA'!D$7:M$43,10,FALSE)</f>
        <v>150</v>
      </c>
      <c r="AM165" s="507">
        <f>AH165/F165</f>
        <v>0.84850590291222228</v>
      </c>
    </row>
    <row r="166" spans="1:39" ht="18.75">
      <c r="A166" s="1598">
        <v>1</v>
      </c>
      <c r="B166" s="1533">
        <f t="shared" si="89"/>
        <v>4</v>
      </c>
      <c r="C166" s="1600">
        <v>2</v>
      </c>
      <c r="D166" s="1575">
        <f>B166/C166</f>
        <v>2</v>
      </c>
      <c r="E166" s="1575">
        <v>1</v>
      </c>
      <c r="F166" s="1611">
        <f>IF(A166=3,3*G166,IF(A166=1,2*G166,IF(A166="bd",1*G166,IF(A166="fwd",1,"Error"))))</f>
        <v>294.94004824287947</v>
      </c>
      <c r="G166" s="1582">
        <f>(-AE166+SQRT(AG166))/2/AD166</f>
        <v>147.47002412143974</v>
      </c>
      <c r="H166" s="1583">
        <f>IF(A166=3,SQRT(3),IF(A166=1,SQRT(2),1))</f>
        <v>1.4142135623730951</v>
      </c>
      <c r="I166" s="1594">
        <f>H166*G166</f>
        <v>208.55410815602755</v>
      </c>
      <c r="J166" s="1680" t="s">
        <v>552</v>
      </c>
      <c r="K166" s="1418" t="s">
        <v>556</v>
      </c>
      <c r="L166" s="1419">
        <v>250</v>
      </c>
      <c r="M166" s="1419">
        <v>393</v>
      </c>
      <c r="N166" s="1419">
        <v>8800</v>
      </c>
      <c r="O166" s="1412">
        <v>125</v>
      </c>
      <c r="P166" s="1416">
        <v>0.81899999999999995</v>
      </c>
      <c r="Q166" s="1416">
        <v>0.58899999999999997</v>
      </c>
      <c r="R166" s="1416">
        <v>0.14000000000000001</v>
      </c>
      <c r="S166" s="1687">
        <v>0.06</v>
      </c>
      <c r="T166" s="1624">
        <v>6.5</v>
      </c>
      <c r="U166" s="1616" t="s">
        <v>645</v>
      </c>
      <c r="V166" s="1622">
        <f>IF(E166=1,IF(U166="N",LOOKUP(T166,'HS250-DATA'!C$7:C$10,'HS250-DATA'!D$7:D$10),IF(U166="Y",LOOKUP(T166,'HS250-DATA'!C$22:C$25,'HS250-DATA'!D$22:D$25),"FAN?")),IF(U166="N",LOOKUP(T166,'HS250-DATA'!C$14:C$17,'HS250-DATA'!D$14:D$17),IF(U166="Y",LOOKUP(T166,'HS250-DATA'!C$29:C$32,'HS250-DATA'!D$29:D$32),"FAN?")))</f>
        <v>0.122</v>
      </c>
      <c r="W166" s="1602">
        <f>(G166*H166)^2*Q166*10^-3+G166*P166</f>
        <v>146.39639639639643</v>
      </c>
      <c r="X166" s="1602">
        <f>D166*W166</f>
        <v>292.79279279279285</v>
      </c>
      <c r="Y166" s="1602">
        <f>IF(A166=3,W166*6,IF(A166=1,W166*4,W166))</f>
        <v>585.5855855855857</v>
      </c>
      <c r="Z166" s="1579">
        <f>O166-5</f>
        <v>120</v>
      </c>
      <c r="AA166" s="1602">
        <f>D166*W166*V166+AB166</f>
        <v>90.72072072072072</v>
      </c>
      <c r="AB166" s="1588">
        <v>55</v>
      </c>
      <c r="AC166" s="1570"/>
      <c r="AD166" s="1564">
        <f>Q166*10^-3*H166^2</f>
        <v>1.1780000000000002E-3</v>
      </c>
      <c r="AE166" s="1634">
        <f>P166</f>
        <v>0.81899999999999995</v>
      </c>
      <c r="AF166" s="1635">
        <f>(AB166-Z166)/(R166+S166+D166*V166)</f>
        <v>-146.3963963963964</v>
      </c>
      <c r="AG166" s="1636">
        <f>AE166^2-4*AD166*AF166</f>
        <v>1.3605808198198199</v>
      </c>
      <c r="AH166" s="1741">
        <f>SUM(AJ166:AL166)</f>
        <v>206.7</v>
      </c>
      <c r="AI166" s="1607"/>
      <c r="AJ166" s="1733">
        <f>C166*LOOKUP(T166,'HS250-DATA'!C$7:C$10,'HS250-DATA'!F$7:F$10)</f>
        <v>32.700000000000003</v>
      </c>
      <c r="AK166" s="1733">
        <f>IF(U166="Y",C166*12,0)</f>
        <v>24</v>
      </c>
      <c r="AL166" s="1733">
        <f>C166*E166*VLOOKUP(K166,'SCR-Diode DATA'!D$7:M$43,10,FALSE)</f>
        <v>150</v>
      </c>
      <c r="AM166" s="507">
        <f>AH166/F166</f>
        <v>0.7008203912334926</v>
      </c>
    </row>
    <row r="167" spans="1:39" ht="18.75">
      <c r="A167" s="1598"/>
      <c r="B167" s="1533"/>
      <c r="C167" s="1600"/>
      <c r="D167" s="1575"/>
      <c r="E167" s="1575"/>
      <c r="F167" s="1611"/>
      <c r="G167" s="1582"/>
      <c r="H167" s="1583"/>
      <c r="I167" s="1594"/>
      <c r="J167" s="1680"/>
      <c r="K167" s="1418"/>
      <c r="L167" s="1419"/>
      <c r="M167" s="1419"/>
      <c r="N167" s="1419"/>
      <c r="O167" s="1412"/>
      <c r="P167" s="1416"/>
      <c r="Q167" s="1416"/>
      <c r="R167" s="1416"/>
      <c r="S167" s="1687"/>
      <c r="T167" s="1624"/>
      <c r="U167" s="1616"/>
      <c r="V167" s="1622"/>
      <c r="W167" s="1602"/>
      <c r="X167" s="1602"/>
      <c r="Y167" s="1602"/>
      <c r="Z167" s="1579"/>
      <c r="AA167" s="1602"/>
      <c r="AB167" s="1588"/>
      <c r="AC167" s="1570"/>
      <c r="AD167" s="1564"/>
      <c r="AE167" s="1634"/>
      <c r="AF167" s="1635"/>
      <c r="AG167" s="1636"/>
      <c r="AH167" s="1742"/>
      <c r="AI167" s="1607"/>
      <c r="AJ167" s="1607"/>
      <c r="AK167" s="1607"/>
      <c r="AL167" s="1733"/>
      <c r="AM167" s="1743"/>
    </row>
    <row r="168" spans="1:39" ht="18.75">
      <c r="A168" s="1598">
        <v>3</v>
      </c>
      <c r="B168" s="1533">
        <f t="shared" si="89"/>
        <v>6</v>
      </c>
      <c r="C168" s="1600">
        <v>1</v>
      </c>
      <c r="D168" s="1575">
        <f>B168/C168</f>
        <v>6</v>
      </c>
      <c r="E168" s="1575">
        <v>3</v>
      </c>
      <c r="F168" s="1611">
        <f>IF(A168=3,3*G168,IF(A168=1,2*G168,IF(A168="bd",1*G168,IF(A168="fwd",1,"Error"))))</f>
        <v>281.70556203038609</v>
      </c>
      <c r="G168" s="1582">
        <f>(-AE168+SQRT(AG168))/2/AD168</f>
        <v>93.901854010128702</v>
      </c>
      <c r="H168" s="1583">
        <f>IF(A168=3,SQRT(3),IF(A168=1,SQRT(2),1))</f>
        <v>1.7320508075688772</v>
      </c>
      <c r="I168" s="1594">
        <f>H168*G168</f>
        <v>162.64278207045822</v>
      </c>
      <c r="J168" s="1680" t="s">
        <v>548</v>
      </c>
      <c r="K168" s="1418" t="s">
        <v>470</v>
      </c>
      <c r="L168" s="1419">
        <v>500</v>
      </c>
      <c r="M168" s="1419">
        <v>900</v>
      </c>
      <c r="N168" s="1419">
        <v>16300</v>
      </c>
      <c r="O168" s="1412">
        <v>125</v>
      </c>
      <c r="P168" s="1416">
        <v>0.81</v>
      </c>
      <c r="Q168" s="1416">
        <v>0.32</v>
      </c>
      <c r="R168" s="1416">
        <v>6.5000000000000002E-2</v>
      </c>
      <c r="S168" s="1687">
        <v>0.02</v>
      </c>
      <c r="T168" s="1624">
        <v>6.5</v>
      </c>
      <c r="U168" s="1616" t="s">
        <v>645</v>
      </c>
      <c r="V168" s="1622">
        <f>IF(E168=1,IF(U168="N",LOOKUP(T168,'HS250-DATA'!C$7:C$10,'HS250-DATA'!D$7:D$10),IF(U168="Y",LOOKUP(T168,'HS250-DATA'!C$22:C$25,'HS250-DATA'!D$22:D$25),"FAN?")),IF(U168="N",LOOKUP(T168,'HS250-DATA'!C$14:C$17,'HS250-DATA'!D$14:D$17),IF(U168="Y",LOOKUP(T168,'HS250-DATA'!C$29:C$32,'HS250-DATA'!D$29:D$32),"FAN?")))</f>
        <v>0.114</v>
      </c>
      <c r="W168" s="1602">
        <f>(G168*H168)^2*Q168*10^-3+G168*P168</f>
        <v>84.525357607282203</v>
      </c>
      <c r="X168" s="1602">
        <f>D168*W168</f>
        <v>507.15214564369319</v>
      </c>
      <c r="Y168" s="1602">
        <f>IF(A168=3,W168*6,IF(A168=1,W168*4,W168))</f>
        <v>507.15214564369319</v>
      </c>
      <c r="Z168" s="1579">
        <f>O168-5</f>
        <v>120</v>
      </c>
      <c r="AA168" s="1602">
        <f>D168*W168*V168+AB168</f>
        <v>112.81534460338102</v>
      </c>
      <c r="AB168" s="1588">
        <v>55</v>
      </c>
      <c r="AC168" s="1570"/>
      <c r="AD168" s="1564">
        <f>Q168*10^-3*H168^2</f>
        <v>9.5999999999999992E-4</v>
      </c>
      <c r="AE168" s="1634">
        <f>P168</f>
        <v>0.81</v>
      </c>
      <c r="AF168" s="1635">
        <f>(AB168-Z168)/(R168+S168+D168*V168)</f>
        <v>-84.525357607282189</v>
      </c>
      <c r="AG168" s="1636">
        <f>AE168^2-4*AD168*AF168</f>
        <v>0.98067737321196369</v>
      </c>
      <c r="AH168" s="1741">
        <f>SUM(AJ168:AL168)</f>
        <v>433.35</v>
      </c>
      <c r="AI168" s="1607"/>
      <c r="AJ168" s="1733">
        <f>C168*LOOKUP(T168,'HS250-DATA'!C$7:C$10,'HS250-DATA'!F$7:F$10)</f>
        <v>16.350000000000001</v>
      </c>
      <c r="AK168" s="1733">
        <f>IF(U168="Y",C168*12,0)</f>
        <v>12</v>
      </c>
      <c r="AL168" s="1733">
        <f>C168*E168*VLOOKUP(K168,'SCR-Diode DATA'!D$7:M$43,10,FALSE)</f>
        <v>405</v>
      </c>
      <c r="AM168" s="507">
        <f>AH168/F168</f>
        <v>1.5383082849931691</v>
      </c>
    </row>
    <row r="169" spans="1:39" ht="18.75">
      <c r="A169" s="1598">
        <v>3</v>
      </c>
      <c r="B169" s="1533">
        <f t="shared" si="89"/>
        <v>6</v>
      </c>
      <c r="C169" s="1600">
        <v>3</v>
      </c>
      <c r="D169" s="1575">
        <f>B169/C169</f>
        <v>2</v>
      </c>
      <c r="E169" s="1575">
        <v>1</v>
      </c>
      <c r="F169" s="1611">
        <f>IF(A169=3,3*G169,IF(A169=1,2*G169,IF(A169="bd",1*G169,IF(A169="fwd",1,"Error"))))</f>
        <v>592.8717818216453</v>
      </c>
      <c r="G169" s="1582">
        <f>(-AE169+SQRT(AG169))/2/AD169</f>
        <v>197.62392727388178</v>
      </c>
      <c r="H169" s="1583">
        <f>IF(A169=3,SQRT(3),IF(A169=1,SQRT(2),1))</f>
        <v>1.7320508075688772</v>
      </c>
      <c r="I169" s="1594">
        <f>H169*G169</f>
        <v>342.29468282965996</v>
      </c>
      <c r="J169" s="1680" t="s">
        <v>548</v>
      </c>
      <c r="K169" s="1418" t="s">
        <v>470</v>
      </c>
      <c r="L169" s="1419">
        <v>500</v>
      </c>
      <c r="M169" s="1419">
        <v>900</v>
      </c>
      <c r="N169" s="1419">
        <v>16300</v>
      </c>
      <c r="O169" s="1412">
        <v>125</v>
      </c>
      <c r="P169" s="1416">
        <v>0.81</v>
      </c>
      <c r="Q169" s="1416">
        <v>0.32</v>
      </c>
      <c r="R169" s="1416">
        <v>6.5000000000000002E-2</v>
      </c>
      <c r="S169" s="1687">
        <v>0.02</v>
      </c>
      <c r="T169" s="1624">
        <v>6.5</v>
      </c>
      <c r="U169" s="1616" t="s">
        <v>645</v>
      </c>
      <c r="V169" s="1622">
        <f>IF(E169=1,IF(U169="N",LOOKUP(T169,'HS250-DATA'!C$7:C$10,'HS250-DATA'!D$7:D$10),IF(U169="Y",LOOKUP(T169,'HS250-DATA'!C$22:C$25,'HS250-DATA'!D$22:D$25),"FAN?")),IF(U169="N",LOOKUP(T169,'HS250-DATA'!C$14:C$17,'HS250-DATA'!D$14:D$17),IF(U169="Y",LOOKUP(T169,'HS250-DATA'!C$29:C$32,'HS250-DATA'!D$29:D$32),"FAN?")))</f>
        <v>0.122</v>
      </c>
      <c r="W169" s="1602">
        <f>(G169*H169)^2*Q169*10^-3+G169*P169</f>
        <v>197.56838905775064</v>
      </c>
      <c r="X169" s="1602">
        <f>D169*W169</f>
        <v>395.13677811550127</v>
      </c>
      <c r="Y169" s="1602">
        <f>IF(A169=3,W169*6,IF(A169=1,W169*4,W169))</f>
        <v>1185.4103343465038</v>
      </c>
      <c r="Z169" s="1579">
        <f>O169-5</f>
        <v>120</v>
      </c>
      <c r="AA169" s="1602">
        <f>D169*W169*V169+AB169</f>
        <v>103.20668693009115</v>
      </c>
      <c r="AB169" s="1588">
        <v>55</v>
      </c>
      <c r="AC169" s="1570"/>
      <c r="AD169" s="1564">
        <f>Q169*10^-3*H169^2</f>
        <v>9.5999999999999992E-4</v>
      </c>
      <c r="AE169" s="1634">
        <f>P169</f>
        <v>0.81</v>
      </c>
      <c r="AF169" s="1635">
        <f>(AB169-Z169)/(R169+S169+D169*V169)</f>
        <v>-197.56838905775075</v>
      </c>
      <c r="AG169" s="1636">
        <f>AE169^2-4*AD169*AF169</f>
        <v>1.4147626139817628</v>
      </c>
      <c r="AH169" s="1741">
        <f>SUM(AJ169:AL169)</f>
        <v>490.05</v>
      </c>
      <c r="AI169" s="1607"/>
      <c r="AJ169" s="1733">
        <f>C169*LOOKUP(T169,'HS250-DATA'!C$7:C$10,'HS250-DATA'!F$7:F$10)</f>
        <v>49.050000000000004</v>
      </c>
      <c r="AK169" s="1733">
        <f>IF(U169="Y",C169*12,0)</f>
        <v>36</v>
      </c>
      <c r="AL169" s="1733">
        <f>C169*E169*VLOOKUP(K169,'SCR-Diode DATA'!D$7:M$43,10,FALSE)</f>
        <v>405</v>
      </c>
      <c r="AM169" s="507">
        <f>AH169/F169</f>
        <v>0.82656995159102153</v>
      </c>
    </row>
    <row r="170" spans="1:39" ht="18.75">
      <c r="A170" s="1598"/>
      <c r="B170" s="1533"/>
      <c r="C170" s="1600"/>
      <c r="D170" s="1575"/>
      <c r="E170" s="1575"/>
      <c r="F170" s="1611"/>
      <c r="G170" s="1582"/>
      <c r="H170" s="1583"/>
      <c r="I170" s="1594"/>
      <c r="J170" s="1680"/>
      <c r="K170" s="1418"/>
      <c r="L170" s="1419"/>
      <c r="M170" s="1419"/>
      <c r="N170" s="1419"/>
      <c r="O170" s="1412"/>
      <c r="P170" s="1416"/>
      <c r="Q170" s="1416"/>
      <c r="R170" s="1416"/>
      <c r="S170" s="1687"/>
      <c r="T170" s="1624"/>
      <c r="U170" s="1616"/>
      <c r="V170" s="1622"/>
      <c r="W170" s="1602"/>
      <c r="X170" s="1602"/>
      <c r="Y170" s="1602"/>
      <c r="Z170" s="1579"/>
      <c r="AA170" s="1602"/>
      <c r="AB170" s="1588"/>
      <c r="AC170" s="1570"/>
      <c r="AD170" s="1564"/>
      <c r="AE170" s="1634"/>
      <c r="AF170" s="1635"/>
      <c r="AG170" s="1636"/>
      <c r="AH170" s="1742"/>
      <c r="AI170" s="1607"/>
      <c r="AJ170" s="1607"/>
      <c r="AK170" s="1607"/>
      <c r="AL170" s="1733"/>
      <c r="AM170" s="1743"/>
    </row>
    <row r="171" spans="1:39" ht="18.75">
      <c r="A171" s="1598">
        <v>3</v>
      </c>
      <c r="B171" s="1533">
        <f t="shared" si="89"/>
        <v>6</v>
      </c>
      <c r="C171" s="1600">
        <v>1</v>
      </c>
      <c r="D171" s="1575">
        <f>B171/C171</f>
        <v>6</v>
      </c>
      <c r="E171" s="1575">
        <v>3</v>
      </c>
      <c r="F171" s="1611">
        <f>IF(A171=3,3*G171,IF(A171=1,2*G171,IF(A171="bd",1*G171,IF(A171="fwd",1,"Error"))))</f>
        <v>335.51374691898161</v>
      </c>
      <c r="G171" s="1582">
        <f>(-AE171+SQRT(AG171))/2/AD171</f>
        <v>111.83791563966054</v>
      </c>
      <c r="H171" s="1583">
        <f>IF(A171=3,SQRT(3),IF(A171=1,SQRT(2),1))</f>
        <v>1.7320508075688772</v>
      </c>
      <c r="I171" s="1594">
        <f>H171*G171</f>
        <v>193.708952100494</v>
      </c>
      <c r="J171" s="1680" t="s">
        <v>548</v>
      </c>
      <c r="K171" s="1418" t="s">
        <v>471</v>
      </c>
      <c r="L171" s="1419">
        <v>700</v>
      </c>
      <c r="M171" s="1419">
        <v>1100</v>
      </c>
      <c r="N171" s="1419">
        <v>36500</v>
      </c>
      <c r="O171" s="1412">
        <v>125</v>
      </c>
      <c r="P171" s="1416">
        <v>0.70299999999999996</v>
      </c>
      <c r="Q171" s="1416">
        <v>0.184</v>
      </c>
      <c r="R171" s="1416">
        <v>5.8000000000000003E-2</v>
      </c>
      <c r="S171" s="1687">
        <v>1.7999999999999999E-2</v>
      </c>
      <c r="T171" s="1624">
        <v>6.5</v>
      </c>
      <c r="U171" s="1616" t="s">
        <v>645</v>
      </c>
      <c r="V171" s="1622">
        <f>IF(E171=1,IF(U171="N",LOOKUP(T171,'HS250-DATA'!C$7:C$10,'HS250-DATA'!D$7:D$10),IF(U171="Y",LOOKUP(T171,'HS250-DATA'!C$22:C$25,'HS250-DATA'!D$22:D$25),"FAN?")),IF(U171="N",LOOKUP(T171,'HS250-DATA'!C$14:C$17,'HS250-DATA'!D$14:D$17),IF(U171="Y",LOOKUP(T171,'HS250-DATA'!C$29:C$32,'HS250-DATA'!D$29:D$32),"FAN?")))</f>
        <v>0.114</v>
      </c>
      <c r="W171" s="1602">
        <f>(G171*H171)^2*Q171*10^-3+G171*P171</f>
        <v>85.526315789473699</v>
      </c>
      <c r="X171" s="1602">
        <f>D171*W171</f>
        <v>513.1578947368422</v>
      </c>
      <c r="Y171" s="1602">
        <f>IF(A171=3,W171*6,IF(A171=1,W171*4,W171))</f>
        <v>513.1578947368422</v>
      </c>
      <c r="Z171" s="1579">
        <f>O171-5</f>
        <v>120</v>
      </c>
      <c r="AA171" s="1602">
        <f>D171*W171*V171+AB171</f>
        <v>113.50000000000001</v>
      </c>
      <c r="AB171" s="1588">
        <v>55</v>
      </c>
      <c r="AC171" s="1570"/>
      <c r="AD171" s="1564">
        <f>Q171*10^-3*H171^2</f>
        <v>5.5199999999999986E-4</v>
      </c>
      <c r="AE171" s="1634">
        <f>P171</f>
        <v>0.70299999999999996</v>
      </c>
      <c r="AF171" s="1635">
        <f>(AB171-Z171)/(R171+S171+D171*V171)</f>
        <v>-85.526315789473685</v>
      </c>
      <c r="AG171" s="1636">
        <f>AE171^2-4*AD171*AF171</f>
        <v>0.68305110526315782</v>
      </c>
      <c r="AH171" s="1741">
        <f>SUM(AJ171:AL171)</f>
        <v>1003.35</v>
      </c>
      <c r="AI171" s="1607"/>
      <c r="AJ171" s="1733">
        <f>C171*LOOKUP(T171,'HS250-DATA'!C$7:C$10,'HS250-DATA'!F$7:F$10)</f>
        <v>16.350000000000001</v>
      </c>
      <c r="AK171" s="1733">
        <f>IF(U171="Y",C171*12,0)</f>
        <v>12</v>
      </c>
      <c r="AL171" s="1733">
        <f>C171*E171*VLOOKUP(K171,'SCR-Diode DATA'!D$7:M$43,10,FALSE)</f>
        <v>975</v>
      </c>
      <c r="AM171" s="507">
        <f>AH171/F171</f>
        <v>2.9904884947748047</v>
      </c>
    </row>
    <row r="172" spans="1:39" ht="18.75">
      <c r="A172" s="1598">
        <v>3</v>
      </c>
      <c r="B172" s="1533">
        <f t="shared" si="89"/>
        <v>6</v>
      </c>
      <c r="C172" s="1600">
        <v>3</v>
      </c>
      <c r="D172" s="1575">
        <f>B172/C172</f>
        <v>2</v>
      </c>
      <c r="E172" s="1575">
        <v>1</v>
      </c>
      <c r="F172" s="1611">
        <f>IF(A172=3,3*G172,IF(A172=1,2*G172,IF(A172="bd",1*G172,IF(A172="fwd",1,"Error"))))</f>
        <v>728.0761588506881</v>
      </c>
      <c r="G172" s="1582">
        <f>(-AE172+SQRT(AG172))/2/AD172</f>
        <v>242.69205295022937</v>
      </c>
      <c r="H172" s="1583">
        <f>IF(A172=3,SQRT(3),IF(A172=1,SQRT(2),1))</f>
        <v>1.7320508075688772</v>
      </c>
      <c r="I172" s="1594">
        <f>H172*G172</f>
        <v>420.35496630299349</v>
      </c>
      <c r="J172" s="1680" t="s">
        <v>548</v>
      </c>
      <c r="K172" s="1418" t="s">
        <v>471</v>
      </c>
      <c r="L172" s="1419">
        <v>700</v>
      </c>
      <c r="M172" s="1419">
        <v>1100</v>
      </c>
      <c r="N172" s="1419">
        <v>36500</v>
      </c>
      <c r="O172" s="1412">
        <v>125</v>
      </c>
      <c r="P172" s="1416">
        <v>0.70299999999999996</v>
      </c>
      <c r="Q172" s="1416">
        <v>0.184</v>
      </c>
      <c r="R172" s="1416">
        <v>5.8000000000000003E-2</v>
      </c>
      <c r="S172" s="1687">
        <v>1.7999999999999999E-2</v>
      </c>
      <c r="T172" s="1624">
        <v>6.5</v>
      </c>
      <c r="U172" s="1616" t="s">
        <v>645</v>
      </c>
      <c r="V172" s="1622">
        <f>IF(E172=1,IF(U172="N",LOOKUP(T172,'HS250-DATA'!C$7:C$10,'HS250-DATA'!D$7:D$10),IF(U172="Y",LOOKUP(T172,'HS250-DATA'!C$22:C$25,'HS250-DATA'!D$22:D$25),"FAN?")),IF(U172="N",LOOKUP(T172,'HS250-DATA'!C$14:C$17,'HS250-DATA'!D$14:D$17),IF(U172="Y",LOOKUP(T172,'HS250-DATA'!C$29:C$32,'HS250-DATA'!D$29:D$32),"FAN?")))</f>
        <v>0.122</v>
      </c>
      <c r="W172" s="1602">
        <f>(G172*H172)^2*Q172*10^-3+G172*P172</f>
        <v>203.12499999999994</v>
      </c>
      <c r="X172" s="1602">
        <f>D172*W172</f>
        <v>406.24999999999989</v>
      </c>
      <c r="Y172" s="1602">
        <f>IF(A172=3,W172*6,IF(A172=1,W172*4,W172))</f>
        <v>1218.7499999999995</v>
      </c>
      <c r="Z172" s="1579">
        <f>O172-5</f>
        <v>120</v>
      </c>
      <c r="AA172" s="1602">
        <f>D172*W172*V172+AB172</f>
        <v>104.56249999999999</v>
      </c>
      <c r="AB172" s="1588">
        <v>55</v>
      </c>
      <c r="AC172" s="1570"/>
      <c r="AD172" s="1564">
        <f>Q172*10^-3*H172^2</f>
        <v>5.5199999999999986E-4</v>
      </c>
      <c r="AE172" s="1634">
        <f>P172</f>
        <v>0.70299999999999996</v>
      </c>
      <c r="AF172" s="1635">
        <f>(AB172-Z172)/(R172+S172+D172*V172)</f>
        <v>-203.125</v>
      </c>
      <c r="AG172" s="1636">
        <f>AE172^2-4*AD172*AF172</f>
        <v>0.9427089999999998</v>
      </c>
      <c r="AH172" s="1741">
        <f>SUM(AJ172:AL172)</f>
        <v>1060.05</v>
      </c>
      <c r="AI172" s="1607"/>
      <c r="AJ172" s="1733">
        <f>C172*LOOKUP(T172,'HS250-DATA'!C$7:C$10,'HS250-DATA'!F$7:F$10)</f>
        <v>49.050000000000004</v>
      </c>
      <c r="AK172" s="1733">
        <f>IF(U172="Y",C172*12,0)</f>
        <v>36</v>
      </c>
      <c r="AL172" s="1733">
        <f>C172*E172*VLOOKUP(K172,'SCR-Diode DATA'!D$7:M$43,10,FALSE)</f>
        <v>975</v>
      </c>
      <c r="AM172" s="507">
        <f>AH172/F172</f>
        <v>1.4559603238119381</v>
      </c>
    </row>
    <row r="173" spans="1:39" ht="18.75">
      <c r="A173" s="1598"/>
      <c r="B173" s="1533"/>
      <c r="C173" s="1600"/>
      <c r="D173" s="1575"/>
      <c r="E173" s="1575"/>
      <c r="F173" s="1611"/>
      <c r="G173" s="1582"/>
      <c r="H173" s="1583"/>
      <c r="I173" s="1594"/>
      <c r="J173" s="1680"/>
      <c r="K173" s="1418"/>
      <c r="L173" s="1419"/>
      <c r="M173" s="1419"/>
      <c r="N173" s="1419"/>
      <c r="O173" s="1412"/>
      <c r="P173" s="1416"/>
      <c r="Q173" s="1416"/>
      <c r="R173" s="1416"/>
      <c r="S173" s="1687"/>
      <c r="T173" s="1624"/>
      <c r="U173" s="1616"/>
      <c r="V173" s="1622"/>
      <c r="W173" s="1602"/>
      <c r="X173" s="1602"/>
      <c r="Y173" s="1602"/>
      <c r="Z173" s="1579"/>
      <c r="AA173" s="1602"/>
      <c r="AB173" s="1588"/>
      <c r="AC173" s="1570"/>
      <c r="AD173" s="1564"/>
      <c r="AE173" s="1634"/>
      <c r="AF173" s="1635"/>
      <c r="AG173" s="1636"/>
      <c r="AH173" s="1742"/>
      <c r="AI173" s="1607"/>
      <c r="AJ173" s="1607"/>
      <c r="AK173" s="1607"/>
      <c r="AL173" s="1733"/>
      <c r="AM173" s="1743"/>
    </row>
    <row r="174" spans="1:39" ht="18.75">
      <c r="A174" s="1598">
        <v>3</v>
      </c>
      <c r="B174" s="1533">
        <f t="shared" si="89"/>
        <v>6</v>
      </c>
      <c r="C174" s="1600">
        <v>1</v>
      </c>
      <c r="D174" s="1575">
        <f>B174/C174</f>
        <v>6</v>
      </c>
      <c r="E174" s="1575">
        <v>6</v>
      </c>
      <c r="F174" s="1611">
        <f>IF(A174=3,3*G174,IF(A174=1,2*G174,IF(A174="bd",1*G174,IF(A174="fwd",1,"Error"))))</f>
        <v>373.04219704420393</v>
      </c>
      <c r="G174" s="1582">
        <f>(-AE174+SQRT(AG174))/2/AD174</f>
        <v>124.34739901473463</v>
      </c>
      <c r="H174" s="1583">
        <f>IF(A174=3,SQRT(3),IF(A174=1,SQRT(2),1))</f>
        <v>1.7320508075688772</v>
      </c>
      <c r="I174" s="1594">
        <f>H174*G174</f>
        <v>215.37601288256053</v>
      </c>
      <c r="J174" s="1680" t="s">
        <v>558</v>
      </c>
      <c r="K174" s="1418" t="s">
        <v>472</v>
      </c>
      <c r="L174" s="1419">
        <v>1500</v>
      </c>
      <c r="M174" s="1419">
        <v>2355</v>
      </c>
      <c r="N174" s="1419">
        <v>62000</v>
      </c>
      <c r="O174" s="1412">
        <v>125</v>
      </c>
      <c r="P174" s="1416">
        <v>0.69099999999999995</v>
      </c>
      <c r="Q174" s="1412">
        <v>0.10199999999999999</v>
      </c>
      <c r="R174" s="1412">
        <v>2.4E-2</v>
      </c>
      <c r="S174" s="1687">
        <v>8.9999999999999993E-3</v>
      </c>
      <c r="T174" s="1624">
        <v>6.5</v>
      </c>
      <c r="U174" s="1616" t="s">
        <v>645</v>
      </c>
      <c r="V174" s="1622">
        <f>IF(E174=1,IF(U174="N",LOOKUP(T174,'HS250-DATA'!C$7:C$10,'HS250-DATA'!D$7:D$10),IF(U174="Y",LOOKUP(T174,'HS250-DATA'!C$22:C$25,'HS250-DATA'!D$22:D$25),"FAN?")),IF(U174="N",LOOKUP(T174,'HS250-DATA'!C$14:C$17,'HS250-DATA'!D$14:D$17),IF(U174="Y",LOOKUP(T174,'HS250-DATA'!C$29:C$32,'HS250-DATA'!D$29:D$32),"FAN?")))</f>
        <v>0.114</v>
      </c>
      <c r="W174" s="1602">
        <f>(G174*H174)^2*Q174*10^-3+G174*P174</f>
        <v>90.655509065550902</v>
      </c>
      <c r="X174" s="1602">
        <f>D174*W174</f>
        <v>543.93305439330538</v>
      </c>
      <c r="Y174" s="1602">
        <f>IF(A174=3,W174*6,IF(A174=1,W174*4,W174))</f>
        <v>543.93305439330538</v>
      </c>
      <c r="Z174" s="1579">
        <f>O174-5</f>
        <v>120</v>
      </c>
      <c r="AA174" s="1602">
        <f>D174*W174*V174+AB174</f>
        <v>117.00836820083681</v>
      </c>
      <c r="AB174" s="1588">
        <v>55</v>
      </c>
      <c r="AC174" s="1570"/>
      <c r="AD174" s="1564">
        <f>Q174*10^-3*H174^2</f>
        <v>3.0599999999999996E-4</v>
      </c>
      <c r="AE174" s="1634">
        <f>P174</f>
        <v>0.69099999999999995</v>
      </c>
      <c r="AF174" s="1635">
        <f>(AB174-Z174)/(R174+S174+D174*V174)</f>
        <v>-90.655509065550902</v>
      </c>
      <c r="AG174" s="1636">
        <f>AE174^2-4*AD174*AF174</f>
        <v>0.58844334309623425</v>
      </c>
      <c r="AH174" s="1741">
        <f>SUM(AJ174:AL174)</f>
        <v>1168.3499999999999</v>
      </c>
      <c r="AI174" s="1607"/>
      <c r="AJ174" s="1733">
        <f>C174*LOOKUP(T174,'HS250-DATA'!C$7:C$10,'HS250-DATA'!F$7:F$10)</f>
        <v>16.350000000000001</v>
      </c>
      <c r="AK174" s="1733">
        <f>IF(U174="Y",C174*12,0)</f>
        <v>12</v>
      </c>
      <c r="AL174" s="1733">
        <f>C174*E174*VLOOKUP(K174,'SCR-Diode DATA'!D$7:M$43,10,FALSE)</f>
        <v>1140</v>
      </c>
      <c r="AM174" s="507">
        <f>AH174/F174</f>
        <v>3.1319513161176116</v>
      </c>
    </row>
    <row r="175" spans="1:39" ht="18.75">
      <c r="A175" s="1598">
        <v>3</v>
      </c>
      <c r="B175" s="1533">
        <f t="shared" si="89"/>
        <v>6</v>
      </c>
      <c r="C175" s="1600">
        <v>2</v>
      </c>
      <c r="D175" s="1575">
        <f>B175/C175</f>
        <v>3</v>
      </c>
      <c r="E175" s="1575">
        <v>3</v>
      </c>
      <c r="F175" s="1611">
        <f>IF(A175=3,3*G175,IF(A175=1,2*G175,IF(A175="bd",1*G175,IF(A175="fwd",1,"Error"))))</f>
        <v>683.56012534561989</v>
      </c>
      <c r="G175" s="1582">
        <f>(-AE175+SQRT(AG175))/2/AD175</f>
        <v>227.85337511520663</v>
      </c>
      <c r="H175" s="1583">
        <f>IF(A175=3,SQRT(3),IF(A175=1,SQRT(2),1))</f>
        <v>1.7320508075688772</v>
      </c>
      <c r="I175" s="1594">
        <f>H175*G175</f>
        <v>394.65362237558793</v>
      </c>
      <c r="J175" s="1680" t="s">
        <v>558</v>
      </c>
      <c r="K175" s="1418" t="s">
        <v>472</v>
      </c>
      <c r="L175" s="1419">
        <v>1500</v>
      </c>
      <c r="M175" s="1419">
        <v>2355</v>
      </c>
      <c r="N175" s="1419">
        <v>62000</v>
      </c>
      <c r="O175" s="1412">
        <v>125</v>
      </c>
      <c r="P175" s="1416">
        <v>0.69099999999999995</v>
      </c>
      <c r="Q175" s="1412">
        <v>0.10199999999999999</v>
      </c>
      <c r="R175" s="1412">
        <v>2.4E-2</v>
      </c>
      <c r="S175" s="1687">
        <v>8.9999999999999993E-3</v>
      </c>
      <c r="T175" s="1624">
        <v>6.5</v>
      </c>
      <c r="U175" s="1616" t="s">
        <v>645</v>
      </c>
      <c r="V175" s="1622">
        <f>IF(E175=1,IF(U175="N",LOOKUP(T175,'HS250-DATA'!C$7:C$10,'HS250-DATA'!D$7:D$10),IF(U175="Y",LOOKUP(T175,'HS250-DATA'!C$22:C$25,'HS250-DATA'!D$22:D$25),"FAN?")),IF(U175="N",LOOKUP(T175,'HS250-DATA'!C$14:C$17,'HS250-DATA'!D$14:D$17),IF(U175="Y",LOOKUP(T175,'HS250-DATA'!C$29:C$32,'HS250-DATA'!D$29:D$32),"FAN?")))</f>
        <v>0.114</v>
      </c>
      <c r="W175" s="1602">
        <f>(G175*H175)^2*Q175*10^-3+G175*P175</f>
        <v>173.33333333333346</v>
      </c>
      <c r="X175" s="1602">
        <f>D175*W175</f>
        <v>520.00000000000034</v>
      </c>
      <c r="Y175" s="1602">
        <f>IF(A175=3,W175*6,IF(A175=1,W175*4,W175))</f>
        <v>1040.0000000000007</v>
      </c>
      <c r="Z175" s="1579">
        <f>O175-5</f>
        <v>120</v>
      </c>
      <c r="AA175" s="1602">
        <f>D175*W175*V175+AB175</f>
        <v>114.28000000000004</v>
      </c>
      <c r="AB175" s="1588">
        <v>55</v>
      </c>
      <c r="AC175" s="1570"/>
      <c r="AD175" s="1564">
        <f>Q175*10^-3*H175^2</f>
        <v>3.0599999999999996E-4</v>
      </c>
      <c r="AE175" s="1634">
        <f>P175</f>
        <v>0.69099999999999995</v>
      </c>
      <c r="AF175" s="1635">
        <f>(AB175-Z175)/(R175+S175+D175*V175)</f>
        <v>-173.33333333333334</v>
      </c>
      <c r="AG175" s="1636">
        <f>AE175^2-4*AD175*AF175</f>
        <v>0.68964099999999995</v>
      </c>
      <c r="AH175" s="1741">
        <f>SUM(AJ175:AL175)</f>
        <v>1196.7</v>
      </c>
      <c r="AI175" s="1607"/>
      <c r="AJ175" s="1733">
        <f>C175*LOOKUP(T175,'HS250-DATA'!C$7:C$10,'HS250-DATA'!F$7:F$10)</f>
        <v>32.700000000000003</v>
      </c>
      <c r="AK175" s="1733">
        <f>IF(U175="Y",C175*12,0)</f>
        <v>24</v>
      </c>
      <c r="AL175" s="1733">
        <f>C175*E175*VLOOKUP(K175,'SCR-Diode DATA'!D$7:M$43,10,FALSE)</f>
        <v>1140</v>
      </c>
      <c r="AM175" s="507">
        <f>AH175/F175</f>
        <v>1.7506872557771385</v>
      </c>
    </row>
    <row r="176" spans="1:39" ht="18.75">
      <c r="A176" s="1598">
        <v>3</v>
      </c>
      <c r="B176" s="1533">
        <f t="shared" si="89"/>
        <v>6</v>
      </c>
      <c r="C176" s="1600">
        <v>3</v>
      </c>
      <c r="D176" s="1575">
        <f>B176/C176</f>
        <v>2</v>
      </c>
      <c r="E176" s="1575">
        <v>2</v>
      </c>
      <c r="F176" s="1611">
        <f>IF(A176=3,3*G176,IF(A176=1,2*G176,IF(A176="bd",1*G176,IF(A176="fwd",1,"Error"))))</f>
        <v>948.44166940031073</v>
      </c>
      <c r="G176" s="1582">
        <f>(-AE176+SQRT(AG176))/2/AD176</f>
        <v>316.14722313343691</v>
      </c>
      <c r="H176" s="1583">
        <f>IF(A176=3,SQRT(3),IF(A176=1,SQRT(2),1))</f>
        <v>1.7320508075688772</v>
      </c>
      <c r="I176" s="1594">
        <f>H176*G176</f>
        <v>547.58305313892743</v>
      </c>
      <c r="J176" s="1680" t="s">
        <v>558</v>
      </c>
      <c r="K176" s="1418" t="s">
        <v>472</v>
      </c>
      <c r="L176" s="1419">
        <v>1500</v>
      </c>
      <c r="M176" s="1419">
        <v>2355</v>
      </c>
      <c r="N176" s="1419">
        <v>62000</v>
      </c>
      <c r="O176" s="1412">
        <v>125</v>
      </c>
      <c r="P176" s="1416">
        <v>0.69099999999999995</v>
      </c>
      <c r="Q176" s="1412">
        <v>0.10199999999999999</v>
      </c>
      <c r="R176" s="1412">
        <v>2.4E-2</v>
      </c>
      <c r="S176" s="1687">
        <v>8.9999999999999993E-3</v>
      </c>
      <c r="T176" s="1624">
        <v>6.5</v>
      </c>
      <c r="U176" s="1616" t="s">
        <v>645</v>
      </c>
      <c r="V176" s="1622">
        <f>IF(E176=1,IF(U176="N",LOOKUP(T176,'HS250-DATA'!C$7:C$10,'HS250-DATA'!D$7:D$10),IF(U176="Y",LOOKUP(T176,'HS250-DATA'!C$22:C$25,'HS250-DATA'!D$22:D$25),"FAN?")),IF(U176="N",LOOKUP(T176,'HS250-DATA'!C$14:C$17,'HS250-DATA'!D$14:D$17),IF(U176="Y",LOOKUP(T176,'HS250-DATA'!C$29:C$32,'HS250-DATA'!D$29:D$32),"FAN?")))</f>
        <v>0.114</v>
      </c>
      <c r="W176" s="1602">
        <f>(G176*H176)^2*Q176*10^-3+G176*P176</f>
        <v>249.04214559386975</v>
      </c>
      <c r="X176" s="1602">
        <f>D176*W176</f>
        <v>498.0842911877395</v>
      </c>
      <c r="Y176" s="1602">
        <f>IF(A176=3,W176*6,IF(A176=1,W176*4,W176))</f>
        <v>1494.2528735632186</v>
      </c>
      <c r="Z176" s="1579">
        <f>O176-5</f>
        <v>120</v>
      </c>
      <c r="AA176" s="1602">
        <f>D176*W176*V176+AB176</f>
        <v>111.7816091954023</v>
      </c>
      <c r="AB176" s="1588">
        <v>55</v>
      </c>
      <c r="AC176" s="1570"/>
      <c r="AD176" s="1564">
        <f>Q176*10^-3*H176^2</f>
        <v>3.0599999999999996E-4</v>
      </c>
      <c r="AE176" s="1634">
        <f>P176</f>
        <v>0.69099999999999995</v>
      </c>
      <c r="AF176" s="1635">
        <f>(AB176-Z176)/(R176+S176+D176*V176)</f>
        <v>-249.04214559386972</v>
      </c>
      <c r="AG176" s="1636">
        <f>AE176^2-4*AD176*AF176</f>
        <v>0.78230858620689636</v>
      </c>
      <c r="AH176" s="1741">
        <f>SUM(AJ176:AL176)</f>
        <v>1225.05</v>
      </c>
      <c r="AI176" s="1607"/>
      <c r="AJ176" s="1733">
        <f>C176*LOOKUP(T176,'HS250-DATA'!C$7:C$10,'HS250-DATA'!F$7:F$10)</f>
        <v>49.050000000000004</v>
      </c>
      <c r="AK176" s="1733">
        <f>IF(U176="Y",C176*12,0)</f>
        <v>36</v>
      </c>
      <c r="AL176" s="1733">
        <f>C176*E176*VLOOKUP(K176,'SCR-Diode DATA'!D$7:M$43,10,FALSE)</f>
        <v>1140</v>
      </c>
      <c r="AM176" s="507">
        <f>AH176/F176</f>
        <v>1.2916450631851568</v>
      </c>
    </row>
    <row r="177" spans="1:39" ht="18.75">
      <c r="A177" s="1598">
        <v>3</v>
      </c>
      <c r="B177" s="1533">
        <f t="shared" si="89"/>
        <v>6</v>
      </c>
      <c r="C177" s="1600">
        <v>6</v>
      </c>
      <c r="D177" s="1575">
        <f>B177/C177</f>
        <v>1</v>
      </c>
      <c r="E177" s="1575">
        <v>1</v>
      </c>
      <c r="F177" s="1611">
        <f>IF(A177=3,3*G177,IF(A177=1,2*G177,IF(A177="bd",1*G177,IF(A177="fwd",1,"Error"))))</f>
        <v>1492.0341461751882</v>
      </c>
      <c r="G177" s="1582">
        <f>(-AE177+SQRT(AG177))/2/AD177</f>
        <v>497.34471539172938</v>
      </c>
      <c r="H177" s="1583">
        <f>IF(A177=3,SQRT(3),IF(A177=1,SQRT(2),1))</f>
        <v>1.7320508075688772</v>
      </c>
      <c r="I177" s="1594">
        <f>H177*G177</f>
        <v>861.42631593435829</v>
      </c>
      <c r="J177" s="1680" t="s">
        <v>558</v>
      </c>
      <c r="K177" s="1418" t="s">
        <v>472</v>
      </c>
      <c r="L177" s="1419">
        <v>1500</v>
      </c>
      <c r="M177" s="1419">
        <v>2355</v>
      </c>
      <c r="N177" s="1419">
        <v>62000</v>
      </c>
      <c r="O177" s="1412">
        <v>125</v>
      </c>
      <c r="P177" s="1416">
        <v>0.69099999999999995</v>
      </c>
      <c r="Q177" s="1412">
        <v>0.10199999999999999</v>
      </c>
      <c r="R177" s="1412">
        <v>2.4E-2</v>
      </c>
      <c r="S177" s="1687">
        <v>8.9999999999999993E-3</v>
      </c>
      <c r="T177" s="1624">
        <v>6.5</v>
      </c>
      <c r="U177" s="1616" t="s">
        <v>645</v>
      </c>
      <c r="V177" s="1622">
        <f>IF(E177=1,IF(U177="N",LOOKUP(T177,'HS250-DATA'!C$7:C$10,'HS250-DATA'!D$7:D$10),IF(U177="Y",LOOKUP(T177,'HS250-DATA'!C$22:C$25,'HS250-DATA'!D$22:D$25),"FAN?")),IF(U177="N",LOOKUP(T177,'HS250-DATA'!C$14:C$17,'HS250-DATA'!D$14:D$17),IF(U177="Y",LOOKUP(T177,'HS250-DATA'!C$29:C$32,'HS250-DATA'!D$29:D$32),"FAN?")))</f>
        <v>0.122</v>
      </c>
      <c r="W177" s="1602">
        <f>(G177*H177)^2*Q177*10^-3+G177*P177</f>
        <v>419.35483870967755</v>
      </c>
      <c r="X177" s="1602">
        <f>D177*W177</f>
        <v>419.35483870967755</v>
      </c>
      <c r="Y177" s="1602">
        <f>IF(A177=3,W177*6,IF(A177=1,W177*4,W177))</f>
        <v>2516.1290322580653</v>
      </c>
      <c r="Z177" s="1579">
        <f>O177-5</f>
        <v>120</v>
      </c>
      <c r="AA177" s="1602">
        <f>D177*W177*V177+AB177</f>
        <v>106.16129032258067</v>
      </c>
      <c r="AB177" s="1588">
        <v>55</v>
      </c>
      <c r="AC177" s="1570"/>
      <c r="AD177" s="1564">
        <f>Q177*10^-3*H177^2</f>
        <v>3.0599999999999996E-4</v>
      </c>
      <c r="AE177" s="1634">
        <f>P177</f>
        <v>0.69099999999999995</v>
      </c>
      <c r="AF177" s="1635">
        <f>(AB177-Z177)/(R177+S177+D177*V177)</f>
        <v>-419.35483870967744</v>
      </c>
      <c r="AG177" s="1636">
        <f>AE177^2-4*AD177*AF177</f>
        <v>0.99077132258064504</v>
      </c>
      <c r="AH177" s="1741">
        <f>SUM(AJ177:AL177)</f>
        <v>1310.0999999999999</v>
      </c>
      <c r="AI177" s="1607"/>
      <c r="AJ177" s="1733">
        <f>C177*LOOKUP(T177,'HS250-DATA'!C$7:C$10,'HS250-DATA'!F$7:F$10)</f>
        <v>98.100000000000009</v>
      </c>
      <c r="AK177" s="1733">
        <f>IF(U177="Y",C177*12,0)</f>
        <v>72</v>
      </c>
      <c r="AL177" s="1733">
        <f>C177*E177*VLOOKUP(K177,'SCR-Diode DATA'!D$7:M$43,10,FALSE)</f>
        <v>1140</v>
      </c>
      <c r="AM177" s="507">
        <f>AH177/F177</f>
        <v>0.87806301441453316</v>
      </c>
    </row>
    <row r="178" spans="1:39" ht="19.5" thickBot="1">
      <c r="A178" s="1599"/>
      <c r="B178" s="1692"/>
      <c r="C178" s="1601"/>
      <c r="D178" s="1591"/>
      <c r="E178" s="1591"/>
      <c r="F178" s="1662"/>
      <c r="G178" s="1589"/>
      <c r="H178" s="1590"/>
      <c r="I178" s="1595"/>
      <c r="J178" s="1693"/>
      <c r="K178" s="1686"/>
      <c r="L178" s="1685"/>
      <c r="M178" s="1685"/>
      <c r="N178" s="1685"/>
      <c r="O178" s="1684"/>
      <c r="P178" s="1683"/>
      <c r="Q178" s="1683"/>
      <c r="R178" s="1683"/>
      <c r="S178" s="1682"/>
      <c r="T178" s="1569"/>
      <c r="U178" s="1568"/>
      <c r="V178" s="1567"/>
      <c r="W178" s="1605"/>
      <c r="X178" s="1605"/>
      <c r="Y178" s="1605"/>
      <c r="Z178" s="1566"/>
      <c r="AA178" s="1605"/>
      <c r="AB178" s="1592"/>
      <c r="AC178" s="1570"/>
      <c r="AD178" s="1564"/>
      <c r="AE178" s="1634"/>
      <c r="AF178" s="1635"/>
      <c r="AG178" s="1636"/>
      <c r="AH178" s="1744"/>
      <c r="AI178" s="1608"/>
      <c r="AJ178" s="1608"/>
      <c r="AK178" s="1608"/>
      <c r="AL178" s="1745"/>
      <c r="AM178" s="1746"/>
    </row>
    <row r="179" spans="1:39" ht="15.75" thickBot="1">
      <c r="U179" s="1616"/>
    </row>
    <row r="180" spans="1:39" ht="24">
      <c r="A180" s="1673">
        <v>3</v>
      </c>
      <c r="B180" s="1327">
        <f>IF(A180=3,6,IF(A180=1,4,IF(A180="bd",1,IF(A180="fwd",1,"Circuit Type"))))</f>
        <v>6</v>
      </c>
      <c r="C180" s="1620">
        <v>1</v>
      </c>
      <c r="D180" s="1609">
        <f t="shared" ref="D180:D185" si="90">B180/C180</f>
        <v>6</v>
      </c>
      <c r="E180" s="1609">
        <v>1</v>
      </c>
      <c r="F180" s="1674">
        <f t="shared" ref="F180:F185" si="91">IF(A180=3,3*G180,IF(A180=1,2*G180,IF(A180="bd",1*G180,IF(A180="fwd",1,"Error"))))</f>
        <v>42.039542045873375</v>
      </c>
      <c r="G180" s="1670">
        <f t="shared" ref="G180:G185" si="92">(-AE180+SQRT(AG180))/2/AD180</f>
        <v>14.013180681957792</v>
      </c>
      <c r="H180" s="1675">
        <f t="shared" ref="H180:H185" si="93">IF(A180=3,SQRT(3),IF(A180=1,SQRT(2),1))</f>
        <v>1.7320508075688772</v>
      </c>
      <c r="I180" s="1676">
        <f t="shared" ref="I180:I185" si="94">H180*G180</f>
        <v>24.271540916793583</v>
      </c>
      <c r="J180" s="1677" t="s">
        <v>539</v>
      </c>
      <c r="K180" s="1584" t="s">
        <v>540</v>
      </c>
      <c r="L180" s="1603">
        <v>42</v>
      </c>
      <c r="M180" s="1603"/>
      <c r="N180" s="1603">
        <v>280</v>
      </c>
      <c r="O180" s="1678">
        <v>125</v>
      </c>
      <c r="P180" s="1585">
        <v>1.1000000000000001</v>
      </c>
      <c r="Q180" s="1679">
        <v>20</v>
      </c>
      <c r="R180" s="1585">
        <v>1.6</v>
      </c>
      <c r="S180" s="1604">
        <v>0.1</v>
      </c>
      <c r="T180" s="1667">
        <v>10</v>
      </c>
      <c r="U180" s="1668" t="s">
        <v>645</v>
      </c>
      <c r="V180" s="1669">
        <f>IF(E180=1,IF(U180="N",LOOKUP(T180,'HS250-DATA'!C$7:C$10,'HS250-DATA'!D$7:D$10),IF(U180="Y",LOOKUP(T180,'HS250-DATA'!C$22:C$25,'HS250-DATA'!D$22:D$25),"FAN?")),IF(U180="N",LOOKUP(T180,'HS250-DATA'!C$14:C$17,'HS250-DATA'!D$14:D$17),IF(U180="Y",LOOKUP(T180,'HS250-DATA'!C$29:C$32,'HS250-DATA'!D$29:D$32),"FAN?")))</f>
        <v>0.115</v>
      </c>
      <c r="W180" s="1671">
        <f t="shared" ref="W180:W185" si="95">(G180*H180)^2*Q180*10^-3+G180*P180</f>
        <v>27.196652719665273</v>
      </c>
      <c r="X180" s="1671">
        <f t="shared" ref="X180:X185" si="96">D180*W180</f>
        <v>163.17991631799163</v>
      </c>
      <c r="Y180" s="1671">
        <f t="shared" ref="Y180:Y185" si="97">IF(A180=3,W180*6,IF(A180=1,W180*4,W180))</f>
        <v>163.17991631799163</v>
      </c>
      <c r="Z180" s="1672">
        <f t="shared" ref="Z180:Z185" si="98">O180-5</f>
        <v>120</v>
      </c>
      <c r="AA180" s="1671">
        <f t="shared" ref="AA180:AA185" si="99">D180*W180*V180+AB180</f>
        <v>73.76569037656904</v>
      </c>
      <c r="AB180" s="1610">
        <v>55</v>
      </c>
      <c r="AC180" s="1570"/>
      <c r="AD180" s="1564">
        <f t="shared" ref="AD180:AD185" si="100">Q180*10^-3*H180^2</f>
        <v>5.9999999999999991E-2</v>
      </c>
      <c r="AE180" s="1634">
        <f t="shared" ref="AE180:AE185" si="101">P180</f>
        <v>1.1000000000000001</v>
      </c>
      <c r="AF180" s="1635">
        <f t="shared" ref="AF180:AF185" si="102">(AB180-Z180)/(R180+S180+D180*V180)</f>
        <v>-27.19665271966527</v>
      </c>
      <c r="AG180" s="1636">
        <f t="shared" ref="AG180:AG185" si="103">AE180^2-4*AD180*AF180</f>
        <v>7.7371966527196641</v>
      </c>
      <c r="AH180" s="1747">
        <f t="shared" ref="AH180:AH185" si="104">SUM(AJ180:AL180)</f>
        <v>54.36</v>
      </c>
      <c r="AI180" s="1639"/>
      <c r="AJ180" s="1748">
        <f>C180*LOOKUP(T180,'HS250-DATA'!C$7:C$10,'HS250-DATA'!F$7:F$10)</f>
        <v>19.86</v>
      </c>
      <c r="AK180" s="1748">
        <f t="shared" ref="AK180:AK185" si="105">IF(U180="Y",C180*12,0)</f>
        <v>12</v>
      </c>
      <c r="AL180" s="1748">
        <f>C180*E180*VLOOKUP(K180,'SCR-Diode DATA'!D$7:M$43,10,FALSE)</f>
        <v>22.5</v>
      </c>
      <c r="AM180" s="1749">
        <f t="shared" ref="AM180:AM185" si="106">AH180/F180</f>
        <v>1.2930683198376089</v>
      </c>
    </row>
    <row r="181" spans="1:39" ht="24">
      <c r="A181" s="1598">
        <v>1</v>
      </c>
      <c r="B181" s="1533">
        <f>IF(A181=3,6,IF(A181=1,4,IF(A181="bd",1,IF(A181="fwd",1,"Circuit Type"))))</f>
        <v>4</v>
      </c>
      <c r="C181" s="1600">
        <v>1</v>
      </c>
      <c r="D181" s="1575">
        <f t="shared" si="90"/>
        <v>4</v>
      </c>
      <c r="E181" s="1575">
        <v>1</v>
      </c>
      <c r="F181" s="1611">
        <f t="shared" si="91"/>
        <v>33.863745479389202</v>
      </c>
      <c r="G181" s="1582">
        <f t="shared" si="92"/>
        <v>16.931872739694601</v>
      </c>
      <c r="H181" s="1583">
        <f t="shared" si="93"/>
        <v>1.4142135623730951</v>
      </c>
      <c r="I181" s="1594">
        <f t="shared" si="94"/>
        <v>23.9452840648514</v>
      </c>
      <c r="J181" s="1666" t="s">
        <v>539</v>
      </c>
      <c r="K181" s="1586" t="s">
        <v>540</v>
      </c>
      <c r="L181" s="1578">
        <v>42</v>
      </c>
      <c r="M181" s="1578"/>
      <c r="N181" s="1578">
        <v>280</v>
      </c>
      <c r="O181" s="1580">
        <v>125</v>
      </c>
      <c r="P181" s="1576">
        <v>1.1000000000000001</v>
      </c>
      <c r="Q181" s="1581">
        <v>20</v>
      </c>
      <c r="R181" s="1576">
        <v>1.6</v>
      </c>
      <c r="S181" s="1587">
        <v>0.1</v>
      </c>
      <c r="T181" s="1624">
        <v>10</v>
      </c>
      <c r="U181" s="1616" t="s">
        <v>645</v>
      </c>
      <c r="V181" s="1622">
        <f>IF(E181=1,IF(U181="N",LOOKUP(T181,'HS250-DATA'!C$7:C$10,'HS250-DATA'!D$7:D$10),IF(U181="Y",LOOKUP(T181,'HS250-DATA'!C$22:C$25,'HS250-DATA'!D$22:D$25),"FAN?")),IF(U181="N",LOOKUP(T181,'HS250-DATA'!C$14:C$17,'HS250-DATA'!D$14:D$17),IF(U181="Y",LOOKUP(T181,'HS250-DATA'!C$29:C$32,'HS250-DATA'!D$29:D$32),"FAN?")))</f>
        <v>0.115</v>
      </c>
      <c r="W181" s="1602">
        <f t="shared" si="95"/>
        <v>30.092592592592588</v>
      </c>
      <c r="X181" s="1602">
        <f t="shared" si="96"/>
        <v>120.37037037037035</v>
      </c>
      <c r="Y181" s="1602">
        <f t="shared" si="97"/>
        <v>120.37037037037035</v>
      </c>
      <c r="Z181" s="1579">
        <f t="shared" si="98"/>
        <v>120</v>
      </c>
      <c r="AA181" s="1602">
        <f t="shared" si="99"/>
        <v>68.842592592592595</v>
      </c>
      <c r="AB181" s="1588">
        <v>55</v>
      </c>
      <c r="AC181" s="1570"/>
      <c r="AD181" s="1564">
        <f t="shared" si="100"/>
        <v>4.0000000000000008E-2</v>
      </c>
      <c r="AE181" s="1634">
        <f t="shared" si="101"/>
        <v>1.1000000000000001</v>
      </c>
      <c r="AF181" s="1635">
        <f t="shared" si="102"/>
        <v>-30.092592592592592</v>
      </c>
      <c r="AG181" s="1636">
        <f t="shared" si="103"/>
        <v>6.0248148148148157</v>
      </c>
      <c r="AH181" s="1741">
        <f t="shared" si="104"/>
        <v>54.36</v>
      </c>
      <c r="AI181" s="1607"/>
      <c r="AJ181" s="1733">
        <f>C181*LOOKUP(T181,'HS250-DATA'!C$7:C$10,'HS250-DATA'!F$7:F$10)</f>
        <v>19.86</v>
      </c>
      <c r="AK181" s="1733">
        <f t="shared" si="105"/>
        <v>12</v>
      </c>
      <c r="AL181" s="1733">
        <f>C181*E181*VLOOKUP(K181,'SCR-Diode DATA'!D$7:M$43,10,FALSE)</f>
        <v>22.5</v>
      </c>
      <c r="AM181" s="507">
        <f t="shared" si="106"/>
        <v>1.6052565724924202</v>
      </c>
    </row>
    <row r="182" spans="1:39" ht="18.75">
      <c r="A182" s="1598">
        <v>3</v>
      </c>
      <c r="B182" s="1533">
        <f t="shared" ref="B182:B211" si="107">IF(A182=3,6,IF(A182=1,4,IF(A182="bd",1,IF(A182="fwd",1,"Circuit Type"))))</f>
        <v>6</v>
      </c>
      <c r="C182" s="1600">
        <v>1</v>
      </c>
      <c r="D182" s="1575">
        <f t="shared" si="90"/>
        <v>6</v>
      </c>
      <c r="E182" s="1575">
        <v>1</v>
      </c>
      <c r="F182" s="1611">
        <f t="shared" si="91"/>
        <v>63.214223123511822</v>
      </c>
      <c r="G182" s="1582">
        <f t="shared" si="92"/>
        <v>21.071407707837274</v>
      </c>
      <c r="H182" s="1583">
        <f t="shared" si="93"/>
        <v>1.7320508075688772</v>
      </c>
      <c r="I182" s="1594">
        <f t="shared" si="94"/>
        <v>36.496748736972613</v>
      </c>
      <c r="J182" s="1681" t="s">
        <v>542</v>
      </c>
      <c r="K182" s="1417" t="s">
        <v>543</v>
      </c>
      <c r="L182" s="1414">
        <v>68</v>
      </c>
      <c r="M182" s="1414"/>
      <c r="N182" s="1414">
        <v>380</v>
      </c>
      <c r="O182" s="1413">
        <v>125</v>
      </c>
      <c r="P182" s="1413">
        <v>1</v>
      </c>
      <c r="Q182" s="1415">
        <v>10</v>
      </c>
      <c r="R182" s="1413">
        <v>1.1000000000000001</v>
      </c>
      <c r="S182" s="1688">
        <v>0.1</v>
      </c>
      <c r="T182" s="1624">
        <v>10</v>
      </c>
      <c r="U182" s="1616" t="s">
        <v>645</v>
      </c>
      <c r="V182" s="1622">
        <f>IF(E182=1,IF(U182="N",LOOKUP(T182,'HS250-DATA'!C$7:C$10,'HS250-DATA'!D$7:D$10),IF(U182="Y",LOOKUP(T182,'HS250-DATA'!C$22:C$25,'HS250-DATA'!D$22:D$25),"FAN?")),IF(U182="N",LOOKUP(T182,'HS250-DATA'!C$14:C$17,'HS250-DATA'!D$14:D$17),IF(U182="Y",LOOKUP(T182,'HS250-DATA'!C$29:C$32,'HS250-DATA'!D$29:D$32),"FAN?")))</f>
        <v>0.115</v>
      </c>
      <c r="W182" s="1602">
        <f t="shared" si="95"/>
        <v>34.391534391534393</v>
      </c>
      <c r="X182" s="1602">
        <f t="shared" si="96"/>
        <v>206.34920634920636</v>
      </c>
      <c r="Y182" s="1602">
        <f t="shared" si="97"/>
        <v>206.34920634920636</v>
      </c>
      <c r="Z182" s="1579">
        <f t="shared" si="98"/>
        <v>120</v>
      </c>
      <c r="AA182" s="1602">
        <f t="shared" si="99"/>
        <v>78.730158730158735</v>
      </c>
      <c r="AB182" s="1588">
        <v>55</v>
      </c>
      <c r="AC182" s="1570"/>
      <c r="AD182" s="1564">
        <f t="shared" si="100"/>
        <v>2.9999999999999995E-2</v>
      </c>
      <c r="AE182" s="1634">
        <f t="shared" si="101"/>
        <v>1</v>
      </c>
      <c r="AF182" s="1635">
        <f t="shared" si="102"/>
        <v>-34.391534391534393</v>
      </c>
      <c r="AG182" s="1636">
        <f t="shared" si="103"/>
        <v>5.1269841269841265</v>
      </c>
      <c r="AH182" s="1741">
        <f t="shared" si="104"/>
        <v>60.66</v>
      </c>
      <c r="AI182" s="1607"/>
      <c r="AJ182" s="1733">
        <f>C182*LOOKUP(T182,'HS250-DATA'!C$7:C$10,'HS250-DATA'!F$7:F$10)</f>
        <v>19.86</v>
      </c>
      <c r="AK182" s="1733">
        <f t="shared" si="105"/>
        <v>12</v>
      </c>
      <c r="AL182" s="1733">
        <f>C182*E182*VLOOKUP(K182,'SCR-Diode DATA'!D$7:M$43,10,FALSE)</f>
        <v>28.8</v>
      </c>
      <c r="AM182" s="507">
        <f t="shared" si="106"/>
        <v>0.95959417046823103</v>
      </c>
    </row>
    <row r="183" spans="1:39" ht="18.75">
      <c r="A183" s="1598">
        <v>1</v>
      </c>
      <c r="B183" s="1533">
        <f t="shared" si="107"/>
        <v>4</v>
      </c>
      <c r="C183" s="1600">
        <v>1</v>
      </c>
      <c r="D183" s="1575">
        <f t="shared" si="90"/>
        <v>4</v>
      </c>
      <c r="E183" s="1575">
        <v>1</v>
      </c>
      <c r="F183" s="1611">
        <f t="shared" si="91"/>
        <v>51.643127171515239</v>
      </c>
      <c r="G183" s="1582">
        <f t="shared" si="92"/>
        <v>25.82156358575762</v>
      </c>
      <c r="H183" s="1583">
        <f t="shared" si="93"/>
        <v>1.4142135623730951</v>
      </c>
      <c r="I183" s="1594">
        <f t="shared" si="94"/>
        <v>36.517205424657675</v>
      </c>
      <c r="J183" s="1681" t="s">
        <v>542</v>
      </c>
      <c r="K183" s="1417" t="s">
        <v>543</v>
      </c>
      <c r="L183" s="1414">
        <v>68</v>
      </c>
      <c r="M183" s="1414"/>
      <c r="N183" s="1414">
        <v>380</v>
      </c>
      <c r="O183" s="1413">
        <v>125</v>
      </c>
      <c r="P183" s="1413">
        <v>1</v>
      </c>
      <c r="Q183" s="1415">
        <v>10</v>
      </c>
      <c r="R183" s="1413">
        <v>1.1000000000000001</v>
      </c>
      <c r="S183" s="1688">
        <v>0.1</v>
      </c>
      <c r="T183" s="1624">
        <v>10</v>
      </c>
      <c r="U183" s="1616" t="s">
        <v>645</v>
      </c>
      <c r="V183" s="1622">
        <f>IF(E183=1,IF(U183="N",LOOKUP(T183,'HS250-DATA'!C$7:C$10,'HS250-DATA'!D$7:D$10),IF(U183="Y",LOOKUP(T183,'HS250-DATA'!C$22:C$25,'HS250-DATA'!D$22:D$25),"FAN?")),IF(U183="N",LOOKUP(T183,'HS250-DATA'!C$14:C$17,'HS250-DATA'!D$14:D$17),IF(U183="Y",LOOKUP(T183,'HS250-DATA'!C$29:C$32,'HS250-DATA'!D$29:D$32),"FAN?")))</f>
        <v>0.115</v>
      </c>
      <c r="W183" s="1602">
        <f t="shared" si="95"/>
        <v>39.156626506024097</v>
      </c>
      <c r="X183" s="1602">
        <f t="shared" si="96"/>
        <v>156.62650602409639</v>
      </c>
      <c r="Y183" s="1602">
        <f t="shared" si="97"/>
        <v>156.62650602409639</v>
      </c>
      <c r="Z183" s="1579">
        <f t="shared" si="98"/>
        <v>120</v>
      </c>
      <c r="AA183" s="1602">
        <f t="shared" si="99"/>
        <v>73.01204819277109</v>
      </c>
      <c r="AB183" s="1588">
        <v>55</v>
      </c>
      <c r="AC183" s="1570"/>
      <c r="AD183" s="1564">
        <f t="shared" si="100"/>
        <v>2.0000000000000004E-2</v>
      </c>
      <c r="AE183" s="1634">
        <f t="shared" si="101"/>
        <v>1</v>
      </c>
      <c r="AF183" s="1635">
        <f t="shared" si="102"/>
        <v>-39.156626506024097</v>
      </c>
      <c r="AG183" s="1636">
        <f t="shared" si="103"/>
        <v>4.1325301204819285</v>
      </c>
      <c r="AH183" s="1741">
        <f t="shared" si="104"/>
        <v>60.66</v>
      </c>
      <c r="AI183" s="1607"/>
      <c r="AJ183" s="1733">
        <f>C183*LOOKUP(T183,'HS250-DATA'!C$7:C$10,'HS250-DATA'!F$7:F$10)</f>
        <v>19.86</v>
      </c>
      <c r="AK183" s="1733">
        <f t="shared" si="105"/>
        <v>12</v>
      </c>
      <c r="AL183" s="1733">
        <f>C183*E183*VLOOKUP(K183,'SCR-Diode DATA'!D$7:M$43,10,FALSE)</f>
        <v>28.8</v>
      </c>
      <c r="AM183" s="507">
        <f t="shared" si="106"/>
        <v>1.1745996674163099</v>
      </c>
    </row>
    <row r="184" spans="1:39" ht="18.75">
      <c r="A184" s="1598">
        <v>1</v>
      </c>
      <c r="B184" s="1533">
        <f t="shared" si="107"/>
        <v>4</v>
      </c>
      <c r="C184" s="1600">
        <v>1</v>
      </c>
      <c r="D184" s="1575">
        <f t="shared" si="90"/>
        <v>4</v>
      </c>
      <c r="E184" s="1575">
        <v>1</v>
      </c>
      <c r="F184" s="1611">
        <f t="shared" si="91"/>
        <v>105.11177269748235</v>
      </c>
      <c r="G184" s="1582">
        <f t="shared" si="92"/>
        <v>52.555886348741176</v>
      </c>
      <c r="H184" s="1583">
        <f t="shared" si="93"/>
        <v>1.4142135623730951</v>
      </c>
      <c r="I184" s="1594">
        <f t="shared" si="94"/>
        <v>74.325247256928776</v>
      </c>
      <c r="J184" s="1680" t="s">
        <v>545</v>
      </c>
      <c r="K184" s="1417" t="s">
        <v>503</v>
      </c>
      <c r="L184" s="1414">
        <v>125</v>
      </c>
      <c r="M184" s="1414"/>
      <c r="N184" s="1414">
        <v>1950</v>
      </c>
      <c r="O184" s="1413">
        <v>125</v>
      </c>
      <c r="P184" s="1413">
        <v>0.86</v>
      </c>
      <c r="Q184" s="1415">
        <v>5.5</v>
      </c>
      <c r="R184" s="1413">
        <v>0.3</v>
      </c>
      <c r="S184" s="1688">
        <v>0.1</v>
      </c>
      <c r="T184" s="1624">
        <v>10</v>
      </c>
      <c r="U184" s="1616" t="s">
        <v>645</v>
      </c>
      <c r="V184" s="1622">
        <f>IF(E184=1,IF(U184="N",LOOKUP(T184,'HS250-DATA'!C$7:C$10,'HS250-DATA'!D$7:D$10),IF(U184="Y",LOOKUP(T184,'HS250-DATA'!C$22:C$25,'HS250-DATA'!D$22:D$25),"FAN?")),IF(U184="N",LOOKUP(T184,'HS250-DATA'!C$14:C$17,'HS250-DATA'!D$14:D$17),IF(U184="Y",LOOKUP(T184,'HS250-DATA'!C$29:C$32,'HS250-DATA'!D$29:D$32),"FAN?")))</f>
        <v>0.115</v>
      </c>
      <c r="W184" s="1602">
        <f t="shared" si="95"/>
        <v>75.581395348837205</v>
      </c>
      <c r="X184" s="1602">
        <f t="shared" si="96"/>
        <v>302.32558139534882</v>
      </c>
      <c r="Y184" s="1602">
        <f t="shared" si="97"/>
        <v>302.32558139534882</v>
      </c>
      <c r="Z184" s="1579">
        <f t="shared" si="98"/>
        <v>120</v>
      </c>
      <c r="AA184" s="1602">
        <f t="shared" si="99"/>
        <v>89.767441860465112</v>
      </c>
      <c r="AB184" s="1588">
        <v>55</v>
      </c>
      <c r="AC184" s="1570"/>
      <c r="AD184" s="1564">
        <f t="shared" si="100"/>
        <v>1.1000000000000001E-2</v>
      </c>
      <c r="AE184" s="1634">
        <f t="shared" si="101"/>
        <v>0.86</v>
      </c>
      <c r="AF184" s="1635">
        <f t="shared" si="102"/>
        <v>-75.581395348837205</v>
      </c>
      <c r="AG184" s="1636">
        <f t="shared" si="103"/>
        <v>4.0651813953488372</v>
      </c>
      <c r="AH184" s="1741">
        <f t="shared" si="104"/>
        <v>55.8</v>
      </c>
      <c r="AI184" s="1607"/>
      <c r="AJ184" s="1733">
        <f>C184*LOOKUP(T184,'HS250-DATA'!C$7:C$10,'HS250-DATA'!F$7:F$10)</f>
        <v>19.86</v>
      </c>
      <c r="AK184" s="1733">
        <f t="shared" si="105"/>
        <v>12</v>
      </c>
      <c r="AL184" s="1733">
        <f>C184*E184*VLOOKUP(K184,'SCR-Diode DATA'!D$7:M$43,10,FALSE)</f>
        <v>23.94</v>
      </c>
      <c r="AM184" s="507">
        <f t="shared" si="106"/>
        <v>0.53086346627028702</v>
      </c>
    </row>
    <row r="185" spans="1:39" ht="18.75">
      <c r="A185" s="1598">
        <v>3</v>
      </c>
      <c r="B185" s="1533">
        <f t="shared" si="107"/>
        <v>6</v>
      </c>
      <c r="C185" s="1600">
        <v>1</v>
      </c>
      <c r="D185" s="1575">
        <f t="shared" si="90"/>
        <v>6</v>
      </c>
      <c r="E185" s="1575">
        <v>1</v>
      </c>
      <c r="F185" s="1611">
        <f t="shared" si="91"/>
        <v>118.38751466493139</v>
      </c>
      <c r="G185" s="1582">
        <f t="shared" si="92"/>
        <v>39.462504888310463</v>
      </c>
      <c r="H185" s="1583">
        <f t="shared" si="93"/>
        <v>1.7320508075688772</v>
      </c>
      <c r="I185" s="1594">
        <f t="shared" si="94"/>
        <v>68.351063460488902</v>
      </c>
      <c r="J185" s="1680" t="s">
        <v>542</v>
      </c>
      <c r="K185" s="1417" t="s">
        <v>326</v>
      </c>
      <c r="L185" s="1414">
        <v>170</v>
      </c>
      <c r="M185" s="1423"/>
      <c r="N185" s="1414">
        <v>1950</v>
      </c>
      <c r="O185" s="1413">
        <v>125</v>
      </c>
      <c r="P185" s="1413">
        <v>0.86</v>
      </c>
      <c r="Q185" s="1415">
        <v>5.5</v>
      </c>
      <c r="R185" s="1413">
        <v>0.3</v>
      </c>
      <c r="S185" s="1688">
        <v>0.1</v>
      </c>
      <c r="T185" s="1624">
        <v>10</v>
      </c>
      <c r="U185" s="1616" t="s">
        <v>645</v>
      </c>
      <c r="V185" s="1622">
        <f>IF(E185=1,IF(U185="N",LOOKUP(T185,'HS250-DATA'!C$7:C$10,'HS250-DATA'!D$7:D$10),IF(U185="Y",LOOKUP(T185,'HS250-DATA'!C$22:C$25,'HS250-DATA'!D$22:D$25),"FAN?")),IF(U185="N",LOOKUP(T185,'HS250-DATA'!C$14:C$17,'HS250-DATA'!D$14:D$17),IF(U185="Y",LOOKUP(T185,'HS250-DATA'!C$29:C$32,'HS250-DATA'!D$29:D$32),"FAN?")))</f>
        <v>0.115</v>
      </c>
      <c r="W185" s="1602">
        <f t="shared" si="95"/>
        <v>59.633027522935791</v>
      </c>
      <c r="X185" s="1602">
        <f t="shared" si="96"/>
        <v>357.79816513761477</v>
      </c>
      <c r="Y185" s="1602">
        <f t="shared" si="97"/>
        <v>357.79816513761477</v>
      </c>
      <c r="Z185" s="1579">
        <f t="shared" si="98"/>
        <v>120</v>
      </c>
      <c r="AA185" s="1602">
        <f t="shared" si="99"/>
        <v>96.146788990825698</v>
      </c>
      <c r="AB185" s="1588">
        <v>55</v>
      </c>
      <c r="AC185" s="1570"/>
      <c r="AD185" s="1564">
        <f t="shared" si="100"/>
        <v>1.6499999999999997E-2</v>
      </c>
      <c r="AE185" s="1634">
        <f t="shared" si="101"/>
        <v>0.86</v>
      </c>
      <c r="AF185" s="1635">
        <f t="shared" si="102"/>
        <v>-59.633027522935777</v>
      </c>
      <c r="AG185" s="1636">
        <f t="shared" si="103"/>
        <v>4.675379816513761</v>
      </c>
      <c r="AH185" s="1741">
        <f t="shared" si="104"/>
        <v>62.730000000000004</v>
      </c>
      <c r="AI185" s="1607"/>
      <c r="AJ185" s="1733">
        <f>C185*LOOKUP(T185,'HS250-DATA'!C$7:C$10,'HS250-DATA'!F$7:F$10)</f>
        <v>19.86</v>
      </c>
      <c r="AK185" s="1733">
        <f t="shared" si="105"/>
        <v>12</v>
      </c>
      <c r="AL185" s="1733">
        <f>C185*E185*VLOOKUP(K185,'SCR-Diode DATA'!D$7:M$43,10,FALSE)</f>
        <v>30.87</v>
      </c>
      <c r="AM185" s="507">
        <f t="shared" si="106"/>
        <v>0.5298700642339087</v>
      </c>
    </row>
    <row r="186" spans="1:39" ht="11.25" customHeight="1">
      <c r="A186" s="1598"/>
      <c r="B186" s="1533"/>
      <c r="C186" s="1600"/>
      <c r="D186" s="1575"/>
      <c r="E186" s="1575"/>
      <c r="F186" s="1611"/>
      <c r="G186" s="1582"/>
      <c r="H186" s="1583"/>
      <c r="I186" s="1594"/>
      <c r="J186" s="1680"/>
      <c r="K186" s="1417"/>
      <c r="L186" s="1414"/>
      <c r="M186" s="1423"/>
      <c r="N186" s="1414"/>
      <c r="O186" s="1413"/>
      <c r="P186" s="1413"/>
      <c r="Q186" s="1415"/>
      <c r="R186" s="1413"/>
      <c r="S186" s="1688"/>
      <c r="T186" s="1624"/>
      <c r="U186" s="1616"/>
      <c r="V186" s="1622"/>
      <c r="W186" s="1602"/>
      <c r="X186" s="1602"/>
      <c r="Y186" s="1602"/>
      <c r="Z186" s="1579"/>
      <c r="AA186" s="1602"/>
      <c r="AB186" s="1588"/>
      <c r="AC186" s="1570"/>
      <c r="AD186" s="1564"/>
      <c r="AE186" s="1634"/>
      <c r="AF186" s="1635"/>
      <c r="AG186" s="1636"/>
      <c r="AH186" s="1742"/>
      <c r="AI186" s="1607"/>
      <c r="AJ186" s="1607"/>
      <c r="AK186" s="1607"/>
      <c r="AL186" s="1733"/>
      <c r="AM186" s="494"/>
    </row>
    <row r="187" spans="1:39" ht="18.75">
      <c r="A187" s="1598">
        <v>3</v>
      </c>
      <c r="B187" s="1533">
        <f t="shared" si="107"/>
        <v>6</v>
      </c>
      <c r="C187" s="1600">
        <v>1</v>
      </c>
      <c r="D187" s="1575">
        <f>B187/C187</f>
        <v>6</v>
      </c>
      <c r="E187" s="1575">
        <v>3</v>
      </c>
      <c r="F187" s="1611">
        <f>IF(A187=3,3*G187,IF(A187=1,2*G187,IF(A187="bd",1*G187,IF(A187="fwd",1,"Error"))))</f>
        <v>151.04138456428956</v>
      </c>
      <c r="G187" s="1582">
        <f>(-AE187+SQRT(AG187))/2/AD187</f>
        <v>50.347128188096519</v>
      </c>
      <c r="H187" s="1583">
        <f>IF(A187=3,SQRT(3),IF(A187=1,SQRT(2),1))</f>
        <v>1.7320508075688772</v>
      </c>
      <c r="I187" s="1594">
        <f>H187*G187</f>
        <v>87.203784036966354</v>
      </c>
      <c r="J187" s="1680" t="s">
        <v>548</v>
      </c>
      <c r="K187" s="1418" t="s">
        <v>549</v>
      </c>
      <c r="L187" s="1419">
        <v>90</v>
      </c>
      <c r="M187" s="1419">
        <v>150</v>
      </c>
      <c r="N187" s="1419">
        <v>1950</v>
      </c>
      <c r="O187" s="1412">
        <v>125</v>
      </c>
      <c r="P187" s="1416">
        <v>0.9</v>
      </c>
      <c r="Q187" s="1416">
        <v>2</v>
      </c>
      <c r="R187" s="1416">
        <v>0.28000000000000003</v>
      </c>
      <c r="S187" s="1687">
        <v>0.2</v>
      </c>
      <c r="T187" s="1624">
        <v>10</v>
      </c>
      <c r="U187" s="1616" t="s">
        <v>645</v>
      </c>
      <c r="V187" s="1622">
        <f>IF(E187=1,IF(U187="N",LOOKUP(T187,'HS250-DATA'!C$7:C$10,'HS250-DATA'!D$7:D$10),IF(U187="Y",LOOKUP(T187,'HS250-DATA'!C$22:C$25,'HS250-DATA'!D$22:D$25),"FAN?")),IF(U187="N",LOOKUP(T187,'HS250-DATA'!C$14:C$17,'HS250-DATA'!D$14:D$17),IF(U187="Y",LOOKUP(T187,'HS250-DATA'!C$29:C$32,'HS250-DATA'!D$29:D$32),"FAN?")))</f>
        <v>9.9000000000000005E-2</v>
      </c>
      <c r="W187" s="1602">
        <f>(G187*H187)^2*Q187*10^-3+G187*P187</f>
        <v>60.521415270018608</v>
      </c>
      <c r="X187" s="1602">
        <f>D187*W187</f>
        <v>363.12849162011162</v>
      </c>
      <c r="Y187" s="1602">
        <f>IF(A187=3,W187*6,IF(A187=1,W187*4,W187))</f>
        <v>363.12849162011162</v>
      </c>
      <c r="Z187" s="1579">
        <f>O187-5</f>
        <v>120</v>
      </c>
      <c r="AA187" s="1602">
        <f>D187*W187*V187+AB187</f>
        <v>90.949720670391059</v>
      </c>
      <c r="AB187" s="1588">
        <v>55</v>
      </c>
      <c r="AC187" s="1570"/>
      <c r="AD187" s="1564">
        <f>Q187*10^-3*H187^2</f>
        <v>5.9999999999999993E-3</v>
      </c>
      <c r="AE187" s="1634">
        <f>P187</f>
        <v>0.9</v>
      </c>
      <c r="AF187" s="1635">
        <f>(AB187-Z187)/(R187+S187+D187*V187)</f>
        <v>-60.521415270018615</v>
      </c>
      <c r="AG187" s="1636">
        <f>AE187^2-4*AD187*AF187</f>
        <v>2.2625139664804466</v>
      </c>
      <c r="AH187" s="1741">
        <f>SUM(AJ187:AL187)</f>
        <v>70.86</v>
      </c>
      <c r="AI187" s="1607"/>
      <c r="AJ187" s="1733">
        <f>C187*LOOKUP(T187,'HS250-DATA'!C$7:C$10,'HS250-DATA'!F$7:F$10)</f>
        <v>19.86</v>
      </c>
      <c r="AK187" s="1733">
        <f>IF(U187="Y",C187*12,0)</f>
        <v>12</v>
      </c>
      <c r="AL187" s="1733">
        <f>C187*E187*VLOOKUP(K187,'SCR-Diode DATA'!D$7:M$43,10,FALSE)</f>
        <v>39</v>
      </c>
      <c r="AM187" s="507">
        <f>AH187/F187</f>
        <v>0.46914294518956168</v>
      </c>
    </row>
    <row r="188" spans="1:39" ht="18.75">
      <c r="A188" s="1598">
        <v>3</v>
      </c>
      <c r="B188" s="1533">
        <f t="shared" si="107"/>
        <v>6</v>
      </c>
      <c r="C188" s="1600">
        <v>3</v>
      </c>
      <c r="D188" s="1575">
        <f>B188/C188</f>
        <v>2</v>
      </c>
      <c r="E188" s="1575">
        <v>1</v>
      </c>
      <c r="F188" s="1611">
        <f>IF(A188=3,3*G188,IF(A188=1,2*G188,IF(A188="bd",1*G188,IF(A188="fwd",1,"Error"))))</f>
        <v>208.53078744418116</v>
      </c>
      <c r="G188" s="1582">
        <f>(-AE188+SQRT(AG188))/2/AD188</f>
        <v>69.510262481393724</v>
      </c>
      <c r="H188" s="1583">
        <f>IF(A188=3,SQRT(3),IF(A188=1,SQRT(2),1))</f>
        <v>1.7320508075688772</v>
      </c>
      <c r="I188" s="1594">
        <f>H188*G188</f>
        <v>120.39530626522263</v>
      </c>
      <c r="J188" s="1680" t="s">
        <v>548</v>
      </c>
      <c r="K188" s="1418" t="s">
        <v>549</v>
      </c>
      <c r="L188" s="1419">
        <v>90</v>
      </c>
      <c r="M188" s="1419">
        <v>150</v>
      </c>
      <c r="N188" s="1419">
        <v>1950</v>
      </c>
      <c r="O188" s="1412">
        <v>125</v>
      </c>
      <c r="P188" s="1416">
        <v>0.9</v>
      </c>
      <c r="Q188" s="1416">
        <v>2</v>
      </c>
      <c r="R188" s="1416">
        <v>0.28000000000000003</v>
      </c>
      <c r="S188" s="1687">
        <v>0.2</v>
      </c>
      <c r="T188" s="1624">
        <v>10</v>
      </c>
      <c r="U188" s="1616" t="s">
        <v>645</v>
      </c>
      <c r="V188" s="1622">
        <f>IF(E188=1,IF(U188="N",LOOKUP(T188,'HS250-DATA'!C$7:C$10,'HS250-DATA'!D$7:D$10),IF(U188="Y",LOOKUP(T188,'HS250-DATA'!C$22:C$25,'HS250-DATA'!D$22:D$25),"FAN?")),IF(U188="N",LOOKUP(T188,'HS250-DATA'!C$14:C$17,'HS250-DATA'!D$14:D$17),IF(U188="Y",LOOKUP(T188,'HS250-DATA'!C$29:C$32,'HS250-DATA'!D$29:D$32),"FAN?")))</f>
        <v>0.115</v>
      </c>
      <c r="W188" s="1602">
        <f>(G188*H188)^2*Q188*10^-3+G188*P188</f>
        <v>91.549295774647874</v>
      </c>
      <c r="X188" s="1602">
        <f>D188*W188</f>
        <v>183.09859154929575</v>
      </c>
      <c r="Y188" s="1602">
        <f>IF(A188=3,W188*6,IF(A188=1,W188*4,W188))</f>
        <v>549.29577464788724</v>
      </c>
      <c r="Z188" s="1579">
        <f>O188-5</f>
        <v>120</v>
      </c>
      <c r="AA188" s="1602">
        <f>D188*W188*V188+AB188</f>
        <v>76.056338028169009</v>
      </c>
      <c r="AB188" s="1588">
        <v>55</v>
      </c>
      <c r="AC188" s="1570"/>
      <c r="AD188" s="1564">
        <f>Q188*10^-3*H188^2</f>
        <v>5.9999999999999993E-3</v>
      </c>
      <c r="AE188" s="1634">
        <f>P188</f>
        <v>0.9</v>
      </c>
      <c r="AF188" s="1635">
        <f>(AB188-Z188)/(R188+S188+D188*V188)</f>
        <v>-91.549295774647874</v>
      </c>
      <c r="AG188" s="1636">
        <f>AE188^2-4*AD188*AF188</f>
        <v>3.0071830985915486</v>
      </c>
      <c r="AH188" s="1741">
        <f>SUM(AJ188:AL188)</f>
        <v>134.57999999999998</v>
      </c>
      <c r="AI188" s="1607"/>
      <c r="AJ188" s="1733">
        <f>C188*LOOKUP(T188,'HS250-DATA'!C$7:C$10,'HS250-DATA'!F$7:F$10)</f>
        <v>59.58</v>
      </c>
      <c r="AK188" s="1733">
        <f>IF(U188="Y",C188*12,0)</f>
        <v>36</v>
      </c>
      <c r="AL188" s="1733">
        <f>C188*E188*VLOOKUP(K188,'SCR-Diode DATA'!D$7:M$43,10,FALSE)</f>
        <v>39</v>
      </c>
      <c r="AM188" s="507">
        <f>AH188/F188</f>
        <v>0.64537232918675824</v>
      </c>
    </row>
    <row r="189" spans="1:39" ht="18.75">
      <c r="A189" s="1598">
        <v>1</v>
      </c>
      <c r="B189" s="1533">
        <f t="shared" si="107"/>
        <v>4</v>
      </c>
      <c r="C189" s="1600">
        <v>1</v>
      </c>
      <c r="D189" s="1575">
        <f>B189/C189</f>
        <v>4</v>
      </c>
      <c r="E189" s="1575">
        <v>2</v>
      </c>
      <c r="F189" s="1611">
        <f>IF(A189=3,3*G189,IF(A189=1,2*G189,IF(A189="bd",1*G189,IF(A189="fwd",1,"Error"))))</f>
        <v>128.30710896047526</v>
      </c>
      <c r="G189" s="1582">
        <f>(-AE189+SQRT(AG189))/2/AD189</f>
        <v>64.153554480237631</v>
      </c>
      <c r="H189" s="1583">
        <f>IF(A189=3,SQRT(3),IF(A189=1,SQRT(2),1))</f>
        <v>1.4142135623730951</v>
      </c>
      <c r="I189" s="1594">
        <f>H189*G189</f>
        <v>90.726826820393299</v>
      </c>
      <c r="J189" s="1680" t="s">
        <v>552</v>
      </c>
      <c r="K189" s="1418" t="s">
        <v>553</v>
      </c>
      <c r="L189" s="1419">
        <v>90</v>
      </c>
      <c r="M189" s="1419">
        <v>150</v>
      </c>
      <c r="N189" s="1419">
        <v>1950</v>
      </c>
      <c r="O189" s="1412">
        <v>125</v>
      </c>
      <c r="P189" s="1416">
        <v>0.9</v>
      </c>
      <c r="Q189" s="1416">
        <v>2</v>
      </c>
      <c r="R189" s="1416">
        <v>0.28000000000000003</v>
      </c>
      <c r="S189" s="1687">
        <v>0.2</v>
      </c>
      <c r="T189" s="1624">
        <v>10</v>
      </c>
      <c r="U189" s="1616" t="s">
        <v>645</v>
      </c>
      <c r="V189" s="1622">
        <f>IF(E189=1,IF(U189="N",LOOKUP(T189,'HS250-DATA'!C$7:C$10,'HS250-DATA'!D$7:D$10),IF(U189="Y",LOOKUP(T189,'HS250-DATA'!C$22:C$25,'HS250-DATA'!D$22:D$25),"FAN?")),IF(U189="N",LOOKUP(T189,'HS250-DATA'!C$14:C$17,'HS250-DATA'!D$14:D$17),IF(U189="Y",LOOKUP(T189,'HS250-DATA'!C$29:C$32,'HS250-DATA'!D$29:D$32),"FAN?")))</f>
        <v>9.9000000000000005E-2</v>
      </c>
      <c r="W189" s="1602">
        <f>(G189*H189)^2*Q189*10^-3+G189*P189</f>
        <v>74.20091324200915</v>
      </c>
      <c r="X189" s="1602">
        <f>D189*W189</f>
        <v>296.8036529680366</v>
      </c>
      <c r="Y189" s="1602">
        <f>IF(A189=3,W189*6,IF(A189=1,W189*4,W189))</f>
        <v>296.8036529680366</v>
      </c>
      <c r="Z189" s="1579">
        <f>O189-5</f>
        <v>120</v>
      </c>
      <c r="AA189" s="1602">
        <f>D189*W189*V189+AB189</f>
        <v>84.38356164383562</v>
      </c>
      <c r="AB189" s="1588">
        <v>55</v>
      </c>
      <c r="AC189" s="1570"/>
      <c r="AD189" s="1564">
        <f>Q189*10^-3*H189^2</f>
        <v>4.000000000000001E-3</v>
      </c>
      <c r="AE189" s="1634">
        <f>P189</f>
        <v>0.9</v>
      </c>
      <c r="AF189" s="1635">
        <f>(AB189-Z189)/(R189+S189+D189*V189)</f>
        <v>-74.200913242009122</v>
      </c>
      <c r="AG189" s="1636">
        <f>AE189^2-4*AD189*AF189</f>
        <v>1.9972146118721463</v>
      </c>
      <c r="AH189" s="1741">
        <f>SUM(AJ189:AL189)</f>
        <v>57.86</v>
      </c>
      <c r="AI189" s="1607"/>
      <c r="AJ189" s="1733">
        <f>C189*LOOKUP(T189,'HS250-DATA'!C$7:C$10,'HS250-DATA'!F$7:F$10)</f>
        <v>19.86</v>
      </c>
      <c r="AK189" s="1733">
        <f>IF(U189="Y",C189*12,0)</f>
        <v>12</v>
      </c>
      <c r="AL189" s="1733">
        <f>C189*E189*VLOOKUP(K189,'SCR-Diode DATA'!D$7:M$43,10,FALSE)</f>
        <v>26</v>
      </c>
      <c r="AM189" s="507">
        <f>AH189/F189</f>
        <v>0.45094929243416787</v>
      </c>
    </row>
    <row r="190" spans="1:39" ht="18.75">
      <c r="A190" s="1598">
        <v>1</v>
      </c>
      <c r="B190" s="1533">
        <f t="shared" si="107"/>
        <v>4</v>
      </c>
      <c r="C190" s="1600">
        <v>2</v>
      </c>
      <c r="D190" s="1575">
        <f>B190/C190</f>
        <v>2</v>
      </c>
      <c r="E190" s="1575">
        <v>1</v>
      </c>
      <c r="F190" s="1611">
        <f>IF(A190=3,3*G190,IF(A190=1,2*G190,IF(A190="bd",1*G190,IF(A190="fwd",1,"Error"))))</f>
        <v>152.06006918612835</v>
      </c>
      <c r="G190" s="1582">
        <f>(-AE190+SQRT(AG190))/2/AD190</f>
        <v>76.030034593064173</v>
      </c>
      <c r="H190" s="1583">
        <f>IF(A190=3,SQRT(3),IF(A190=1,SQRT(2),1))</f>
        <v>1.4142135623730951</v>
      </c>
      <c r="I190" s="1594">
        <f>H190*G190</f>
        <v>107.52270606920695</v>
      </c>
      <c r="J190" s="1680" t="s">
        <v>552</v>
      </c>
      <c r="K190" s="1418" t="s">
        <v>553</v>
      </c>
      <c r="L190" s="1419">
        <v>90</v>
      </c>
      <c r="M190" s="1419">
        <v>150</v>
      </c>
      <c r="N190" s="1419">
        <v>1950</v>
      </c>
      <c r="O190" s="1412">
        <v>125</v>
      </c>
      <c r="P190" s="1416">
        <v>0.9</v>
      </c>
      <c r="Q190" s="1416">
        <v>2</v>
      </c>
      <c r="R190" s="1416">
        <v>0.28000000000000003</v>
      </c>
      <c r="S190" s="1687">
        <v>0.2</v>
      </c>
      <c r="T190" s="1624">
        <v>10</v>
      </c>
      <c r="U190" s="1616" t="s">
        <v>645</v>
      </c>
      <c r="V190" s="1622">
        <f>IF(E190=1,IF(U190="N",LOOKUP(T190,'HS250-DATA'!C$7:C$10,'HS250-DATA'!D$7:D$10),IF(U190="Y",LOOKUP(T190,'HS250-DATA'!C$22:C$25,'HS250-DATA'!D$22:D$25),"FAN?")),IF(U190="N",LOOKUP(T190,'HS250-DATA'!C$14:C$17,'HS250-DATA'!D$14:D$17),IF(U190="Y",LOOKUP(T190,'HS250-DATA'!C$29:C$32,'HS250-DATA'!D$29:D$32),"FAN?")))</f>
        <v>0.115</v>
      </c>
      <c r="W190" s="1602">
        <f>(G190*H190)^2*Q190*10^-3+G190*P190</f>
        <v>91.549295774647902</v>
      </c>
      <c r="X190" s="1602">
        <f>D190*W190</f>
        <v>183.0985915492958</v>
      </c>
      <c r="Y190" s="1602">
        <f>IF(A190=3,W190*6,IF(A190=1,W190*4,W190))</f>
        <v>366.19718309859161</v>
      </c>
      <c r="Z190" s="1579">
        <f>O190-5</f>
        <v>120</v>
      </c>
      <c r="AA190" s="1602">
        <f>D190*W190*V190+AB190</f>
        <v>76.056338028169023</v>
      </c>
      <c r="AB190" s="1588">
        <v>55</v>
      </c>
      <c r="AC190" s="1570"/>
      <c r="AD190" s="1564">
        <f>Q190*10^-3*H190^2</f>
        <v>4.000000000000001E-3</v>
      </c>
      <c r="AE190" s="1634">
        <f>P190</f>
        <v>0.9</v>
      </c>
      <c r="AF190" s="1635">
        <f>(AB190-Z190)/(R190+S190+D190*V190)</f>
        <v>-91.549295774647874</v>
      </c>
      <c r="AG190" s="1636">
        <f>AE190^2-4*AD190*AF190</f>
        <v>2.2747887323943665</v>
      </c>
      <c r="AH190" s="1741">
        <f>SUM(AJ190:AL190)</f>
        <v>89.72</v>
      </c>
      <c r="AI190" s="1607"/>
      <c r="AJ190" s="1733">
        <f>C190*LOOKUP(T190,'HS250-DATA'!C$7:C$10,'HS250-DATA'!F$7:F$10)</f>
        <v>39.72</v>
      </c>
      <c r="AK190" s="1733">
        <f>IF(U190="Y",C190*12,0)</f>
        <v>24</v>
      </c>
      <c r="AL190" s="1733">
        <f>C190*E190*VLOOKUP(K190,'SCR-Diode DATA'!D$7:M$43,10,FALSE)</f>
        <v>26</v>
      </c>
      <c r="AM190" s="507">
        <f>AH190/F190</f>
        <v>0.59002998275752916</v>
      </c>
    </row>
    <row r="191" spans="1:39" ht="18.75">
      <c r="A191" s="1598"/>
      <c r="B191" s="1533"/>
      <c r="C191" s="1600"/>
      <c r="D191" s="1575"/>
      <c r="E191" s="1575"/>
      <c r="F191" s="1611"/>
      <c r="G191" s="1582"/>
      <c r="H191" s="1583"/>
      <c r="I191" s="1594"/>
      <c r="J191" s="1680"/>
      <c r="K191" s="1418"/>
      <c r="L191" s="1419"/>
      <c r="M191" s="1419"/>
      <c r="N191" s="1419"/>
      <c r="O191" s="1412"/>
      <c r="P191" s="1416"/>
      <c r="Q191" s="1416"/>
      <c r="R191" s="1416"/>
      <c r="S191" s="1687"/>
      <c r="T191" s="1624"/>
      <c r="U191" s="1616"/>
      <c r="V191" s="1622"/>
      <c r="W191" s="1602"/>
      <c r="X191" s="1602"/>
      <c r="Y191" s="1602"/>
      <c r="Z191" s="1579"/>
      <c r="AA191" s="1602"/>
      <c r="AB191" s="1588"/>
      <c r="AC191" s="1570"/>
      <c r="AD191" s="1564"/>
      <c r="AE191" s="1634"/>
      <c r="AF191" s="1635"/>
      <c r="AG191" s="1636"/>
      <c r="AH191" s="1742"/>
      <c r="AI191" s="1607"/>
      <c r="AJ191" s="1607"/>
      <c r="AK191" s="1607"/>
      <c r="AL191" s="1733"/>
      <c r="AM191" s="1743"/>
    </row>
    <row r="192" spans="1:39" ht="18.75">
      <c r="A192" s="1598">
        <v>3</v>
      </c>
      <c r="B192" s="1533">
        <f t="shared" si="107"/>
        <v>6</v>
      </c>
      <c r="C192" s="1600">
        <v>1</v>
      </c>
      <c r="D192" s="1575">
        <f>B192/C192</f>
        <v>6</v>
      </c>
      <c r="E192" s="1575">
        <v>3</v>
      </c>
      <c r="F192" s="1611">
        <f>IF(A192=3,3*G192,IF(A192=1,2*G192,IF(A192="bd",1*G192,IF(A192="fwd",1,"Error"))))</f>
        <v>197.02147380482859</v>
      </c>
      <c r="G192" s="1582">
        <f>(-AE192+SQRT(AG192))/2/AD192</f>
        <v>65.673824601609525</v>
      </c>
      <c r="H192" s="1583">
        <f>IF(A192=3,SQRT(3),IF(A192=1,SQRT(2),1))</f>
        <v>1.7320508075688772</v>
      </c>
      <c r="I192" s="1594">
        <f>H192*G192</f>
        <v>113.75040093735457</v>
      </c>
      <c r="J192" s="1680" t="s">
        <v>548</v>
      </c>
      <c r="K192" s="1418" t="s">
        <v>554</v>
      </c>
      <c r="L192" s="1419">
        <v>160</v>
      </c>
      <c r="M192" s="1419">
        <v>250</v>
      </c>
      <c r="N192" s="1419">
        <v>4100</v>
      </c>
      <c r="O192" s="1412">
        <v>125</v>
      </c>
      <c r="P192" s="1416">
        <v>0.85</v>
      </c>
      <c r="Q192" s="1416">
        <v>1.5</v>
      </c>
      <c r="R192" s="1416">
        <v>0.17</v>
      </c>
      <c r="S192" s="1687">
        <v>0.1</v>
      </c>
      <c r="T192" s="1624">
        <v>10</v>
      </c>
      <c r="U192" s="1616" t="s">
        <v>645</v>
      </c>
      <c r="V192" s="1622">
        <f>IF(E192=1,IF(U192="N",LOOKUP(T192,'HS250-DATA'!C$7:C$10,'HS250-DATA'!D$7:D$10),IF(U192="Y",LOOKUP(T192,'HS250-DATA'!C$22:C$25,'HS250-DATA'!D$22:D$25),"FAN?")),IF(U192="N",LOOKUP(T192,'HS250-DATA'!C$14:C$17,'HS250-DATA'!D$14:D$17),IF(U192="Y",LOOKUP(T192,'HS250-DATA'!C$29:C$32,'HS250-DATA'!D$29:D$32),"FAN?")))</f>
        <v>9.9000000000000005E-2</v>
      </c>
      <c r="W192" s="1602">
        <f>(G192*H192)^2*Q192*10^-3+G192*P192</f>
        <v>75.231481481481467</v>
      </c>
      <c r="X192" s="1602">
        <f>D192*W192</f>
        <v>451.3888888888888</v>
      </c>
      <c r="Y192" s="1602">
        <f>IF(A192=3,W192*6,IF(A192=1,W192*4,W192))</f>
        <v>451.3888888888888</v>
      </c>
      <c r="Z192" s="1579">
        <f>O192-5</f>
        <v>120</v>
      </c>
      <c r="AA192" s="1602">
        <f>D192*W192*V192+AB192</f>
        <v>99.6875</v>
      </c>
      <c r="AB192" s="1588">
        <v>55</v>
      </c>
      <c r="AC192" s="1570"/>
      <c r="AD192" s="1564">
        <f>Q192*10^-3*H192^2</f>
        <v>4.4999999999999997E-3</v>
      </c>
      <c r="AE192" s="1634">
        <f>P192</f>
        <v>0.85</v>
      </c>
      <c r="AF192" s="1635">
        <f>(AB192-Z192)/(R192+S192+D192*V192)</f>
        <v>-75.231481481481467</v>
      </c>
      <c r="AG192" s="1636">
        <f>AE192^2-4*AD192*AF192</f>
        <v>2.0766666666666662</v>
      </c>
      <c r="AH192" s="1741">
        <f>SUM(AJ192:AL192)</f>
        <v>139.86000000000001</v>
      </c>
      <c r="AI192" s="1607"/>
      <c r="AJ192" s="1733">
        <f>C192*LOOKUP(T192,'HS250-DATA'!C$7:C$10,'HS250-DATA'!F$7:F$10)</f>
        <v>19.86</v>
      </c>
      <c r="AK192" s="1733">
        <f>IF(U192="Y",C192*12,0)</f>
        <v>12</v>
      </c>
      <c r="AL192" s="1733">
        <f>C192*E192*VLOOKUP(K192,'SCR-Diode DATA'!D$7:M$43,10,FALSE)</f>
        <v>108</v>
      </c>
      <c r="AM192" s="507">
        <f>AH192/F192</f>
        <v>0.70987185964585109</v>
      </c>
    </row>
    <row r="193" spans="1:39" ht="18.75">
      <c r="A193" s="1598">
        <v>3</v>
      </c>
      <c r="B193" s="1533">
        <f t="shared" si="107"/>
        <v>6</v>
      </c>
      <c r="C193" s="1600">
        <v>3</v>
      </c>
      <c r="D193" s="1575">
        <f>B193/C193</f>
        <v>2</v>
      </c>
      <c r="E193" s="1575">
        <v>1</v>
      </c>
      <c r="F193" s="1611">
        <f>IF(A193=3,3*G193,IF(A193=1,2*G193,IF(A193="bd",1*G193,IF(A193="fwd",1,"Error"))))</f>
        <v>300.00000000000006</v>
      </c>
      <c r="G193" s="1582">
        <f>(-AE193+SQRT(AG193))/2/AD193</f>
        <v>100.00000000000001</v>
      </c>
      <c r="H193" s="1583">
        <f>IF(A193=3,SQRT(3),IF(A193=1,SQRT(2),1))</f>
        <v>1.7320508075688772</v>
      </c>
      <c r="I193" s="1594">
        <f>H193*G193</f>
        <v>173.20508075688775</v>
      </c>
      <c r="J193" s="1680" t="s">
        <v>548</v>
      </c>
      <c r="K193" s="1418" t="s">
        <v>554</v>
      </c>
      <c r="L193" s="1419">
        <v>160</v>
      </c>
      <c r="M193" s="1419">
        <v>250</v>
      </c>
      <c r="N193" s="1419">
        <v>4100</v>
      </c>
      <c r="O193" s="1412">
        <v>125</v>
      </c>
      <c r="P193" s="1416">
        <v>0.85</v>
      </c>
      <c r="Q193" s="1416">
        <v>1.5</v>
      </c>
      <c r="R193" s="1416">
        <v>0.17</v>
      </c>
      <c r="S193" s="1687">
        <v>0.1</v>
      </c>
      <c r="T193" s="1624">
        <v>10</v>
      </c>
      <c r="U193" s="1616" t="s">
        <v>645</v>
      </c>
      <c r="V193" s="1622">
        <f>IF(E193=1,IF(U193="N",LOOKUP(T193,'HS250-DATA'!C$7:C$10,'HS250-DATA'!D$7:D$10),IF(U193="Y",LOOKUP(T193,'HS250-DATA'!C$22:C$25,'HS250-DATA'!D$22:D$25),"FAN?")),IF(U193="N",LOOKUP(T193,'HS250-DATA'!C$14:C$17,'HS250-DATA'!D$14:D$17),IF(U193="Y",LOOKUP(T193,'HS250-DATA'!C$29:C$32,'HS250-DATA'!D$29:D$32),"FAN?")))</f>
        <v>0.115</v>
      </c>
      <c r="W193" s="1602">
        <f>(G193*H193)^2*Q193*10^-3+G193*P193</f>
        <v>130.00000000000003</v>
      </c>
      <c r="X193" s="1602">
        <f>D193*W193</f>
        <v>260.00000000000006</v>
      </c>
      <c r="Y193" s="1602">
        <f>IF(A193=3,W193*6,IF(A193=1,W193*4,W193))</f>
        <v>780.00000000000023</v>
      </c>
      <c r="Z193" s="1579">
        <f>O193-5</f>
        <v>120</v>
      </c>
      <c r="AA193" s="1602">
        <f>D193*W193*V193+AB193</f>
        <v>84.9</v>
      </c>
      <c r="AB193" s="1588">
        <v>55</v>
      </c>
      <c r="AC193" s="1570"/>
      <c r="AD193" s="1564">
        <f>Q193*10^-3*H193^2</f>
        <v>4.4999999999999997E-3</v>
      </c>
      <c r="AE193" s="1634">
        <f>P193</f>
        <v>0.85</v>
      </c>
      <c r="AF193" s="1635">
        <f>(AB193-Z193)/(R193+S193+D193*V193)</f>
        <v>-130</v>
      </c>
      <c r="AG193" s="1636">
        <f>AE193^2-4*AD193*AF193</f>
        <v>3.0625</v>
      </c>
      <c r="AH193" s="1741">
        <f>SUM(AJ193:AL193)</f>
        <v>203.57999999999998</v>
      </c>
      <c r="AI193" s="1607"/>
      <c r="AJ193" s="1733">
        <f>C193*LOOKUP(T193,'HS250-DATA'!C$7:C$10,'HS250-DATA'!F$7:F$10)</f>
        <v>59.58</v>
      </c>
      <c r="AK193" s="1733">
        <f>IF(U193="Y",C193*12,0)</f>
        <v>36</v>
      </c>
      <c r="AL193" s="1733">
        <f>C193*E193*VLOOKUP(K193,'SCR-Diode DATA'!D$7:M$43,10,FALSE)</f>
        <v>108</v>
      </c>
      <c r="AM193" s="507">
        <f>AH193/F193</f>
        <v>0.67859999999999987</v>
      </c>
    </row>
    <row r="194" spans="1:39" ht="18.75">
      <c r="A194" s="1598">
        <v>1</v>
      </c>
      <c r="B194" s="1533">
        <f t="shared" si="107"/>
        <v>4</v>
      </c>
      <c r="C194" s="1600">
        <v>1</v>
      </c>
      <c r="D194" s="1575">
        <f>B194/C194</f>
        <v>4</v>
      </c>
      <c r="E194" s="1575">
        <v>2</v>
      </c>
      <c r="F194" s="1611">
        <f>IF(A194=3,3*G194,IF(A194=1,2*G194,IF(A194="bd",1*G194,IF(A194="fwd",1,"Error"))))</f>
        <v>175.36908426211374</v>
      </c>
      <c r="G194" s="1582">
        <f>(-AE194+SQRT(AG194))/2/AD194</f>
        <v>87.684542131056872</v>
      </c>
      <c r="H194" s="1583">
        <f>IF(A194=3,SQRT(3),IF(A194=1,SQRT(2),1))</f>
        <v>1.4142135623730951</v>
      </c>
      <c r="I194" s="1594">
        <f>H194*G194</f>
        <v>124.00466869221569</v>
      </c>
      <c r="J194" s="1680" t="s">
        <v>552</v>
      </c>
      <c r="K194" s="1418" t="s">
        <v>555</v>
      </c>
      <c r="L194" s="1419">
        <v>160</v>
      </c>
      <c r="M194" s="1419">
        <v>250</v>
      </c>
      <c r="N194" s="1419">
        <v>4100</v>
      </c>
      <c r="O194" s="1412">
        <v>125</v>
      </c>
      <c r="P194" s="1416">
        <v>0.85</v>
      </c>
      <c r="Q194" s="1416">
        <v>1.5</v>
      </c>
      <c r="R194" s="1416">
        <v>0.17</v>
      </c>
      <c r="S194" s="1687">
        <v>0.1</v>
      </c>
      <c r="T194" s="1624">
        <v>10</v>
      </c>
      <c r="U194" s="1616" t="s">
        <v>645</v>
      </c>
      <c r="V194" s="1622">
        <f>IF(E194=1,IF(U194="N",LOOKUP(T194,'HS250-DATA'!C$7:C$10,'HS250-DATA'!D$7:D$10),IF(U194="Y",LOOKUP(T194,'HS250-DATA'!C$22:C$25,'HS250-DATA'!D$22:D$25),"FAN?")),IF(U194="N",LOOKUP(T194,'HS250-DATA'!C$14:C$17,'HS250-DATA'!D$14:D$17),IF(U194="Y",LOOKUP(T194,'HS250-DATA'!C$29:C$32,'HS250-DATA'!D$29:D$32),"FAN?")))</f>
        <v>9.9000000000000005E-2</v>
      </c>
      <c r="W194" s="1602">
        <f>(G194*H194)^2*Q194*10^-3+G194*P194</f>
        <v>97.597597597597613</v>
      </c>
      <c r="X194" s="1602">
        <f>D194*W194</f>
        <v>390.39039039039045</v>
      </c>
      <c r="Y194" s="1602">
        <f>IF(A194=3,W194*6,IF(A194=1,W194*4,W194))</f>
        <v>390.39039039039045</v>
      </c>
      <c r="Z194" s="1579">
        <f>O194-5</f>
        <v>120</v>
      </c>
      <c r="AA194" s="1602">
        <f>D194*W194*V194+AB194</f>
        <v>93.64864864864866</v>
      </c>
      <c r="AB194" s="1588">
        <v>55</v>
      </c>
      <c r="AC194" s="1570"/>
      <c r="AD194" s="1564">
        <f>Q194*10^-3*H194^2</f>
        <v>3.0000000000000009E-3</v>
      </c>
      <c r="AE194" s="1634">
        <f>P194</f>
        <v>0.85</v>
      </c>
      <c r="AF194" s="1635">
        <f>(AB194-Z194)/(R194+S194+D194*V194)</f>
        <v>-97.597597597597598</v>
      </c>
      <c r="AG194" s="1636">
        <f>AE194^2-4*AD194*AF194</f>
        <v>1.8936711711711716</v>
      </c>
      <c r="AH194" s="1741">
        <f>SUM(AJ194:AL194)</f>
        <v>103.86</v>
      </c>
      <c r="AI194" s="1607"/>
      <c r="AJ194" s="1733">
        <f>C194*LOOKUP(T194,'HS250-DATA'!C$7:C$10,'HS250-DATA'!F$7:F$10)</f>
        <v>19.86</v>
      </c>
      <c r="AK194" s="1733">
        <f>IF(U194="Y",C194*12,0)</f>
        <v>12</v>
      </c>
      <c r="AL194" s="1733">
        <f>C194*E194*VLOOKUP(K194,'SCR-Diode DATA'!D$7:M$43,10,FALSE)</f>
        <v>72</v>
      </c>
      <c r="AM194" s="507">
        <f>AH194/F194</f>
        <v>0.59223665583362817</v>
      </c>
    </row>
    <row r="195" spans="1:39" ht="18.75">
      <c r="A195" s="1598">
        <v>1</v>
      </c>
      <c r="B195" s="1533">
        <f t="shared" si="107"/>
        <v>4</v>
      </c>
      <c r="C195" s="1600">
        <v>2</v>
      </c>
      <c r="D195" s="1575">
        <f>B195/C195</f>
        <v>2</v>
      </c>
      <c r="E195" s="1575">
        <v>1</v>
      </c>
      <c r="F195" s="1611">
        <f>IF(A195=3,3*G195,IF(A195=1,2*G195,IF(A195="bd",1*G195,IF(A195="fwd",1,"Error"))))</f>
        <v>220.26483099127097</v>
      </c>
      <c r="G195" s="1582">
        <f>(-AE195+SQRT(AG195))/2/AD195</f>
        <v>110.13241549563548</v>
      </c>
      <c r="H195" s="1583">
        <f>IF(A195=3,SQRT(3),IF(A195=1,SQRT(2),1))</f>
        <v>1.4142135623730951</v>
      </c>
      <c r="I195" s="1594">
        <f>H195*G195</f>
        <v>155.75075565083651</v>
      </c>
      <c r="J195" s="1680" t="s">
        <v>552</v>
      </c>
      <c r="K195" s="1418" t="s">
        <v>555</v>
      </c>
      <c r="L195" s="1419">
        <v>160</v>
      </c>
      <c r="M195" s="1419">
        <v>250</v>
      </c>
      <c r="N195" s="1419">
        <v>4100</v>
      </c>
      <c r="O195" s="1412">
        <v>125</v>
      </c>
      <c r="P195" s="1416">
        <v>0.85</v>
      </c>
      <c r="Q195" s="1416">
        <v>1.5</v>
      </c>
      <c r="R195" s="1416">
        <v>0.17</v>
      </c>
      <c r="S195" s="1687">
        <v>0.1</v>
      </c>
      <c r="T195" s="1624">
        <v>10</v>
      </c>
      <c r="U195" s="1616" t="s">
        <v>645</v>
      </c>
      <c r="V195" s="1622">
        <f>IF(E195=1,IF(U195="N",LOOKUP(T195,'HS250-DATA'!C$7:C$10,'HS250-DATA'!D$7:D$10),IF(U195="Y",LOOKUP(T195,'HS250-DATA'!C$22:C$25,'HS250-DATA'!D$22:D$25),"FAN?")),IF(U195="N",LOOKUP(T195,'HS250-DATA'!C$14:C$17,'HS250-DATA'!D$14:D$17),IF(U195="Y",LOOKUP(T195,'HS250-DATA'!C$29:C$32,'HS250-DATA'!D$29:D$32),"FAN?")))</f>
        <v>0.115</v>
      </c>
      <c r="W195" s="1602">
        <f>(G195*H195)^2*Q195*10^-3+G195*P195</f>
        <v>130.00000000000003</v>
      </c>
      <c r="X195" s="1602">
        <f>D195*W195</f>
        <v>260.00000000000006</v>
      </c>
      <c r="Y195" s="1602">
        <f>IF(A195=3,W195*6,IF(A195=1,W195*4,W195))</f>
        <v>520.00000000000011</v>
      </c>
      <c r="Z195" s="1579">
        <f>O195-5</f>
        <v>120</v>
      </c>
      <c r="AA195" s="1602">
        <f>D195*W195*V195+AB195</f>
        <v>84.9</v>
      </c>
      <c r="AB195" s="1588">
        <v>55</v>
      </c>
      <c r="AC195" s="1570"/>
      <c r="AD195" s="1564">
        <f>Q195*10^-3*H195^2</f>
        <v>3.0000000000000009E-3</v>
      </c>
      <c r="AE195" s="1634">
        <f>P195</f>
        <v>0.85</v>
      </c>
      <c r="AF195" s="1635">
        <f>(AB195-Z195)/(R195+S195+D195*V195)</f>
        <v>-130</v>
      </c>
      <c r="AG195" s="1636">
        <f>AE195^2-4*AD195*AF195</f>
        <v>2.2825000000000006</v>
      </c>
      <c r="AH195" s="1741">
        <f>SUM(AJ195:AL195)</f>
        <v>135.72</v>
      </c>
      <c r="AI195" s="1607"/>
      <c r="AJ195" s="1733">
        <f>C195*LOOKUP(T195,'HS250-DATA'!C$7:C$10,'HS250-DATA'!F$7:F$10)</f>
        <v>39.72</v>
      </c>
      <c r="AK195" s="1733">
        <f>IF(U195="Y",C195*12,0)</f>
        <v>24</v>
      </c>
      <c r="AL195" s="1733">
        <f>C195*E195*VLOOKUP(K195,'SCR-Diode DATA'!D$7:M$43,10,FALSE)</f>
        <v>72</v>
      </c>
      <c r="AM195" s="507">
        <f>AH195/F195</f>
        <v>0.61616736266616501</v>
      </c>
    </row>
    <row r="196" spans="1:39" ht="18.75">
      <c r="A196" s="1598"/>
      <c r="B196" s="1533"/>
      <c r="C196" s="1600"/>
      <c r="D196" s="1575"/>
      <c r="E196" s="1575"/>
      <c r="F196" s="1611"/>
      <c r="G196" s="1582"/>
      <c r="H196" s="1583"/>
      <c r="I196" s="1594"/>
      <c r="J196" s="1680"/>
      <c r="K196" s="1418"/>
      <c r="L196" s="1419"/>
      <c r="M196" s="1419"/>
      <c r="N196" s="1419"/>
      <c r="O196" s="1412"/>
      <c r="P196" s="1416"/>
      <c r="Q196" s="1416"/>
      <c r="R196" s="1416"/>
      <c r="S196" s="1687"/>
      <c r="T196" s="1624"/>
      <c r="U196" s="1616"/>
      <c r="V196" s="1622"/>
      <c r="W196" s="1602"/>
      <c r="X196" s="1602"/>
      <c r="Y196" s="1602"/>
      <c r="Z196" s="1579"/>
      <c r="AA196" s="1602"/>
      <c r="AB196" s="1588"/>
      <c r="AC196" s="1570"/>
      <c r="AD196" s="1564"/>
      <c r="AE196" s="1634"/>
      <c r="AF196" s="1635"/>
      <c r="AG196" s="1636"/>
      <c r="AH196" s="1742"/>
      <c r="AI196" s="1607"/>
      <c r="AJ196" s="1607"/>
      <c r="AK196" s="1607"/>
      <c r="AL196" s="1733"/>
      <c r="AM196" s="1743"/>
    </row>
    <row r="197" spans="1:39" ht="18.75">
      <c r="A197" s="1598">
        <v>3</v>
      </c>
      <c r="B197" s="1533">
        <f t="shared" si="107"/>
        <v>6</v>
      </c>
      <c r="C197" s="1600">
        <v>1</v>
      </c>
      <c r="D197" s="1575">
        <f>B197/C197</f>
        <v>6</v>
      </c>
      <c r="E197" s="1575">
        <v>3</v>
      </c>
      <c r="F197" s="1611">
        <f>IF(A197=3,3*G197,IF(A197=1,2*G197,IF(A197="bd",1*G197,IF(A197="fwd",1,"Error"))))</f>
        <v>253.61181492558879</v>
      </c>
      <c r="G197" s="1582">
        <f>(-AE197+SQRT(AG197))/2/AD197</f>
        <v>84.53727164186293</v>
      </c>
      <c r="H197" s="1583">
        <f>IF(A197=3,SQRT(3),IF(A197=1,SQRT(2),1))</f>
        <v>1.7320508075688772</v>
      </c>
      <c r="I197" s="1594">
        <f>H197*G197</f>
        <v>146.42284961695822</v>
      </c>
      <c r="J197" s="1680" t="s">
        <v>548</v>
      </c>
      <c r="K197" s="1418" t="s">
        <v>469</v>
      </c>
      <c r="L197" s="1419">
        <v>250</v>
      </c>
      <c r="M197" s="1419">
        <v>393</v>
      </c>
      <c r="N197" s="1419">
        <v>8800</v>
      </c>
      <c r="O197" s="1412">
        <v>125</v>
      </c>
      <c r="P197" s="1416">
        <v>0.81899999999999995</v>
      </c>
      <c r="Q197" s="1416">
        <v>0.58899999999999997</v>
      </c>
      <c r="R197" s="1416">
        <v>0.14000000000000001</v>
      </c>
      <c r="S197" s="1687">
        <v>0.06</v>
      </c>
      <c r="T197" s="1624">
        <v>10</v>
      </c>
      <c r="U197" s="1616" t="s">
        <v>645</v>
      </c>
      <c r="V197" s="1622">
        <f>IF(E197=1,IF(U197="N",LOOKUP(T197,'HS250-DATA'!C$7:C$10,'HS250-DATA'!D$7:D$10),IF(U197="Y",LOOKUP(T197,'HS250-DATA'!C$22:C$25,'HS250-DATA'!D$22:D$25),"FAN?")),IF(U197="N",LOOKUP(T197,'HS250-DATA'!C$14:C$17,'HS250-DATA'!D$14:D$17),IF(U197="Y",LOOKUP(T197,'HS250-DATA'!C$29:C$32,'HS250-DATA'!D$29:D$32),"FAN?")))</f>
        <v>9.9000000000000005E-2</v>
      </c>
      <c r="W197" s="1602">
        <f>(G197*H197)^2*Q197*10^-3+G197*P197</f>
        <v>81.863979848866492</v>
      </c>
      <c r="X197" s="1602">
        <f>D197*W197</f>
        <v>491.18387909319893</v>
      </c>
      <c r="Y197" s="1602">
        <f>IF(A197=3,W197*6,IF(A197=1,W197*4,W197))</f>
        <v>491.18387909319893</v>
      </c>
      <c r="Z197" s="1579">
        <f>O197-5</f>
        <v>120</v>
      </c>
      <c r="AA197" s="1602">
        <f>D197*W197*V197+AB197</f>
        <v>103.62720403022669</v>
      </c>
      <c r="AB197" s="1588">
        <v>55</v>
      </c>
      <c r="AC197" s="1570"/>
      <c r="AD197" s="1564">
        <f>Q197*10^-3*H197^2</f>
        <v>1.7669999999999997E-3</v>
      </c>
      <c r="AE197" s="1634">
        <f>P197</f>
        <v>0.81899999999999995</v>
      </c>
      <c r="AF197" s="1635">
        <f>(AB197-Z197)/(R197+S197+D197*V197)</f>
        <v>-81.863979848866492</v>
      </c>
      <c r="AG197" s="1636">
        <f>AE197^2-4*AD197*AF197</f>
        <v>1.2493756095717883</v>
      </c>
      <c r="AH197" s="1741">
        <f>SUM(AJ197:AL197)</f>
        <v>256.86</v>
      </c>
      <c r="AI197" s="1607"/>
      <c r="AJ197" s="1733">
        <f>C197*LOOKUP(T197,'HS250-DATA'!C$7:C$10,'HS250-DATA'!F$7:F$10)</f>
        <v>19.86</v>
      </c>
      <c r="AK197" s="1733">
        <f>IF(U197="Y",C197*12,0)</f>
        <v>12</v>
      </c>
      <c r="AL197" s="1733">
        <f>C197*E197*VLOOKUP(K197,'SCR-Diode DATA'!D$7:M$43,10,FALSE)</f>
        <v>225</v>
      </c>
      <c r="AM197" s="507">
        <f>AH197/F197</f>
        <v>1.0128077040707439</v>
      </c>
    </row>
    <row r="198" spans="1:39" ht="18.75">
      <c r="A198" s="1598">
        <v>3</v>
      </c>
      <c r="B198" s="1533">
        <f t="shared" si="107"/>
        <v>6</v>
      </c>
      <c r="C198" s="1600">
        <v>3</v>
      </c>
      <c r="D198" s="1575">
        <f>B198/C198</f>
        <v>2</v>
      </c>
      <c r="E198" s="1575">
        <v>1</v>
      </c>
      <c r="F198" s="1611">
        <f>IF(A198=3,3*G198,IF(A198=1,2*G198,IF(A198="bd",1*G198,IF(A198="fwd",1,"Error"))))</f>
        <v>424.26111129817519</v>
      </c>
      <c r="G198" s="1582">
        <f>(-AE198+SQRT(AG198))/2/AD198</f>
        <v>141.42037043272506</v>
      </c>
      <c r="H198" s="1583">
        <f>IF(A198=3,SQRT(3),IF(A198=1,SQRT(2),1))</f>
        <v>1.7320508075688772</v>
      </c>
      <c r="I198" s="1594">
        <f>H198*G198</f>
        <v>244.9472668146912</v>
      </c>
      <c r="J198" s="1680" t="s">
        <v>548</v>
      </c>
      <c r="K198" s="1418" t="s">
        <v>469</v>
      </c>
      <c r="L198" s="1419">
        <v>250</v>
      </c>
      <c r="M198" s="1419">
        <v>393</v>
      </c>
      <c r="N198" s="1419">
        <v>8800</v>
      </c>
      <c r="O198" s="1412">
        <v>125</v>
      </c>
      <c r="P198" s="1416">
        <v>0.81899999999999995</v>
      </c>
      <c r="Q198" s="1416">
        <v>0.58899999999999997</v>
      </c>
      <c r="R198" s="1416">
        <v>0.14000000000000001</v>
      </c>
      <c r="S198" s="1687">
        <v>0.06</v>
      </c>
      <c r="T198" s="1624">
        <v>10</v>
      </c>
      <c r="U198" s="1616" t="s">
        <v>645</v>
      </c>
      <c r="V198" s="1622">
        <f>IF(E198=1,IF(U198="N",LOOKUP(T198,'HS250-DATA'!C$7:C$10,'HS250-DATA'!D$7:D$10),IF(U198="Y",LOOKUP(T198,'HS250-DATA'!C$22:C$25,'HS250-DATA'!D$22:D$25),"FAN?")),IF(U198="N",LOOKUP(T198,'HS250-DATA'!C$14:C$17,'HS250-DATA'!D$14:D$17),IF(U198="Y",LOOKUP(T198,'HS250-DATA'!C$29:C$32,'HS250-DATA'!D$29:D$32),"FAN?")))</f>
        <v>0.115</v>
      </c>
      <c r="W198" s="1602">
        <f>(G198*H198)^2*Q198*10^-3+G198*P198</f>
        <v>151.16279069767447</v>
      </c>
      <c r="X198" s="1602">
        <f>D198*W198</f>
        <v>302.32558139534893</v>
      </c>
      <c r="Y198" s="1602">
        <f>IF(A198=3,W198*6,IF(A198=1,W198*4,W198))</f>
        <v>906.97674418604674</v>
      </c>
      <c r="Z198" s="1579">
        <f>O198-5</f>
        <v>120</v>
      </c>
      <c r="AA198" s="1602">
        <f>D198*W198*V198+AB198</f>
        <v>89.767441860465127</v>
      </c>
      <c r="AB198" s="1588">
        <v>55</v>
      </c>
      <c r="AC198" s="1570"/>
      <c r="AD198" s="1564">
        <f>Q198*10^-3*H198^2</f>
        <v>1.7669999999999997E-3</v>
      </c>
      <c r="AE198" s="1634">
        <f>P198</f>
        <v>0.81899999999999995</v>
      </c>
      <c r="AF198" s="1635">
        <f>(AB198-Z198)/(R198+S198+D198*V198)</f>
        <v>-151.16279069767441</v>
      </c>
      <c r="AG198" s="1636">
        <f>AE198^2-4*AD198*AF198</f>
        <v>1.7391796046511625</v>
      </c>
      <c r="AH198" s="1741">
        <f>SUM(AJ198:AL198)</f>
        <v>320.58</v>
      </c>
      <c r="AI198" s="1607"/>
      <c r="AJ198" s="1733">
        <f>C198*LOOKUP(T198,'HS250-DATA'!C$7:C$10,'HS250-DATA'!F$7:F$10)</f>
        <v>59.58</v>
      </c>
      <c r="AK198" s="1733">
        <f>IF(U198="Y",C198*12,0)</f>
        <v>36</v>
      </c>
      <c r="AL198" s="1733">
        <f>C198*E198*VLOOKUP(K198,'SCR-Diode DATA'!D$7:M$43,10,FALSE)</f>
        <v>225</v>
      </c>
      <c r="AM198" s="507">
        <f>AH198/F198</f>
        <v>0.75561957356655529</v>
      </c>
    </row>
    <row r="199" spans="1:39" ht="18.75">
      <c r="A199" s="1598">
        <v>1</v>
      </c>
      <c r="B199" s="1533">
        <f t="shared" si="107"/>
        <v>4</v>
      </c>
      <c r="C199" s="1600">
        <v>1</v>
      </c>
      <c r="D199" s="1575">
        <f>B199/C199</f>
        <v>4</v>
      </c>
      <c r="E199" s="1575">
        <v>2</v>
      </c>
      <c r="F199" s="1611">
        <f>IF(A199=3,3*G199,IF(A199=1,2*G199,IF(A199="bd",1*G199,IF(A199="fwd",1,"Error"))))</f>
        <v>228.7079307734991</v>
      </c>
      <c r="G199" s="1582">
        <f>(-AE199+SQRT(AG199))/2/AD199</f>
        <v>114.35396538674955</v>
      </c>
      <c r="H199" s="1583">
        <f>IF(A199=3,SQRT(3),IF(A199=1,SQRT(2),1))</f>
        <v>1.4142135623730951</v>
      </c>
      <c r="I199" s="1594">
        <f>H199*G199</f>
        <v>161.72092876108471</v>
      </c>
      <c r="J199" s="1680" t="s">
        <v>552</v>
      </c>
      <c r="K199" s="1418" t="s">
        <v>556</v>
      </c>
      <c r="L199" s="1419">
        <v>250</v>
      </c>
      <c r="M199" s="1419">
        <v>393</v>
      </c>
      <c r="N199" s="1419">
        <v>8800</v>
      </c>
      <c r="O199" s="1412">
        <v>125</v>
      </c>
      <c r="P199" s="1416">
        <v>0.81899999999999995</v>
      </c>
      <c r="Q199" s="1416">
        <v>0.58899999999999997</v>
      </c>
      <c r="R199" s="1416">
        <v>0.14000000000000001</v>
      </c>
      <c r="S199" s="1687">
        <v>0.06</v>
      </c>
      <c r="T199" s="1624">
        <v>10</v>
      </c>
      <c r="U199" s="1616" t="s">
        <v>645</v>
      </c>
      <c r="V199" s="1622">
        <f>IF(E199=1,IF(U199="N",LOOKUP(T199,'HS250-DATA'!C$7:C$10,'HS250-DATA'!D$7:D$10),IF(U199="Y",LOOKUP(T199,'HS250-DATA'!C$22:C$25,'HS250-DATA'!D$22:D$25),"FAN?")),IF(U199="N",LOOKUP(T199,'HS250-DATA'!C$14:C$17,'HS250-DATA'!D$14:D$17),IF(U199="Y",LOOKUP(T199,'HS250-DATA'!C$29:C$32,'HS250-DATA'!D$29:D$32),"FAN?")))</f>
        <v>9.9000000000000005E-2</v>
      </c>
      <c r="W199" s="1602">
        <f>(G199*H199)^2*Q199*10^-3+G199*P199</f>
        <v>109.06040268456375</v>
      </c>
      <c r="X199" s="1602">
        <f>D199*W199</f>
        <v>436.24161073825502</v>
      </c>
      <c r="Y199" s="1602">
        <f>IF(A199=3,W199*6,IF(A199=1,W199*4,W199))</f>
        <v>436.24161073825502</v>
      </c>
      <c r="Z199" s="1579">
        <f>O199-5</f>
        <v>120</v>
      </c>
      <c r="AA199" s="1602">
        <f>D199*W199*V199+AB199</f>
        <v>98.187919463087241</v>
      </c>
      <c r="AB199" s="1588">
        <v>55</v>
      </c>
      <c r="AC199" s="1570"/>
      <c r="AD199" s="1564">
        <f>Q199*10^-3*H199^2</f>
        <v>1.1780000000000002E-3</v>
      </c>
      <c r="AE199" s="1634">
        <f>P199</f>
        <v>0.81899999999999995</v>
      </c>
      <c r="AF199" s="1635">
        <f>(AB199-Z199)/(R199+S199+D199*V199)</f>
        <v>-109.06040268456374</v>
      </c>
      <c r="AG199" s="1636">
        <f>AE199^2-4*AD199*AF199</f>
        <v>1.1846536174496642</v>
      </c>
      <c r="AH199" s="1741">
        <f>SUM(AJ199:AL199)</f>
        <v>181.86</v>
      </c>
      <c r="AI199" s="1607"/>
      <c r="AJ199" s="1733">
        <f>C199*LOOKUP(T199,'HS250-DATA'!C$7:C$10,'HS250-DATA'!F$7:F$10)</f>
        <v>19.86</v>
      </c>
      <c r="AK199" s="1733">
        <f>IF(U199="Y",C199*12,0)</f>
        <v>12</v>
      </c>
      <c r="AL199" s="1733">
        <f>C199*E199*VLOOKUP(K199,'SCR-Diode DATA'!D$7:M$43,10,FALSE)</f>
        <v>150</v>
      </c>
      <c r="AM199" s="507">
        <f>AH199/F199</f>
        <v>0.79516263115556352</v>
      </c>
    </row>
    <row r="200" spans="1:39" ht="18.75">
      <c r="A200" s="1598">
        <v>1</v>
      </c>
      <c r="B200" s="1533">
        <f t="shared" si="107"/>
        <v>4</v>
      </c>
      <c r="C200" s="1600">
        <v>2</v>
      </c>
      <c r="D200" s="1575">
        <f>B200/C200</f>
        <v>2</v>
      </c>
      <c r="E200" s="1575">
        <v>1</v>
      </c>
      <c r="F200" s="1611">
        <f>IF(A200=3,3*G200,IF(A200=1,2*G200,IF(A200="bd",1*G200,IF(A200="fwd",1,"Error"))))</f>
        <v>303.07915130041829</v>
      </c>
      <c r="G200" s="1582">
        <f>(-AE200+SQRT(AG200))/2/AD200</f>
        <v>151.53957565020914</v>
      </c>
      <c r="H200" s="1583">
        <f>IF(A200=3,SQRT(3),IF(A200=1,SQRT(2),1))</f>
        <v>1.4142135623730951</v>
      </c>
      <c r="I200" s="1594">
        <f>H200*G200</f>
        <v>214.30932312078943</v>
      </c>
      <c r="J200" s="1680" t="s">
        <v>552</v>
      </c>
      <c r="K200" s="1418" t="s">
        <v>556</v>
      </c>
      <c r="L200" s="1419">
        <v>250</v>
      </c>
      <c r="M200" s="1419">
        <v>393</v>
      </c>
      <c r="N200" s="1419">
        <v>8800</v>
      </c>
      <c r="O200" s="1412">
        <v>125</v>
      </c>
      <c r="P200" s="1416">
        <v>0.81899999999999995</v>
      </c>
      <c r="Q200" s="1416">
        <v>0.58899999999999997</v>
      </c>
      <c r="R200" s="1416">
        <v>0.14000000000000001</v>
      </c>
      <c r="S200" s="1687">
        <v>0.06</v>
      </c>
      <c r="T200" s="1624">
        <v>10</v>
      </c>
      <c r="U200" s="1616" t="s">
        <v>645</v>
      </c>
      <c r="V200" s="1622">
        <f>IF(E200=1,IF(U200="N",LOOKUP(T200,'HS250-DATA'!C$7:C$10,'HS250-DATA'!D$7:D$10),IF(U200="Y",LOOKUP(T200,'HS250-DATA'!C$22:C$25,'HS250-DATA'!D$22:D$25),"FAN?")),IF(U200="N",LOOKUP(T200,'HS250-DATA'!C$14:C$17,'HS250-DATA'!D$14:D$17),IF(U200="Y",LOOKUP(T200,'HS250-DATA'!C$29:C$32,'HS250-DATA'!D$29:D$32),"FAN?")))</f>
        <v>0.115</v>
      </c>
      <c r="W200" s="1602">
        <f>(G200*H200)^2*Q200*10^-3+G200*P200</f>
        <v>151.16279069767444</v>
      </c>
      <c r="X200" s="1602">
        <f>D200*W200</f>
        <v>302.32558139534888</v>
      </c>
      <c r="Y200" s="1602">
        <f>IF(A200=3,W200*6,IF(A200=1,W200*4,W200))</f>
        <v>604.65116279069775</v>
      </c>
      <c r="Z200" s="1579">
        <f>O200-5</f>
        <v>120</v>
      </c>
      <c r="AA200" s="1602">
        <f>D200*W200*V200+AB200</f>
        <v>89.767441860465112</v>
      </c>
      <c r="AB200" s="1588">
        <v>55</v>
      </c>
      <c r="AC200" s="1570"/>
      <c r="AD200" s="1564">
        <f>Q200*10^-3*H200^2</f>
        <v>1.1780000000000002E-3</v>
      </c>
      <c r="AE200" s="1634">
        <f>P200</f>
        <v>0.81899999999999995</v>
      </c>
      <c r="AF200" s="1635">
        <f>(AB200-Z200)/(R200+S200+D200*V200)</f>
        <v>-151.16279069767441</v>
      </c>
      <c r="AG200" s="1636">
        <f>AE200^2-4*AD200*AF200</f>
        <v>1.3830400697674419</v>
      </c>
      <c r="AH200" s="1741">
        <f>SUM(AJ200:AL200)</f>
        <v>213.72</v>
      </c>
      <c r="AI200" s="1607"/>
      <c r="AJ200" s="1733">
        <f>C200*LOOKUP(T200,'HS250-DATA'!C$7:C$10,'HS250-DATA'!F$7:F$10)</f>
        <v>39.72</v>
      </c>
      <c r="AK200" s="1733">
        <f>IF(U200="Y",C200*12,0)</f>
        <v>24</v>
      </c>
      <c r="AL200" s="1733">
        <f>C200*E200*VLOOKUP(K200,'SCR-Diode DATA'!D$7:M$43,10,FALSE)</f>
        <v>150</v>
      </c>
      <c r="AM200" s="507">
        <f>AH200/F200</f>
        <v>0.7051623283323647</v>
      </c>
    </row>
    <row r="201" spans="1:39" ht="18.75">
      <c r="A201" s="1598"/>
      <c r="B201" s="1533"/>
      <c r="C201" s="1600"/>
      <c r="D201" s="1575"/>
      <c r="E201" s="1575"/>
      <c r="F201" s="1611"/>
      <c r="G201" s="1582"/>
      <c r="H201" s="1583"/>
      <c r="I201" s="1594"/>
      <c r="J201" s="1680"/>
      <c r="K201" s="1418"/>
      <c r="L201" s="1419"/>
      <c r="M201" s="1419"/>
      <c r="N201" s="1419"/>
      <c r="O201" s="1412"/>
      <c r="P201" s="1416"/>
      <c r="Q201" s="1416"/>
      <c r="R201" s="1416"/>
      <c r="S201" s="1687"/>
      <c r="T201" s="1624"/>
      <c r="U201" s="1616"/>
      <c r="V201" s="1622"/>
      <c r="W201" s="1602"/>
      <c r="X201" s="1602"/>
      <c r="Y201" s="1602"/>
      <c r="Z201" s="1579"/>
      <c r="AA201" s="1602"/>
      <c r="AB201" s="1588"/>
      <c r="AC201" s="1570"/>
      <c r="AD201" s="1564"/>
      <c r="AE201" s="1634"/>
      <c r="AF201" s="1635"/>
      <c r="AG201" s="1636"/>
      <c r="AH201" s="1742"/>
      <c r="AI201" s="1607"/>
      <c r="AJ201" s="1607"/>
      <c r="AK201" s="1607"/>
      <c r="AL201" s="1733"/>
      <c r="AM201" s="1743"/>
    </row>
    <row r="202" spans="1:39" ht="18.75">
      <c r="A202" s="1598">
        <v>3</v>
      </c>
      <c r="B202" s="1533">
        <f t="shared" si="107"/>
        <v>6</v>
      </c>
      <c r="C202" s="1600">
        <v>1</v>
      </c>
      <c r="D202" s="1575">
        <f>B202/C202</f>
        <v>6</v>
      </c>
      <c r="E202" s="1575">
        <v>3</v>
      </c>
      <c r="F202" s="1611">
        <f>IF(A202=3,3*G202,IF(A202=1,2*G202,IF(A202="bd",1*G202,IF(A202="fwd",1,"Error"))))</f>
        <v>315.28174610763256</v>
      </c>
      <c r="G202" s="1582">
        <f>(-AE202+SQRT(AG202))/2/AD202</f>
        <v>105.09391536921085</v>
      </c>
      <c r="H202" s="1583">
        <f>IF(A202=3,SQRT(3),IF(A202=1,SQRT(2),1))</f>
        <v>1.7320508075688772</v>
      </c>
      <c r="I202" s="1594">
        <f>H202*G202</f>
        <v>182.02800098581687</v>
      </c>
      <c r="J202" s="1680" t="s">
        <v>548</v>
      </c>
      <c r="K202" s="1418" t="s">
        <v>470</v>
      </c>
      <c r="L202" s="1419">
        <v>500</v>
      </c>
      <c r="M202" s="1419">
        <v>900</v>
      </c>
      <c r="N202" s="1419">
        <v>16300</v>
      </c>
      <c r="O202" s="1412">
        <v>125</v>
      </c>
      <c r="P202" s="1416">
        <v>0.81</v>
      </c>
      <c r="Q202" s="1416">
        <v>0.32</v>
      </c>
      <c r="R202" s="1416">
        <v>6.5000000000000002E-2</v>
      </c>
      <c r="S202" s="1687">
        <v>0.02</v>
      </c>
      <c r="T202" s="1624">
        <v>10</v>
      </c>
      <c r="U202" s="1616" t="s">
        <v>645</v>
      </c>
      <c r="V202" s="1622">
        <f>IF(E202=1,IF(U202="N",LOOKUP(T202,'HS250-DATA'!C$7:C$10,'HS250-DATA'!D$7:D$10),IF(U202="Y",LOOKUP(T202,'HS250-DATA'!C$22:C$25,'HS250-DATA'!D$22:D$25),"FAN?")),IF(U202="N",LOOKUP(T202,'HS250-DATA'!C$14:C$17,'HS250-DATA'!D$14:D$17),IF(U202="Y",LOOKUP(T202,'HS250-DATA'!C$29:C$32,'HS250-DATA'!D$29:D$32),"FAN?")))</f>
        <v>9.9000000000000005E-2</v>
      </c>
      <c r="W202" s="1602">
        <f>(G202*H202)^2*Q202*10^-3+G202*P202</f>
        <v>95.729013254786409</v>
      </c>
      <c r="X202" s="1602">
        <f>D202*W202</f>
        <v>574.37407952871843</v>
      </c>
      <c r="Y202" s="1602">
        <f>IF(A202=3,W202*6,IF(A202=1,W202*4,W202))</f>
        <v>574.37407952871843</v>
      </c>
      <c r="Z202" s="1579">
        <f>O202-5</f>
        <v>120</v>
      </c>
      <c r="AA202" s="1602">
        <f>D202*W202*V202+AB202</f>
        <v>111.86303387334313</v>
      </c>
      <c r="AB202" s="1588">
        <v>55</v>
      </c>
      <c r="AC202" s="1570"/>
      <c r="AD202" s="1564">
        <f>Q202*10^-3*H202^2</f>
        <v>9.5999999999999992E-4</v>
      </c>
      <c r="AE202" s="1634">
        <f>P202</f>
        <v>0.81</v>
      </c>
      <c r="AF202" s="1635">
        <f>(AB202-Z202)/(R202+S202+D202*V202)</f>
        <v>-95.729013254786437</v>
      </c>
      <c r="AG202" s="1636">
        <f>AE202^2-4*AD202*AF202</f>
        <v>1.0236994108983799</v>
      </c>
      <c r="AH202" s="1741">
        <f>SUM(AJ202:AL202)</f>
        <v>436.86</v>
      </c>
      <c r="AI202" s="1607"/>
      <c r="AJ202" s="1733">
        <f>C202*LOOKUP(T202,'HS250-DATA'!C$7:C$10,'HS250-DATA'!F$7:F$10)</f>
        <v>19.86</v>
      </c>
      <c r="AK202" s="1733">
        <f>IF(U202="Y",C202*12,0)</f>
        <v>12</v>
      </c>
      <c r="AL202" s="1733">
        <f>C202*E202*VLOOKUP(K202,'SCR-Diode DATA'!D$7:M$43,10,FALSE)</f>
        <v>405</v>
      </c>
      <c r="AM202" s="507">
        <f>AH202/F202</f>
        <v>1.3856178018338634</v>
      </c>
    </row>
    <row r="203" spans="1:39" ht="18.75">
      <c r="A203" s="1598">
        <v>3</v>
      </c>
      <c r="B203" s="1533">
        <f t="shared" si="107"/>
        <v>6</v>
      </c>
      <c r="C203" s="1600">
        <v>3</v>
      </c>
      <c r="D203" s="1575">
        <f>B203/C203</f>
        <v>2</v>
      </c>
      <c r="E203" s="1575">
        <v>1</v>
      </c>
      <c r="F203" s="1611">
        <f>IF(A203=3,3*G203,IF(A203=1,2*G203,IF(A203="bd",1*G203,IF(A203="fwd",1,"Error"))))</f>
        <v>614.88834750615604</v>
      </c>
      <c r="G203" s="1582">
        <f>(-AE203+SQRT(AG203))/2/AD203</f>
        <v>204.96278250205202</v>
      </c>
      <c r="H203" s="1583">
        <f>IF(A203=3,SQRT(3),IF(A203=1,SQRT(2),1))</f>
        <v>1.7320508075688772</v>
      </c>
      <c r="I203" s="1594">
        <f>H203*G203</f>
        <v>355.00595295424336</v>
      </c>
      <c r="J203" s="1680" t="s">
        <v>548</v>
      </c>
      <c r="K203" s="1418" t="s">
        <v>470</v>
      </c>
      <c r="L203" s="1419">
        <v>500</v>
      </c>
      <c r="M203" s="1419">
        <v>900</v>
      </c>
      <c r="N203" s="1419">
        <v>16300</v>
      </c>
      <c r="O203" s="1412">
        <v>125</v>
      </c>
      <c r="P203" s="1416">
        <v>0.81</v>
      </c>
      <c r="Q203" s="1416">
        <v>0.32</v>
      </c>
      <c r="R203" s="1416">
        <v>6.5000000000000002E-2</v>
      </c>
      <c r="S203" s="1687">
        <v>0.02</v>
      </c>
      <c r="T203" s="1624">
        <v>10</v>
      </c>
      <c r="U203" s="1616" t="s">
        <v>645</v>
      </c>
      <c r="V203" s="1622">
        <f>IF(E203=1,IF(U203="N",LOOKUP(T203,'HS250-DATA'!C$7:C$10,'HS250-DATA'!D$7:D$10),IF(U203="Y",LOOKUP(T203,'HS250-DATA'!C$22:C$25,'HS250-DATA'!D$22:D$25),"FAN?")),IF(U203="N",LOOKUP(T203,'HS250-DATA'!C$14:C$17,'HS250-DATA'!D$14:D$17),IF(U203="Y",LOOKUP(T203,'HS250-DATA'!C$29:C$32,'HS250-DATA'!D$29:D$32),"FAN?")))</f>
        <v>0.115</v>
      </c>
      <c r="W203" s="1602">
        <f>(G203*H203)^2*Q203*10^-3+G203*P203</f>
        <v>206.3492063492063</v>
      </c>
      <c r="X203" s="1602">
        <f>D203*W203</f>
        <v>412.6984126984126</v>
      </c>
      <c r="Y203" s="1602">
        <f>IF(A203=3,W203*6,IF(A203=1,W203*4,W203))</f>
        <v>1238.0952380952378</v>
      </c>
      <c r="Z203" s="1579">
        <f>O203-5</f>
        <v>120</v>
      </c>
      <c r="AA203" s="1602">
        <f>D203*W203*V203+AB203</f>
        <v>102.46031746031744</v>
      </c>
      <c r="AB203" s="1588">
        <v>55</v>
      </c>
      <c r="AC203" s="1570"/>
      <c r="AD203" s="1564">
        <f>Q203*10^-3*H203^2</f>
        <v>9.5999999999999992E-4</v>
      </c>
      <c r="AE203" s="1634">
        <f>P203</f>
        <v>0.81</v>
      </c>
      <c r="AF203" s="1635">
        <f>(AB203-Z203)/(R203+S203+D203*V203)</f>
        <v>-206.34920634920636</v>
      </c>
      <c r="AG203" s="1636">
        <f>AE203^2-4*AD203*AF203</f>
        <v>1.4484809523809523</v>
      </c>
      <c r="AH203" s="1741">
        <f>SUM(AJ203:AL203)</f>
        <v>500.58</v>
      </c>
      <c r="AI203" s="1607"/>
      <c r="AJ203" s="1733">
        <f>C203*LOOKUP(T203,'HS250-DATA'!C$7:C$10,'HS250-DATA'!F$7:F$10)</f>
        <v>59.58</v>
      </c>
      <c r="AK203" s="1733">
        <f>IF(U203="Y",C203*12,0)</f>
        <v>36</v>
      </c>
      <c r="AL203" s="1733">
        <f>C203*E203*VLOOKUP(K203,'SCR-Diode DATA'!D$7:M$43,10,FALSE)</f>
        <v>405</v>
      </c>
      <c r="AM203" s="507">
        <f>AH203/F203</f>
        <v>0.81409901818799446</v>
      </c>
    </row>
    <row r="204" spans="1:39" ht="18.75">
      <c r="A204" s="1598"/>
      <c r="B204" s="1533"/>
      <c r="C204" s="1600"/>
      <c r="D204" s="1575"/>
      <c r="E204" s="1575"/>
      <c r="F204" s="1611"/>
      <c r="G204" s="1582"/>
      <c r="H204" s="1583"/>
      <c r="I204" s="1594"/>
      <c r="J204" s="1680"/>
      <c r="K204" s="1418"/>
      <c r="L204" s="1419"/>
      <c r="M204" s="1419"/>
      <c r="N204" s="1419"/>
      <c r="O204" s="1412"/>
      <c r="P204" s="1416"/>
      <c r="Q204" s="1416"/>
      <c r="R204" s="1416"/>
      <c r="S204" s="1687"/>
      <c r="T204" s="1624"/>
      <c r="U204" s="1616"/>
      <c r="V204" s="1622"/>
      <c r="W204" s="1602"/>
      <c r="X204" s="1602"/>
      <c r="Y204" s="1602"/>
      <c r="Z204" s="1579"/>
      <c r="AA204" s="1602"/>
      <c r="AB204" s="1588"/>
      <c r="AC204" s="1570"/>
      <c r="AD204" s="1564"/>
      <c r="AE204" s="1634"/>
      <c r="AF204" s="1635"/>
      <c r="AG204" s="1636"/>
      <c r="AH204" s="1742"/>
      <c r="AI204" s="1607"/>
      <c r="AJ204" s="1607"/>
      <c r="AK204" s="1607"/>
      <c r="AL204" s="1733"/>
      <c r="AM204" s="1743"/>
    </row>
    <row r="205" spans="1:39" ht="18.75">
      <c r="A205" s="1598">
        <v>3</v>
      </c>
      <c r="B205" s="1533">
        <f t="shared" si="107"/>
        <v>6</v>
      </c>
      <c r="C205" s="1600">
        <v>1</v>
      </c>
      <c r="D205" s="1575">
        <f>B205/C205</f>
        <v>6</v>
      </c>
      <c r="E205" s="1575">
        <v>3</v>
      </c>
      <c r="F205" s="1611">
        <f>IF(A205=3,3*G205,IF(A205=1,2*G205,IF(A205="bd",1*G205,IF(A205="fwd",1,"Error"))))</f>
        <v>376.83609489942774</v>
      </c>
      <c r="G205" s="1582">
        <f>(-AE205+SQRT(AG205))/2/AD205</f>
        <v>125.61203163314258</v>
      </c>
      <c r="H205" s="1583">
        <f>IF(A205=3,SQRT(3),IF(A205=1,SQRT(2),1))</f>
        <v>1.7320508075688772</v>
      </c>
      <c r="I205" s="1594">
        <f>H205*G205</f>
        <v>217.56642083055195</v>
      </c>
      <c r="J205" s="1680" t="s">
        <v>548</v>
      </c>
      <c r="K205" s="1418" t="s">
        <v>471</v>
      </c>
      <c r="L205" s="1419">
        <v>700</v>
      </c>
      <c r="M205" s="1419">
        <v>1100</v>
      </c>
      <c r="N205" s="1419">
        <v>36500</v>
      </c>
      <c r="O205" s="1412">
        <v>125</v>
      </c>
      <c r="P205" s="1416">
        <v>0.70299999999999996</v>
      </c>
      <c r="Q205" s="1416">
        <v>0.184</v>
      </c>
      <c r="R205" s="1416">
        <v>5.8000000000000003E-2</v>
      </c>
      <c r="S205" s="1687">
        <v>1.7999999999999999E-2</v>
      </c>
      <c r="T205" s="1624">
        <v>10</v>
      </c>
      <c r="U205" s="1616" t="s">
        <v>645</v>
      </c>
      <c r="V205" s="1622">
        <f>IF(E205=1,IF(U205="N",LOOKUP(T205,'HS250-DATA'!C$7:C$10,'HS250-DATA'!D$7:D$10),IF(U205="Y",LOOKUP(T205,'HS250-DATA'!C$22:C$25,'HS250-DATA'!D$22:D$25),"FAN?")),IF(U205="N",LOOKUP(T205,'HS250-DATA'!C$14:C$17,'HS250-DATA'!D$14:D$17),IF(U205="Y",LOOKUP(T205,'HS250-DATA'!C$29:C$32,'HS250-DATA'!D$29:D$32),"FAN?")))</f>
        <v>9.9000000000000005E-2</v>
      </c>
      <c r="W205" s="1602">
        <f>(G205*H205)^2*Q205*10^-3+G205*P205</f>
        <v>97.014925373134318</v>
      </c>
      <c r="X205" s="1602">
        <f>D205*W205</f>
        <v>582.08955223880594</v>
      </c>
      <c r="Y205" s="1602">
        <f>IF(A205=3,W205*6,IF(A205=1,W205*4,W205))</f>
        <v>582.08955223880594</v>
      </c>
      <c r="Z205" s="1579">
        <f>O205-5</f>
        <v>120</v>
      </c>
      <c r="AA205" s="1602">
        <f>D205*W205*V205+AB205</f>
        <v>112.62686567164178</v>
      </c>
      <c r="AB205" s="1588">
        <v>55</v>
      </c>
      <c r="AC205" s="1570"/>
      <c r="AD205" s="1564">
        <f>Q205*10^-3*H205^2</f>
        <v>5.5199999999999986E-4</v>
      </c>
      <c r="AE205" s="1634">
        <f>P205</f>
        <v>0.70299999999999996</v>
      </c>
      <c r="AF205" s="1635">
        <f>(AB205-Z205)/(R205+S205+D205*V205)</f>
        <v>-97.014925373134318</v>
      </c>
      <c r="AG205" s="1636">
        <f>AE205^2-4*AD205*AF205</f>
        <v>0.70841795522388051</v>
      </c>
      <c r="AH205" s="1741">
        <f>SUM(AJ205:AL205)</f>
        <v>1006.86</v>
      </c>
      <c r="AI205" s="1607"/>
      <c r="AJ205" s="1733">
        <f>C205*LOOKUP(T205,'HS250-DATA'!C$7:C$10,'HS250-DATA'!F$7:F$10)</f>
        <v>19.86</v>
      </c>
      <c r="AK205" s="1733">
        <f>IF(U205="Y",C205*12,0)</f>
        <v>12</v>
      </c>
      <c r="AL205" s="1733">
        <f>C205*E205*VLOOKUP(K205,'SCR-Diode DATA'!D$7:M$43,10,FALSE)</f>
        <v>975</v>
      </c>
      <c r="AM205" s="507">
        <f>AH205/F205</f>
        <v>2.6718778100827012</v>
      </c>
    </row>
    <row r="206" spans="1:39" ht="18.75">
      <c r="A206" s="1598">
        <v>3</v>
      </c>
      <c r="B206" s="1533">
        <f t="shared" si="107"/>
        <v>6</v>
      </c>
      <c r="C206" s="1600">
        <v>3</v>
      </c>
      <c r="D206" s="1575">
        <f>B206/C206</f>
        <v>2</v>
      </c>
      <c r="E206" s="1575">
        <v>1</v>
      </c>
      <c r="F206" s="1611">
        <f>IF(A206=3,3*G206,IF(A206=1,2*G206,IF(A206="bd",1*G206,IF(A206="fwd",1,"Error"))))</f>
        <v>756.63615818103165</v>
      </c>
      <c r="G206" s="1582">
        <f>(-AE206+SQRT(AG206))/2/AD206</f>
        <v>252.21205272701056</v>
      </c>
      <c r="H206" s="1583">
        <f>IF(A206=3,SQRT(3),IF(A206=1,SQRT(2),1))</f>
        <v>1.7320508075688772</v>
      </c>
      <c r="I206" s="1594">
        <f>H206*G206</f>
        <v>436.84408960442289</v>
      </c>
      <c r="J206" s="1680" t="s">
        <v>548</v>
      </c>
      <c r="K206" s="1418" t="s">
        <v>471</v>
      </c>
      <c r="L206" s="1419">
        <v>700</v>
      </c>
      <c r="M206" s="1419">
        <v>1100</v>
      </c>
      <c r="N206" s="1419">
        <v>36500</v>
      </c>
      <c r="O206" s="1412">
        <v>125</v>
      </c>
      <c r="P206" s="1416">
        <v>0.70299999999999996</v>
      </c>
      <c r="Q206" s="1416">
        <v>0.184</v>
      </c>
      <c r="R206" s="1416">
        <v>5.8000000000000003E-2</v>
      </c>
      <c r="S206" s="1687">
        <v>1.7999999999999999E-2</v>
      </c>
      <c r="T206" s="1624">
        <v>10</v>
      </c>
      <c r="U206" s="1616" t="s">
        <v>645</v>
      </c>
      <c r="V206" s="1622">
        <f>IF(E206=1,IF(U206="N",LOOKUP(T206,'HS250-DATA'!C$7:C$10,'HS250-DATA'!D$7:D$10),IF(U206="Y",LOOKUP(T206,'HS250-DATA'!C$22:C$25,'HS250-DATA'!D$22:D$25),"FAN?")),IF(U206="N",LOOKUP(T206,'HS250-DATA'!C$14:C$17,'HS250-DATA'!D$14:D$17),IF(U206="Y",LOOKUP(T206,'HS250-DATA'!C$29:C$32,'HS250-DATA'!D$29:D$32),"FAN?")))</f>
        <v>0.115</v>
      </c>
      <c r="W206" s="1602">
        <f>(G206*H206)^2*Q206*10^-3+G206*P206</f>
        <v>212.41830065359474</v>
      </c>
      <c r="X206" s="1602">
        <f>D206*W206</f>
        <v>424.83660130718948</v>
      </c>
      <c r="Y206" s="1602">
        <f>IF(A206=3,W206*6,IF(A206=1,W206*4,W206))</f>
        <v>1274.5098039215684</v>
      </c>
      <c r="Z206" s="1579">
        <f>O206-5</f>
        <v>120</v>
      </c>
      <c r="AA206" s="1602">
        <f>D206*W206*V206+AB206</f>
        <v>103.85620915032679</v>
      </c>
      <c r="AB206" s="1588">
        <v>55</v>
      </c>
      <c r="AC206" s="1570"/>
      <c r="AD206" s="1564">
        <f>Q206*10^-3*H206^2</f>
        <v>5.5199999999999986E-4</v>
      </c>
      <c r="AE206" s="1634">
        <f>P206</f>
        <v>0.70299999999999996</v>
      </c>
      <c r="AF206" s="1635">
        <f>(AB206-Z206)/(R206+S206+D206*V206)</f>
        <v>-212.41830065359477</v>
      </c>
      <c r="AG206" s="1636">
        <f>AE206^2-4*AD206*AF206</f>
        <v>0.96322860784313713</v>
      </c>
      <c r="AH206" s="1741">
        <f>SUM(AJ206:AL206)</f>
        <v>1070.58</v>
      </c>
      <c r="AI206" s="1607"/>
      <c r="AJ206" s="1733">
        <f>C206*LOOKUP(T206,'HS250-DATA'!C$7:C$10,'HS250-DATA'!F$7:F$10)</f>
        <v>59.58</v>
      </c>
      <c r="AK206" s="1733">
        <f>IF(U206="Y",C206*12,0)</f>
        <v>36</v>
      </c>
      <c r="AL206" s="1733">
        <f>C206*E206*VLOOKUP(K206,'SCR-Diode DATA'!D$7:M$43,10,FALSE)</f>
        <v>975</v>
      </c>
      <c r="AM206" s="507">
        <f>AH206/F206</f>
        <v>1.414920485129465</v>
      </c>
    </row>
    <row r="207" spans="1:39" ht="18.75">
      <c r="A207" s="1598"/>
      <c r="B207" s="1533"/>
      <c r="C207" s="1600"/>
      <c r="D207" s="1575"/>
      <c r="E207" s="1575"/>
      <c r="F207" s="1611"/>
      <c r="G207" s="1582"/>
      <c r="H207" s="1583"/>
      <c r="I207" s="1594"/>
      <c r="J207" s="1680"/>
      <c r="K207" s="1418"/>
      <c r="L207" s="1419"/>
      <c r="M207" s="1419"/>
      <c r="N207" s="1419"/>
      <c r="O207" s="1412"/>
      <c r="P207" s="1416"/>
      <c r="Q207" s="1416"/>
      <c r="R207" s="1416"/>
      <c r="S207" s="1687"/>
      <c r="T207" s="1624"/>
      <c r="U207" s="1616"/>
      <c r="V207" s="1622"/>
      <c r="W207" s="1602"/>
      <c r="X207" s="1602"/>
      <c r="Y207" s="1602"/>
      <c r="Z207" s="1579"/>
      <c r="AA207" s="1602"/>
      <c r="AB207" s="1588"/>
      <c r="AC207" s="1570"/>
      <c r="AD207" s="1564"/>
      <c r="AE207" s="1634"/>
      <c r="AF207" s="1635"/>
      <c r="AG207" s="1636"/>
      <c r="AH207" s="1742"/>
      <c r="AI207" s="1607"/>
      <c r="AJ207" s="1607"/>
      <c r="AK207" s="1607"/>
      <c r="AL207" s="1733"/>
      <c r="AM207" s="1743"/>
    </row>
    <row r="208" spans="1:39" ht="18.75">
      <c r="A208" s="1598">
        <v>3</v>
      </c>
      <c r="B208" s="1533">
        <f t="shared" si="107"/>
        <v>6</v>
      </c>
      <c r="C208" s="1600">
        <v>1</v>
      </c>
      <c r="D208" s="1575">
        <f>B208/C208</f>
        <v>6</v>
      </c>
      <c r="E208" s="1575">
        <v>6</v>
      </c>
      <c r="F208" s="1611">
        <f>IF(A208=3,3*G208,IF(A208=1,2*G208,IF(A208="bd",1*G208,IF(A208="fwd",1,"Error"))))</f>
        <v>423.59307288892626</v>
      </c>
      <c r="G208" s="1582">
        <f>(-AE208+SQRT(AG208))/2/AD208</f>
        <v>141.19769096297543</v>
      </c>
      <c r="H208" s="1583">
        <f>IF(A208=3,SQRT(3),IF(A208=1,SQRT(2),1))</f>
        <v>1.7320508075688772</v>
      </c>
      <c r="I208" s="1594">
        <f>H208*G208</f>
        <v>244.56157465928234</v>
      </c>
      <c r="J208" s="1680" t="s">
        <v>558</v>
      </c>
      <c r="K208" s="1418" t="s">
        <v>472</v>
      </c>
      <c r="L208" s="1419">
        <v>1500</v>
      </c>
      <c r="M208" s="1419">
        <v>2355</v>
      </c>
      <c r="N208" s="1419">
        <v>62000</v>
      </c>
      <c r="O208" s="1412">
        <v>125</v>
      </c>
      <c r="P208" s="1416">
        <v>0.69099999999999995</v>
      </c>
      <c r="Q208" s="1412">
        <v>0.10199999999999999</v>
      </c>
      <c r="R208" s="1412">
        <v>2.4E-2</v>
      </c>
      <c r="S208" s="1687">
        <v>8.9999999999999993E-3</v>
      </c>
      <c r="T208" s="1624">
        <v>10</v>
      </c>
      <c r="U208" s="1616" t="s">
        <v>645</v>
      </c>
      <c r="V208" s="1622">
        <f>IF(E208=1,IF(U208="N",LOOKUP(T208,'HS250-DATA'!C$7:C$10,'HS250-DATA'!D$7:D$10),IF(U208="Y",LOOKUP(T208,'HS250-DATA'!C$22:C$25,'HS250-DATA'!D$22:D$25),"FAN?")),IF(U208="N",LOOKUP(T208,'HS250-DATA'!C$14:C$17,'HS250-DATA'!D$14:D$17),IF(U208="Y",LOOKUP(T208,'HS250-DATA'!C$29:C$32,'HS250-DATA'!D$29:D$32),"FAN?")))</f>
        <v>9.9000000000000005E-2</v>
      </c>
      <c r="W208" s="1602">
        <f>(G208*H208)^2*Q208*10^-3+G208*P208</f>
        <v>103.66826156299845</v>
      </c>
      <c r="X208" s="1602">
        <f>D208*W208</f>
        <v>622.00956937799072</v>
      </c>
      <c r="Y208" s="1602">
        <f>IF(A208=3,W208*6,IF(A208=1,W208*4,W208))</f>
        <v>622.00956937799072</v>
      </c>
      <c r="Z208" s="1579">
        <f>O208-5</f>
        <v>120</v>
      </c>
      <c r="AA208" s="1602">
        <f>D208*W208*V208+AB208</f>
        <v>116.57894736842108</v>
      </c>
      <c r="AB208" s="1588">
        <v>55</v>
      </c>
      <c r="AC208" s="1570"/>
      <c r="AD208" s="1564">
        <f>Q208*10^-3*H208^2</f>
        <v>3.0599999999999996E-4</v>
      </c>
      <c r="AE208" s="1634">
        <f>P208</f>
        <v>0.69099999999999995</v>
      </c>
      <c r="AF208" s="1635">
        <f>(AB208-Z208)/(R208+S208+D208*V208)</f>
        <v>-103.66826156299838</v>
      </c>
      <c r="AG208" s="1636">
        <f>AE208^2-4*AD208*AF208</f>
        <v>0.60437095215310999</v>
      </c>
      <c r="AH208" s="1741">
        <f>SUM(AJ208:AL208)</f>
        <v>1171.8599999999999</v>
      </c>
      <c r="AI208" s="1607"/>
      <c r="AJ208" s="1733">
        <f>C208*LOOKUP(T208,'HS250-DATA'!C$7:C$10,'HS250-DATA'!F$7:F$10)</f>
        <v>19.86</v>
      </c>
      <c r="AK208" s="1733">
        <f>IF(U208="Y",C208*12,0)</f>
        <v>12</v>
      </c>
      <c r="AL208" s="1733">
        <f>C208*E208*VLOOKUP(K208,'SCR-Diode DATA'!D$7:M$43,10,FALSE)</f>
        <v>1140</v>
      </c>
      <c r="AM208" s="507">
        <f>AH208/F208</f>
        <v>2.7664758349513492</v>
      </c>
    </row>
    <row r="209" spans="1:39" ht="18.75">
      <c r="A209" s="1598">
        <v>3</v>
      </c>
      <c r="B209" s="1533">
        <f t="shared" si="107"/>
        <v>6</v>
      </c>
      <c r="C209" s="1600">
        <v>2</v>
      </c>
      <c r="D209" s="1575">
        <f>B209/C209</f>
        <v>3</v>
      </c>
      <c r="E209" s="1575">
        <v>3</v>
      </c>
      <c r="F209" s="1611">
        <f>IF(A209=3,3*G209,IF(A209=1,2*G209,IF(A209="bd",1*G209,IF(A209="fwd",1,"Error"))))</f>
        <v>768.06965242952697</v>
      </c>
      <c r="G209" s="1582">
        <f>(-AE209+SQRT(AG209))/2/AD209</f>
        <v>256.02321747650899</v>
      </c>
      <c r="H209" s="1583">
        <f>IF(A209=3,SQRT(3),IF(A209=1,SQRT(2),1))</f>
        <v>1.7320508075688772</v>
      </c>
      <c r="I209" s="1594">
        <f>H209*G209</f>
        <v>443.44522058656969</v>
      </c>
      <c r="J209" s="1680" t="s">
        <v>558</v>
      </c>
      <c r="K209" s="1418" t="s">
        <v>472</v>
      </c>
      <c r="L209" s="1419">
        <v>1500</v>
      </c>
      <c r="M209" s="1419">
        <v>2355</v>
      </c>
      <c r="N209" s="1419">
        <v>62000</v>
      </c>
      <c r="O209" s="1412">
        <v>125</v>
      </c>
      <c r="P209" s="1416">
        <v>0.69099999999999995</v>
      </c>
      <c r="Q209" s="1412">
        <v>0.10199999999999999</v>
      </c>
      <c r="R209" s="1412">
        <v>2.4E-2</v>
      </c>
      <c r="S209" s="1687">
        <v>8.9999999999999993E-3</v>
      </c>
      <c r="T209" s="1624">
        <v>10</v>
      </c>
      <c r="U209" s="1616" t="s">
        <v>645</v>
      </c>
      <c r="V209" s="1622">
        <f>IF(E209=1,IF(U209="N",LOOKUP(T209,'HS250-DATA'!C$7:C$10,'HS250-DATA'!D$7:D$10),IF(U209="Y",LOOKUP(T209,'HS250-DATA'!C$22:C$25,'HS250-DATA'!D$22:D$25),"FAN?")),IF(U209="N",LOOKUP(T209,'HS250-DATA'!C$14:C$17,'HS250-DATA'!D$14:D$17),IF(U209="Y",LOOKUP(T209,'HS250-DATA'!C$29:C$32,'HS250-DATA'!D$29:D$32),"FAN?")))</f>
        <v>9.9000000000000005E-2</v>
      </c>
      <c r="W209" s="1602">
        <f>(G209*H209)^2*Q209*10^-3+G209*P209</f>
        <v>196.969696969697</v>
      </c>
      <c r="X209" s="1602">
        <f>D209*W209</f>
        <v>590.90909090909099</v>
      </c>
      <c r="Y209" s="1602">
        <f>IF(A209=3,W209*6,IF(A209=1,W209*4,W209))</f>
        <v>1181.818181818182</v>
      </c>
      <c r="Z209" s="1579">
        <f>O209-5</f>
        <v>120</v>
      </c>
      <c r="AA209" s="1602">
        <f>D209*W209*V209+AB209</f>
        <v>113.50000000000001</v>
      </c>
      <c r="AB209" s="1588">
        <v>55</v>
      </c>
      <c r="AC209" s="1570"/>
      <c r="AD209" s="1564">
        <f>Q209*10^-3*H209^2</f>
        <v>3.0599999999999996E-4</v>
      </c>
      <c r="AE209" s="1634">
        <f>P209</f>
        <v>0.69099999999999995</v>
      </c>
      <c r="AF209" s="1635">
        <f>(AB209-Z209)/(R209+S209+D209*V209)</f>
        <v>-196.96969696969694</v>
      </c>
      <c r="AG209" s="1636">
        <f>AE209^2-4*AD209*AF209</f>
        <v>0.71857190909090896</v>
      </c>
      <c r="AH209" s="1741">
        <f>SUM(AJ209:AL209)</f>
        <v>1203.72</v>
      </c>
      <c r="AI209" s="1607"/>
      <c r="AJ209" s="1733">
        <f>C209*LOOKUP(T209,'HS250-DATA'!C$7:C$10,'HS250-DATA'!F$7:F$10)</f>
        <v>39.72</v>
      </c>
      <c r="AK209" s="1733">
        <f>IF(U209="Y",C209*12,0)</f>
        <v>24</v>
      </c>
      <c r="AL209" s="1733">
        <f>C209*E209*VLOOKUP(K209,'SCR-Diode DATA'!D$7:M$43,10,FALSE)</f>
        <v>1140</v>
      </c>
      <c r="AM209" s="507">
        <f>AH209/F209</f>
        <v>1.5672016153644939</v>
      </c>
    </row>
    <row r="210" spans="1:39" ht="18.75">
      <c r="A210" s="1598">
        <v>3</v>
      </c>
      <c r="B210" s="1533">
        <f t="shared" si="107"/>
        <v>6</v>
      </c>
      <c r="C210" s="1600">
        <v>3</v>
      </c>
      <c r="D210" s="1575">
        <f>B210/C210</f>
        <v>2</v>
      </c>
      <c r="E210" s="1575">
        <v>2</v>
      </c>
      <c r="F210" s="1611">
        <f>IF(A210=3,3*G210,IF(A210=1,2*G210,IF(A210="bd",1*G210,IF(A210="fwd",1,"Error"))))</f>
        <v>1056.7898163853035</v>
      </c>
      <c r="G210" s="1582">
        <f>(-AE210+SQRT(AG210))/2/AD210</f>
        <v>352.26327212843449</v>
      </c>
      <c r="H210" s="1583">
        <f>IF(A210=3,SQRT(3),IF(A210=1,SQRT(2),1))</f>
        <v>1.7320508075688772</v>
      </c>
      <c r="I210" s="1594">
        <f>H210*G210</f>
        <v>610.13788496691006</v>
      </c>
      <c r="J210" s="1680" t="s">
        <v>558</v>
      </c>
      <c r="K210" s="1418" t="s">
        <v>472</v>
      </c>
      <c r="L210" s="1419">
        <v>1500</v>
      </c>
      <c r="M210" s="1419">
        <v>2355</v>
      </c>
      <c r="N210" s="1419">
        <v>62000</v>
      </c>
      <c r="O210" s="1412">
        <v>125</v>
      </c>
      <c r="P210" s="1416">
        <v>0.69099999999999995</v>
      </c>
      <c r="Q210" s="1412">
        <v>0.10199999999999999</v>
      </c>
      <c r="R210" s="1412">
        <v>2.4E-2</v>
      </c>
      <c r="S210" s="1687">
        <v>8.9999999999999993E-3</v>
      </c>
      <c r="T210" s="1624">
        <v>10</v>
      </c>
      <c r="U210" s="1616" t="s">
        <v>645</v>
      </c>
      <c r="V210" s="1622">
        <f>IF(E210=1,IF(U210="N",LOOKUP(T210,'HS250-DATA'!C$7:C$10,'HS250-DATA'!D$7:D$10),IF(U210="Y",LOOKUP(T210,'HS250-DATA'!C$22:C$25,'HS250-DATA'!D$22:D$25),"FAN?")),IF(U210="N",LOOKUP(T210,'HS250-DATA'!C$14:C$17,'HS250-DATA'!D$14:D$17),IF(U210="Y",LOOKUP(T210,'HS250-DATA'!C$29:C$32,'HS250-DATA'!D$29:D$32),"FAN?")))</f>
        <v>9.9000000000000005E-2</v>
      </c>
      <c r="W210" s="1602">
        <f>(G210*H210)^2*Q210*10^-3+G210*P210</f>
        <v>281.38528138528142</v>
      </c>
      <c r="X210" s="1602">
        <f>D210*W210</f>
        <v>562.77056277056283</v>
      </c>
      <c r="Y210" s="1602">
        <f>IF(A210=3,W210*6,IF(A210=1,W210*4,W210))</f>
        <v>1688.3116883116886</v>
      </c>
      <c r="Z210" s="1579">
        <f>O210-5</f>
        <v>120</v>
      </c>
      <c r="AA210" s="1602">
        <f>D210*W210*V210+AB210</f>
        <v>110.71428571428572</v>
      </c>
      <c r="AB210" s="1588">
        <v>55</v>
      </c>
      <c r="AC210" s="1570"/>
      <c r="AD210" s="1564">
        <f>Q210*10^-3*H210^2</f>
        <v>3.0599999999999996E-4</v>
      </c>
      <c r="AE210" s="1634">
        <f>P210</f>
        <v>0.69099999999999995</v>
      </c>
      <c r="AF210" s="1635">
        <f>(AB210-Z210)/(R210+S210+D210*V210)</f>
        <v>-281.38528138528136</v>
      </c>
      <c r="AG210" s="1636">
        <f>AE210^2-4*AD210*AF210</f>
        <v>0.82189658441558433</v>
      </c>
      <c r="AH210" s="1741">
        <f>SUM(AJ210:AL210)</f>
        <v>1235.58</v>
      </c>
      <c r="AI210" s="1607"/>
      <c r="AJ210" s="1733">
        <f>C210*LOOKUP(T210,'HS250-DATA'!C$7:C$10,'HS250-DATA'!F$7:F$10)</f>
        <v>59.58</v>
      </c>
      <c r="AK210" s="1733">
        <f>IF(U210="Y",C210*12,0)</f>
        <v>36</v>
      </c>
      <c r="AL210" s="1733">
        <f>C210*E210*VLOOKUP(K210,'SCR-Diode DATA'!D$7:M$43,10,FALSE)</f>
        <v>1140</v>
      </c>
      <c r="AM210" s="507">
        <f>AH210/F210</f>
        <v>1.1691823490750879</v>
      </c>
    </row>
    <row r="211" spans="1:39" ht="18.75">
      <c r="A211" s="1598">
        <v>3</v>
      </c>
      <c r="B211" s="1533">
        <f t="shared" si="107"/>
        <v>6</v>
      </c>
      <c r="C211" s="1600">
        <v>6</v>
      </c>
      <c r="D211" s="1575">
        <f>B211/C211</f>
        <v>1</v>
      </c>
      <c r="E211" s="1575">
        <v>1</v>
      </c>
      <c r="F211" s="1611">
        <f>IF(A211=3,3*G211,IF(A211=1,2*G211,IF(A211="bd",1*G211,IF(A211="fwd",1,"Error"))))</f>
        <v>1551.4518988785853</v>
      </c>
      <c r="G211" s="1582">
        <f>(-AE211+SQRT(AG211))/2/AD211</f>
        <v>517.15063295952848</v>
      </c>
      <c r="H211" s="1583">
        <f>IF(A211=3,SQRT(3),IF(A211=1,SQRT(2),1))</f>
        <v>1.7320508075688772</v>
      </c>
      <c r="I211" s="1594">
        <f>H211*G211</f>
        <v>895.73117145230731</v>
      </c>
      <c r="J211" s="1680" t="s">
        <v>558</v>
      </c>
      <c r="K211" s="1418" t="s">
        <v>472</v>
      </c>
      <c r="L211" s="1419">
        <v>1500</v>
      </c>
      <c r="M211" s="1419">
        <v>2355</v>
      </c>
      <c r="N211" s="1419">
        <v>62000</v>
      </c>
      <c r="O211" s="1412">
        <v>125</v>
      </c>
      <c r="P211" s="1416">
        <v>0.69099999999999995</v>
      </c>
      <c r="Q211" s="1412">
        <v>0.10199999999999999</v>
      </c>
      <c r="R211" s="1412">
        <v>2.4E-2</v>
      </c>
      <c r="S211" s="1687">
        <v>8.9999999999999993E-3</v>
      </c>
      <c r="T211" s="1624">
        <v>10</v>
      </c>
      <c r="U211" s="1616" t="s">
        <v>645</v>
      </c>
      <c r="V211" s="1622">
        <f>IF(E211=1,IF(U211="N",LOOKUP(T211,'HS250-DATA'!C$7:C$10,'HS250-DATA'!D$7:D$10),IF(U211="Y",LOOKUP(T211,'HS250-DATA'!C$22:C$25,'HS250-DATA'!D$22:D$25),"FAN?")),IF(U211="N",LOOKUP(T211,'HS250-DATA'!C$14:C$17,'HS250-DATA'!D$14:D$17),IF(U211="Y",LOOKUP(T211,'HS250-DATA'!C$29:C$32,'HS250-DATA'!D$29:D$32),"FAN?")))</f>
        <v>0.115</v>
      </c>
      <c r="W211" s="1602">
        <f>(G211*H211)^2*Q211*10^-3+G211*P211</f>
        <v>439.18918918918905</v>
      </c>
      <c r="X211" s="1602">
        <f>D211*W211</f>
        <v>439.18918918918905</v>
      </c>
      <c r="Y211" s="1602">
        <f>IF(A211=3,W211*6,IF(A211=1,W211*4,W211))</f>
        <v>2635.1351351351341</v>
      </c>
      <c r="Z211" s="1579">
        <f>O211-5</f>
        <v>120</v>
      </c>
      <c r="AA211" s="1602">
        <f>D211*W211*V211+AB211</f>
        <v>105.50675675675674</v>
      </c>
      <c r="AB211" s="1588">
        <v>55</v>
      </c>
      <c r="AC211" s="1570"/>
      <c r="AD211" s="1564">
        <f>Q211*10^-3*H211^2</f>
        <v>3.0599999999999996E-4</v>
      </c>
      <c r="AE211" s="1634">
        <f>P211</f>
        <v>0.69099999999999995</v>
      </c>
      <c r="AF211" s="1635">
        <f>(AB211-Z211)/(R211+S211+D211*V211)</f>
        <v>-439.18918918918911</v>
      </c>
      <c r="AG211" s="1636">
        <f>AE211^2-4*AD211*AF211</f>
        <v>1.0150485675675673</v>
      </c>
      <c r="AH211" s="1741">
        <f>SUM(AJ211:AL211)</f>
        <v>1331.16</v>
      </c>
      <c r="AI211" s="1607"/>
      <c r="AJ211" s="1733">
        <f>C211*LOOKUP(T211,'HS250-DATA'!C$7:C$10,'HS250-DATA'!F$7:F$10)</f>
        <v>119.16</v>
      </c>
      <c r="AK211" s="1733">
        <f>IF(U211="Y",C211*12,0)</f>
        <v>72</v>
      </c>
      <c r="AL211" s="1733">
        <f>C211*E211*VLOOKUP(K211,'SCR-Diode DATA'!D$7:M$43,10,FALSE)</f>
        <v>1140</v>
      </c>
      <c r="AM211" s="507">
        <f>AH211/F211</f>
        <v>0.85800919832718259</v>
      </c>
    </row>
    <row r="212" spans="1:39" ht="19.5" thickBot="1">
      <c r="A212" s="1599"/>
      <c r="B212" s="1692"/>
      <c r="C212" s="1601"/>
      <c r="D212" s="1591"/>
      <c r="E212" s="1591"/>
      <c r="F212" s="1662"/>
      <c r="G212" s="1589"/>
      <c r="H212" s="1590"/>
      <c r="I212" s="1595"/>
      <c r="J212" s="1693"/>
      <c r="K212" s="1686"/>
      <c r="L212" s="1685"/>
      <c r="M212" s="1685"/>
      <c r="N212" s="1685"/>
      <c r="O212" s="1684"/>
      <c r="P212" s="1683"/>
      <c r="Q212" s="1683"/>
      <c r="R212" s="1683"/>
      <c r="S212" s="1682"/>
      <c r="T212" s="1569"/>
      <c r="U212" s="1568"/>
      <c r="V212" s="1567"/>
      <c r="W212" s="1605"/>
      <c r="X212" s="1605"/>
      <c r="Y212" s="1605"/>
      <c r="Z212" s="1566"/>
      <c r="AA212" s="1605"/>
      <c r="AB212" s="1592"/>
      <c r="AC212" s="1570"/>
      <c r="AD212" s="1564"/>
      <c r="AE212" s="1634"/>
      <c r="AF212" s="1635"/>
      <c r="AG212" s="1636"/>
      <c r="AH212" s="1744"/>
      <c r="AI212" s="1608"/>
      <c r="AJ212" s="1608"/>
      <c r="AK212" s="1608"/>
      <c r="AL212" s="1745"/>
      <c r="AM212" s="1746"/>
    </row>
    <row r="213" spans="1:39" ht="15.75" thickBot="1">
      <c r="U213" s="1616"/>
    </row>
    <row r="214" spans="1:39" ht="24">
      <c r="A214" s="1673">
        <v>3</v>
      </c>
      <c r="B214" s="1327">
        <f>IF(A214=3,6,IF(A214=1,4,IF(A214="bd",1,IF(A214="fwd",1,"Circuit Type"))))</f>
        <v>6</v>
      </c>
      <c r="C214" s="1620">
        <v>1</v>
      </c>
      <c r="D214" s="1609">
        <f t="shared" ref="D214:D219" si="108">B214/C214</f>
        <v>6</v>
      </c>
      <c r="E214" s="1609">
        <v>1</v>
      </c>
      <c r="F214" s="1674">
        <f t="shared" ref="F214:F219" si="109">IF(A214=3,3*G214,IF(A214=1,2*G214,IF(A214="bd",1*G214,IF(A214="fwd",1,"Error"))))</f>
        <v>42.41141489201452</v>
      </c>
      <c r="G214" s="1670">
        <f t="shared" ref="G214:G219" si="110">(-AE214+SQRT(AG214))/2/AD214</f>
        <v>14.137138297338172</v>
      </c>
      <c r="H214" s="1675">
        <f t="shared" ref="H214:H219" si="111">IF(A214=3,SQRT(3),IF(A214=1,SQRT(2),1))</f>
        <v>1.7320508075688772</v>
      </c>
      <c r="I214" s="1676">
        <f t="shared" ref="I214:I219" si="112">H214*G214</f>
        <v>24.486241804617482</v>
      </c>
      <c r="J214" s="1677" t="s">
        <v>539</v>
      </c>
      <c r="K214" s="1584" t="s">
        <v>540</v>
      </c>
      <c r="L214" s="1603">
        <v>42</v>
      </c>
      <c r="M214" s="1603"/>
      <c r="N214" s="1603">
        <v>280</v>
      </c>
      <c r="O214" s="1678">
        <v>125</v>
      </c>
      <c r="P214" s="1585">
        <v>1.1000000000000001</v>
      </c>
      <c r="Q214" s="1679">
        <v>20</v>
      </c>
      <c r="R214" s="1585">
        <v>1.6</v>
      </c>
      <c r="S214" s="1604">
        <v>0.1</v>
      </c>
      <c r="T214" s="1667">
        <v>13</v>
      </c>
      <c r="U214" s="1668" t="s">
        <v>645</v>
      </c>
      <c r="V214" s="1669">
        <f>IF(E214=1,IF(U214="N",LOOKUP(T214,'HS250-DATA'!C$7:C$10,'HS250-DATA'!D$7:D$10),IF(U214="Y",LOOKUP(T214,'HS250-DATA'!C$22:C$25,'HS250-DATA'!D$22:D$25),"FAN?")),IF(U214="N",LOOKUP(T214,'HS250-DATA'!C$14:C$17,'HS250-DATA'!D$14:D$17),IF(U214="Y",LOOKUP(T214,'HS250-DATA'!C$29:C$32,'HS250-DATA'!D$29:D$32),"FAN?")))</f>
        <v>0.11</v>
      </c>
      <c r="W214" s="1671">
        <f t="shared" ref="W214:W219" si="113">(G214*H214)^2*Q214*10^-3+G214*P214</f>
        <v>27.542372881355927</v>
      </c>
      <c r="X214" s="1671">
        <f t="shared" ref="X214:X219" si="114">D214*W214</f>
        <v>165.25423728813556</v>
      </c>
      <c r="Y214" s="1671">
        <f t="shared" ref="Y214:Y219" si="115">IF(A214=3,W214*6,IF(A214=1,W214*4,W214))</f>
        <v>165.25423728813556</v>
      </c>
      <c r="Z214" s="1672">
        <f t="shared" ref="Z214:Z219" si="116">O214-5</f>
        <v>120</v>
      </c>
      <c r="AA214" s="1671">
        <f t="shared" ref="AA214:AA219" si="117">D214*W214*V214+AB214</f>
        <v>73.177966101694906</v>
      </c>
      <c r="AB214" s="1610">
        <v>55</v>
      </c>
      <c r="AC214" s="1570"/>
      <c r="AD214" s="1564">
        <f t="shared" ref="AD214:AD219" si="118">Q214*10^-3*H214^2</f>
        <v>5.9999999999999991E-2</v>
      </c>
      <c r="AE214" s="1634">
        <f t="shared" ref="AE214:AE219" si="119">P214</f>
        <v>1.1000000000000001</v>
      </c>
      <c r="AF214" s="1635">
        <f t="shared" ref="AF214:AF219" si="120">(AB214-Z214)/(R214+S214+D214*V214)</f>
        <v>-27.542372881355927</v>
      </c>
      <c r="AG214" s="1636">
        <f t="shared" ref="AG214:AG219" si="121">AE214^2-4*AD214*AF214</f>
        <v>7.8201694915254212</v>
      </c>
      <c r="AH214" s="1747">
        <f t="shared" ref="AH214:AH219" si="122">SUM(AJ214:AL214)</f>
        <v>59.05</v>
      </c>
      <c r="AI214" s="1639"/>
      <c r="AJ214" s="1748">
        <f>C214*LOOKUP(T214,'HS250-DATA'!C$7:C$10,'HS250-DATA'!F$7:F$10)</f>
        <v>24.55</v>
      </c>
      <c r="AK214" s="1748">
        <f t="shared" ref="AK214:AK219" si="123">IF(U214="Y",C214*12,0)</f>
        <v>12</v>
      </c>
      <c r="AL214" s="1748">
        <f>C214*E214*VLOOKUP(K214,'SCR-Diode DATA'!D$7:M$43,10,FALSE)</f>
        <v>22.5</v>
      </c>
      <c r="AM214" s="1749">
        <f t="shared" ref="AM214:AM219" si="124">AH214/F214</f>
        <v>1.3923138416944985</v>
      </c>
    </row>
    <row r="215" spans="1:39" ht="24">
      <c r="A215" s="1598">
        <v>1</v>
      </c>
      <c r="B215" s="1533">
        <f>IF(A215=3,6,IF(A215=1,4,IF(A215="bd",1,IF(A215="fwd",1,"Circuit Type"))))</f>
        <v>4</v>
      </c>
      <c r="C215" s="1600">
        <v>1</v>
      </c>
      <c r="D215" s="1575">
        <f t="shared" si="108"/>
        <v>4</v>
      </c>
      <c r="E215" s="1575">
        <v>1</v>
      </c>
      <c r="F215" s="1611">
        <f t="shared" si="109"/>
        <v>34.092476631242</v>
      </c>
      <c r="G215" s="1582">
        <f t="shared" si="110"/>
        <v>17.046238315621</v>
      </c>
      <c r="H215" s="1583">
        <f t="shared" si="111"/>
        <v>1.4142135623730951</v>
      </c>
      <c r="I215" s="1594">
        <f t="shared" si="112"/>
        <v>24.107021413395124</v>
      </c>
      <c r="J215" s="1666" t="s">
        <v>539</v>
      </c>
      <c r="K215" s="1586" t="s">
        <v>540</v>
      </c>
      <c r="L215" s="1578">
        <v>42</v>
      </c>
      <c r="M215" s="1578"/>
      <c r="N215" s="1578">
        <v>280</v>
      </c>
      <c r="O215" s="1580">
        <v>125</v>
      </c>
      <c r="P215" s="1576">
        <v>1.1000000000000001</v>
      </c>
      <c r="Q215" s="1581">
        <v>20</v>
      </c>
      <c r="R215" s="1576">
        <v>1.6</v>
      </c>
      <c r="S215" s="1587">
        <v>0.1</v>
      </c>
      <c r="T215" s="1624">
        <v>13</v>
      </c>
      <c r="U215" s="1616" t="s">
        <v>645</v>
      </c>
      <c r="V215" s="1622">
        <f>IF(E215=1,IF(U215="N",LOOKUP(T215,'HS250-DATA'!C$7:C$10,'HS250-DATA'!D$7:D$10),IF(U215="Y",LOOKUP(T215,'HS250-DATA'!C$22:C$25,'HS250-DATA'!D$22:D$25),"FAN?")),IF(U215="N",LOOKUP(T215,'HS250-DATA'!C$14:C$17,'HS250-DATA'!D$14:D$17),IF(U215="Y",LOOKUP(T215,'HS250-DATA'!C$29:C$32,'HS250-DATA'!D$29:D$32),"FAN?")))</f>
        <v>0.11</v>
      </c>
      <c r="W215" s="1602">
        <f t="shared" si="113"/>
        <v>30.373831775700925</v>
      </c>
      <c r="X215" s="1602">
        <f t="shared" si="114"/>
        <v>121.4953271028037</v>
      </c>
      <c r="Y215" s="1602">
        <f t="shared" si="115"/>
        <v>121.4953271028037</v>
      </c>
      <c r="Z215" s="1579">
        <f t="shared" si="116"/>
        <v>120</v>
      </c>
      <c r="AA215" s="1602">
        <f t="shared" si="117"/>
        <v>68.364485981308405</v>
      </c>
      <c r="AB215" s="1588">
        <v>55</v>
      </c>
      <c r="AC215" s="1570"/>
      <c r="AD215" s="1564">
        <f t="shared" si="118"/>
        <v>4.0000000000000008E-2</v>
      </c>
      <c r="AE215" s="1634">
        <f t="shared" si="119"/>
        <v>1.1000000000000001</v>
      </c>
      <c r="AF215" s="1635">
        <f t="shared" si="120"/>
        <v>-30.373831775700932</v>
      </c>
      <c r="AG215" s="1636">
        <f t="shared" si="121"/>
        <v>6.06981308411215</v>
      </c>
      <c r="AH215" s="1741">
        <f t="shared" si="122"/>
        <v>59.05</v>
      </c>
      <c r="AI215" s="1607"/>
      <c r="AJ215" s="1733">
        <f>C215*LOOKUP(T215,'HS250-DATA'!C$7:C$10,'HS250-DATA'!F$7:F$10)</f>
        <v>24.55</v>
      </c>
      <c r="AK215" s="1733">
        <f t="shared" si="123"/>
        <v>12</v>
      </c>
      <c r="AL215" s="1733">
        <f>C215*E215*VLOOKUP(K215,'SCR-Diode DATA'!D$7:M$43,10,FALSE)</f>
        <v>22.5</v>
      </c>
      <c r="AM215" s="507">
        <f t="shared" si="124"/>
        <v>1.7320536914554097</v>
      </c>
    </row>
    <row r="216" spans="1:39" ht="18.75">
      <c r="A216" s="1598">
        <v>3</v>
      </c>
      <c r="B216" s="1533">
        <f t="shared" ref="B216:B245" si="125">IF(A216=3,6,IF(A216=1,4,IF(A216="bd",1,IF(A216="fwd",1,"Circuit Type"))))</f>
        <v>6</v>
      </c>
      <c r="C216" s="1600">
        <v>1</v>
      </c>
      <c r="D216" s="1575">
        <f t="shared" si="108"/>
        <v>6</v>
      </c>
      <c r="E216" s="1575">
        <v>1</v>
      </c>
      <c r="F216" s="1611">
        <f t="shared" si="109"/>
        <v>63.946790072129431</v>
      </c>
      <c r="G216" s="1582">
        <f t="shared" si="110"/>
        <v>21.31559669070981</v>
      </c>
      <c r="H216" s="1583">
        <f t="shared" si="111"/>
        <v>1.7320508075688772</v>
      </c>
      <c r="I216" s="1594">
        <f t="shared" si="112"/>
        <v>36.919696461956413</v>
      </c>
      <c r="J216" s="1681" t="s">
        <v>542</v>
      </c>
      <c r="K216" s="1417" t="s">
        <v>543</v>
      </c>
      <c r="L216" s="1414">
        <v>68</v>
      </c>
      <c r="M216" s="1414"/>
      <c r="N216" s="1414">
        <v>380</v>
      </c>
      <c r="O216" s="1413">
        <v>125</v>
      </c>
      <c r="P216" s="1413">
        <v>1</v>
      </c>
      <c r="Q216" s="1415">
        <v>10</v>
      </c>
      <c r="R216" s="1413">
        <v>1.1000000000000001</v>
      </c>
      <c r="S216" s="1688">
        <v>0.1</v>
      </c>
      <c r="T216" s="1624">
        <v>13</v>
      </c>
      <c r="U216" s="1616" t="s">
        <v>645</v>
      </c>
      <c r="V216" s="1622">
        <f>IF(E216=1,IF(U216="N",LOOKUP(T216,'HS250-DATA'!C$7:C$10,'HS250-DATA'!D$7:D$10),IF(U216="Y",LOOKUP(T216,'HS250-DATA'!C$22:C$25,'HS250-DATA'!D$22:D$25),"FAN?")),IF(U216="N",LOOKUP(T216,'HS250-DATA'!C$14:C$17,'HS250-DATA'!D$14:D$17),IF(U216="Y",LOOKUP(T216,'HS250-DATA'!C$29:C$32,'HS250-DATA'!D$29:D$32),"FAN?")))</f>
        <v>0.11</v>
      </c>
      <c r="W216" s="1602">
        <f t="shared" si="113"/>
        <v>34.946236559139777</v>
      </c>
      <c r="X216" s="1602">
        <f t="shared" si="114"/>
        <v>209.67741935483866</v>
      </c>
      <c r="Y216" s="1602">
        <f t="shared" si="115"/>
        <v>209.67741935483866</v>
      </c>
      <c r="Z216" s="1579">
        <f t="shared" si="116"/>
        <v>120</v>
      </c>
      <c r="AA216" s="1602">
        <f t="shared" si="117"/>
        <v>78.064516129032256</v>
      </c>
      <c r="AB216" s="1588">
        <v>55</v>
      </c>
      <c r="AC216" s="1570"/>
      <c r="AD216" s="1564">
        <f t="shared" si="118"/>
        <v>2.9999999999999995E-2</v>
      </c>
      <c r="AE216" s="1634">
        <f t="shared" si="119"/>
        <v>1</v>
      </c>
      <c r="AF216" s="1635">
        <f t="shared" si="120"/>
        <v>-34.946236559139777</v>
      </c>
      <c r="AG216" s="1636">
        <f t="shared" si="121"/>
        <v>5.1935483870967722</v>
      </c>
      <c r="AH216" s="1741">
        <f t="shared" si="122"/>
        <v>65.349999999999994</v>
      </c>
      <c r="AI216" s="1607"/>
      <c r="AJ216" s="1733">
        <f>C216*LOOKUP(T216,'HS250-DATA'!C$7:C$10,'HS250-DATA'!F$7:F$10)</f>
        <v>24.55</v>
      </c>
      <c r="AK216" s="1733">
        <f t="shared" si="123"/>
        <v>12</v>
      </c>
      <c r="AL216" s="1733">
        <f>C216*E216*VLOOKUP(K216,'SCR-Diode DATA'!D$7:M$43,10,FALSE)</f>
        <v>28.8</v>
      </c>
      <c r="AM216" s="507">
        <f t="shared" si="124"/>
        <v>1.0219433989773028</v>
      </c>
    </row>
    <row r="217" spans="1:39" ht="18.75">
      <c r="A217" s="1598">
        <v>1</v>
      </c>
      <c r="B217" s="1533">
        <f t="shared" si="125"/>
        <v>4</v>
      </c>
      <c r="C217" s="1600">
        <v>1</v>
      </c>
      <c r="D217" s="1575">
        <f t="shared" si="108"/>
        <v>4</v>
      </c>
      <c r="E217" s="1575">
        <v>1</v>
      </c>
      <c r="F217" s="1611">
        <f t="shared" si="109"/>
        <v>52.111846855752667</v>
      </c>
      <c r="G217" s="1582">
        <f t="shared" si="110"/>
        <v>26.055923427876333</v>
      </c>
      <c r="H217" s="1583">
        <f t="shared" si="111"/>
        <v>1.4142135623730951</v>
      </c>
      <c r="I217" s="1594">
        <f t="shared" si="112"/>
        <v>36.848640291857578</v>
      </c>
      <c r="J217" s="1681" t="s">
        <v>542</v>
      </c>
      <c r="K217" s="1417" t="s">
        <v>543</v>
      </c>
      <c r="L217" s="1414">
        <v>68</v>
      </c>
      <c r="M217" s="1414"/>
      <c r="N217" s="1414">
        <v>380</v>
      </c>
      <c r="O217" s="1413">
        <v>125</v>
      </c>
      <c r="P217" s="1413">
        <v>1</v>
      </c>
      <c r="Q217" s="1415">
        <v>10</v>
      </c>
      <c r="R217" s="1413">
        <v>1.1000000000000001</v>
      </c>
      <c r="S217" s="1688">
        <v>0.1</v>
      </c>
      <c r="T217" s="1624">
        <v>13</v>
      </c>
      <c r="U217" s="1616" t="s">
        <v>645</v>
      </c>
      <c r="V217" s="1622">
        <f>IF(E217=1,IF(U217="N",LOOKUP(T217,'HS250-DATA'!C$7:C$10,'HS250-DATA'!D$7:D$10),IF(U217="Y",LOOKUP(T217,'HS250-DATA'!C$22:C$25,'HS250-DATA'!D$22:D$25),"FAN?")),IF(U217="N",LOOKUP(T217,'HS250-DATA'!C$14:C$17,'HS250-DATA'!D$14:D$17),IF(U217="Y",LOOKUP(T217,'HS250-DATA'!C$29:C$32,'HS250-DATA'!D$29:D$32),"FAN?")))</f>
        <v>0.11</v>
      </c>
      <c r="W217" s="1602">
        <f t="shared" si="113"/>
        <v>39.634146341463435</v>
      </c>
      <c r="X217" s="1602">
        <f t="shared" si="114"/>
        <v>158.53658536585374</v>
      </c>
      <c r="Y217" s="1602">
        <f t="shared" si="115"/>
        <v>158.53658536585374</v>
      </c>
      <c r="Z217" s="1579">
        <f t="shared" si="116"/>
        <v>120</v>
      </c>
      <c r="AA217" s="1602">
        <f t="shared" si="117"/>
        <v>72.439024390243915</v>
      </c>
      <c r="AB217" s="1588">
        <v>55</v>
      </c>
      <c r="AC217" s="1570"/>
      <c r="AD217" s="1564">
        <f t="shared" si="118"/>
        <v>2.0000000000000004E-2</v>
      </c>
      <c r="AE217" s="1634">
        <f t="shared" si="119"/>
        <v>1</v>
      </c>
      <c r="AF217" s="1635">
        <f t="shared" si="120"/>
        <v>-39.634146341463413</v>
      </c>
      <c r="AG217" s="1636">
        <f t="shared" si="121"/>
        <v>4.1707317073170742</v>
      </c>
      <c r="AH217" s="1741">
        <f t="shared" si="122"/>
        <v>65.349999999999994</v>
      </c>
      <c r="AI217" s="1607"/>
      <c r="AJ217" s="1733">
        <f>C217*LOOKUP(T217,'HS250-DATA'!C$7:C$10,'HS250-DATA'!F$7:F$10)</f>
        <v>24.55</v>
      </c>
      <c r="AK217" s="1733">
        <f t="shared" si="123"/>
        <v>12</v>
      </c>
      <c r="AL217" s="1733">
        <f>C217*E217*VLOOKUP(K217,'SCR-Diode DATA'!D$7:M$43,10,FALSE)</f>
        <v>28.8</v>
      </c>
      <c r="AM217" s="507">
        <f t="shared" si="124"/>
        <v>1.2540334673014175</v>
      </c>
    </row>
    <row r="218" spans="1:39" ht="18.75">
      <c r="A218" s="1598">
        <v>1</v>
      </c>
      <c r="B218" s="1533">
        <f t="shared" si="125"/>
        <v>4</v>
      </c>
      <c r="C218" s="1600">
        <v>1</v>
      </c>
      <c r="D218" s="1575">
        <f t="shared" si="108"/>
        <v>4</v>
      </c>
      <c r="E218" s="1575">
        <v>1</v>
      </c>
      <c r="F218" s="1611">
        <f t="shared" si="109"/>
        <v>106.88823567007603</v>
      </c>
      <c r="G218" s="1582">
        <f t="shared" si="110"/>
        <v>53.444117835038014</v>
      </c>
      <c r="H218" s="1583">
        <f t="shared" si="111"/>
        <v>1.4142135623730951</v>
      </c>
      <c r="I218" s="1594">
        <f t="shared" si="112"/>
        <v>75.581396271376576</v>
      </c>
      <c r="J218" s="1680" t="s">
        <v>545</v>
      </c>
      <c r="K218" s="1417" t="s">
        <v>503</v>
      </c>
      <c r="L218" s="1414">
        <v>125</v>
      </c>
      <c r="M218" s="1414"/>
      <c r="N218" s="1414">
        <v>1950</v>
      </c>
      <c r="O218" s="1413">
        <v>125</v>
      </c>
      <c r="P218" s="1413">
        <v>0.86</v>
      </c>
      <c r="Q218" s="1415">
        <v>5.5</v>
      </c>
      <c r="R218" s="1413">
        <v>0.3</v>
      </c>
      <c r="S218" s="1688">
        <v>0.1</v>
      </c>
      <c r="T218" s="1624">
        <v>13</v>
      </c>
      <c r="U218" s="1616" t="s">
        <v>645</v>
      </c>
      <c r="V218" s="1622">
        <f>IF(E218=1,IF(U218="N",LOOKUP(T218,'HS250-DATA'!C$7:C$10,'HS250-DATA'!D$7:D$10),IF(U218="Y",LOOKUP(T218,'HS250-DATA'!C$22:C$25,'HS250-DATA'!D$22:D$25),"FAN?")),IF(U218="N",LOOKUP(T218,'HS250-DATA'!C$14:C$17,'HS250-DATA'!D$14:D$17),IF(U218="Y",LOOKUP(T218,'HS250-DATA'!C$29:C$32,'HS250-DATA'!D$29:D$32),"FAN?")))</f>
        <v>0.11</v>
      </c>
      <c r="W218" s="1602">
        <f t="shared" si="113"/>
        <v>77.380952380952408</v>
      </c>
      <c r="X218" s="1602">
        <f t="shared" si="114"/>
        <v>309.52380952380963</v>
      </c>
      <c r="Y218" s="1602">
        <f t="shared" si="115"/>
        <v>309.52380952380963</v>
      </c>
      <c r="Z218" s="1579">
        <f t="shared" si="116"/>
        <v>120</v>
      </c>
      <c r="AA218" s="1602">
        <f t="shared" si="117"/>
        <v>89.047619047619065</v>
      </c>
      <c r="AB218" s="1588">
        <v>55</v>
      </c>
      <c r="AC218" s="1570"/>
      <c r="AD218" s="1564">
        <f t="shared" si="118"/>
        <v>1.1000000000000001E-2</v>
      </c>
      <c r="AE218" s="1634">
        <f t="shared" si="119"/>
        <v>0.86</v>
      </c>
      <c r="AF218" s="1635">
        <f t="shared" si="120"/>
        <v>-77.38095238095238</v>
      </c>
      <c r="AG218" s="1636">
        <f t="shared" si="121"/>
        <v>4.1443619047619054</v>
      </c>
      <c r="AH218" s="1741">
        <f t="shared" si="122"/>
        <v>60.489999999999995</v>
      </c>
      <c r="AI218" s="1607"/>
      <c r="AJ218" s="1733">
        <f>C218*LOOKUP(T218,'HS250-DATA'!C$7:C$10,'HS250-DATA'!F$7:F$10)</f>
        <v>24.55</v>
      </c>
      <c r="AK218" s="1733">
        <f t="shared" si="123"/>
        <v>12</v>
      </c>
      <c r="AL218" s="1733">
        <f>C218*E218*VLOOKUP(K218,'SCR-Diode DATA'!D$7:M$43,10,FALSE)</f>
        <v>23.94</v>
      </c>
      <c r="AM218" s="507">
        <f t="shared" si="124"/>
        <v>0.56591821935119202</v>
      </c>
    </row>
    <row r="219" spans="1:39" ht="18.75">
      <c r="A219" s="1598">
        <v>3</v>
      </c>
      <c r="B219" s="1533">
        <f t="shared" si="125"/>
        <v>6</v>
      </c>
      <c r="C219" s="1600">
        <v>1</v>
      </c>
      <c r="D219" s="1575">
        <f t="shared" si="108"/>
        <v>6</v>
      </c>
      <c r="E219" s="1575">
        <v>1</v>
      </c>
      <c r="F219" s="1611">
        <f t="shared" si="109"/>
        <v>120.71534390275133</v>
      </c>
      <c r="G219" s="1582">
        <f t="shared" si="110"/>
        <v>40.238447967583774</v>
      </c>
      <c r="H219" s="1583">
        <f t="shared" si="111"/>
        <v>1.7320508075688772</v>
      </c>
      <c r="I219" s="1594">
        <f t="shared" si="112"/>
        <v>69.695036297571718</v>
      </c>
      <c r="J219" s="1680" t="s">
        <v>542</v>
      </c>
      <c r="K219" s="1417" t="s">
        <v>326</v>
      </c>
      <c r="L219" s="1414">
        <v>170</v>
      </c>
      <c r="M219" s="1423"/>
      <c r="N219" s="1414">
        <v>1950</v>
      </c>
      <c r="O219" s="1413">
        <v>125</v>
      </c>
      <c r="P219" s="1413">
        <v>0.86</v>
      </c>
      <c r="Q219" s="1415">
        <v>5.5</v>
      </c>
      <c r="R219" s="1413">
        <v>0.3</v>
      </c>
      <c r="S219" s="1688">
        <v>0.1</v>
      </c>
      <c r="T219" s="1624">
        <v>13</v>
      </c>
      <c r="U219" s="1616" t="s">
        <v>645</v>
      </c>
      <c r="V219" s="1622">
        <f>IF(E219=1,IF(U219="N",LOOKUP(T219,'HS250-DATA'!C$7:C$10,'HS250-DATA'!D$7:D$10),IF(U219="Y",LOOKUP(T219,'HS250-DATA'!C$22:C$25,'HS250-DATA'!D$22:D$25),"FAN?")),IF(U219="N",LOOKUP(T219,'HS250-DATA'!C$14:C$17,'HS250-DATA'!D$14:D$17),IF(U219="Y",LOOKUP(T219,'HS250-DATA'!C$29:C$32,'HS250-DATA'!D$29:D$32),"FAN?")))</f>
        <v>0.11</v>
      </c>
      <c r="W219" s="1602">
        <f t="shared" si="113"/>
        <v>61.320754716981156</v>
      </c>
      <c r="X219" s="1602">
        <f t="shared" si="114"/>
        <v>367.92452830188694</v>
      </c>
      <c r="Y219" s="1602">
        <f t="shared" si="115"/>
        <v>367.92452830188694</v>
      </c>
      <c r="Z219" s="1579">
        <f t="shared" si="116"/>
        <v>120</v>
      </c>
      <c r="AA219" s="1602">
        <f t="shared" si="117"/>
        <v>95.471698113207566</v>
      </c>
      <c r="AB219" s="1588">
        <v>55</v>
      </c>
      <c r="AC219" s="1570"/>
      <c r="AD219" s="1564">
        <f t="shared" si="118"/>
        <v>1.6499999999999997E-2</v>
      </c>
      <c r="AE219" s="1634">
        <f t="shared" si="119"/>
        <v>0.86</v>
      </c>
      <c r="AF219" s="1635">
        <f t="shared" si="120"/>
        <v>-61.320754716981128</v>
      </c>
      <c r="AG219" s="1636">
        <f t="shared" si="121"/>
        <v>4.7867698113207542</v>
      </c>
      <c r="AH219" s="1741">
        <f t="shared" si="122"/>
        <v>67.42</v>
      </c>
      <c r="AI219" s="1607"/>
      <c r="AJ219" s="1733">
        <f>C219*LOOKUP(T219,'HS250-DATA'!C$7:C$10,'HS250-DATA'!F$7:F$10)</f>
        <v>24.55</v>
      </c>
      <c r="AK219" s="1733">
        <f t="shared" si="123"/>
        <v>12</v>
      </c>
      <c r="AL219" s="1733">
        <f>C219*E219*VLOOKUP(K219,'SCR-Diode DATA'!D$7:M$43,10,FALSE)</f>
        <v>30.87</v>
      </c>
      <c r="AM219" s="507">
        <f t="shared" si="124"/>
        <v>0.55850397986119948</v>
      </c>
    </row>
    <row r="220" spans="1:39" ht="11.25" customHeight="1">
      <c r="A220" s="1598"/>
      <c r="B220" s="1533"/>
      <c r="C220" s="1600"/>
      <c r="D220" s="1575"/>
      <c r="E220" s="1575"/>
      <c r="F220" s="1611"/>
      <c r="G220" s="1582"/>
      <c r="H220" s="1583"/>
      <c r="I220" s="1594"/>
      <c r="J220" s="1680"/>
      <c r="K220" s="1417"/>
      <c r="L220" s="1414"/>
      <c r="M220" s="1423"/>
      <c r="N220" s="1414"/>
      <c r="O220" s="1413"/>
      <c r="P220" s="1413"/>
      <c r="Q220" s="1415"/>
      <c r="R220" s="1413"/>
      <c r="S220" s="1688"/>
      <c r="T220" s="1624"/>
      <c r="U220" s="1616"/>
      <c r="V220" s="1622"/>
      <c r="W220" s="1602"/>
      <c r="X220" s="1602"/>
      <c r="Y220" s="1602"/>
      <c r="Z220" s="1579"/>
      <c r="AA220" s="1602"/>
      <c r="AB220" s="1588"/>
      <c r="AC220" s="1570"/>
      <c r="AD220" s="1564"/>
      <c r="AE220" s="1634"/>
      <c r="AF220" s="1635"/>
      <c r="AG220" s="1636"/>
      <c r="AH220" s="1742"/>
      <c r="AI220" s="1607"/>
      <c r="AJ220" s="1607"/>
      <c r="AK220" s="1607"/>
      <c r="AL220" s="1733"/>
      <c r="AM220" s="494"/>
    </row>
    <row r="221" spans="1:39" ht="18.75">
      <c r="A221" s="1598">
        <v>3</v>
      </c>
      <c r="B221" s="1533">
        <f t="shared" si="125"/>
        <v>6</v>
      </c>
      <c r="C221" s="1600">
        <v>1</v>
      </c>
      <c r="D221" s="1575">
        <f>B221/C221</f>
        <v>6</v>
      </c>
      <c r="E221" s="1575">
        <v>3</v>
      </c>
      <c r="F221" s="1611">
        <f>IF(A221=3,3*G221,IF(A221=1,2*G221,IF(A221="bd",1*G221,IF(A221="fwd",1,"Error"))))</f>
        <v>161.92423787307325</v>
      </c>
      <c r="G221" s="1582">
        <f>(-AE221+SQRT(AG221))/2/AD221</f>
        <v>53.974745957691084</v>
      </c>
      <c r="H221" s="1583">
        <f>IF(A221=3,SQRT(3),IF(A221=1,SQRT(2),1))</f>
        <v>1.7320508075688772</v>
      </c>
      <c r="I221" s="1594">
        <f>H221*G221</f>
        <v>93.487002324343834</v>
      </c>
      <c r="J221" s="1680" t="s">
        <v>548</v>
      </c>
      <c r="K221" s="1418" t="s">
        <v>549</v>
      </c>
      <c r="L221" s="1419">
        <v>90</v>
      </c>
      <c r="M221" s="1419">
        <v>150</v>
      </c>
      <c r="N221" s="1419">
        <v>1950</v>
      </c>
      <c r="O221" s="1412">
        <v>125</v>
      </c>
      <c r="P221" s="1416">
        <v>0.9</v>
      </c>
      <c r="Q221" s="1416">
        <v>2</v>
      </c>
      <c r="R221" s="1416">
        <v>0.28000000000000003</v>
      </c>
      <c r="S221" s="1687">
        <v>0.2</v>
      </c>
      <c r="T221" s="1624">
        <v>13</v>
      </c>
      <c r="U221" s="1616" t="s">
        <v>645</v>
      </c>
      <c r="V221" s="1622">
        <f>IF(E221=1,IF(U221="N",LOOKUP(T221,'HS250-DATA'!C$7:C$10,'HS250-DATA'!D$7:D$10),IF(U221="Y",LOOKUP(T221,'HS250-DATA'!C$22:C$25,'HS250-DATA'!D$22:D$25),"FAN?")),IF(U221="N",LOOKUP(T221,'HS250-DATA'!C$14:C$17,'HS250-DATA'!D$14:D$17),IF(U221="Y",LOOKUP(T221,'HS250-DATA'!C$29:C$32,'HS250-DATA'!D$29:D$32),"FAN?")))</f>
        <v>8.4000000000000005E-2</v>
      </c>
      <c r="W221" s="1602">
        <f>(G221*H221)^2*Q221*10^-3+G221*P221</f>
        <v>66.056910569105725</v>
      </c>
      <c r="X221" s="1602">
        <f>D221*W221</f>
        <v>396.34146341463435</v>
      </c>
      <c r="Y221" s="1602">
        <f>IF(A221=3,W221*6,IF(A221=1,W221*4,W221))</f>
        <v>396.34146341463435</v>
      </c>
      <c r="Z221" s="1579">
        <f>O221-5</f>
        <v>120</v>
      </c>
      <c r="AA221" s="1602">
        <f>D221*W221*V221+AB221</f>
        <v>88.292682926829286</v>
      </c>
      <c r="AB221" s="1588">
        <v>55</v>
      </c>
      <c r="AC221" s="1570"/>
      <c r="AD221" s="1564">
        <f>Q221*10^-3*H221^2</f>
        <v>5.9999999999999993E-3</v>
      </c>
      <c r="AE221" s="1634">
        <f>P221</f>
        <v>0.9</v>
      </c>
      <c r="AF221" s="1635">
        <f>(AB221-Z221)/(R221+S221+D221*V221)</f>
        <v>-66.056910569105696</v>
      </c>
      <c r="AG221" s="1636">
        <f>AE221^2-4*AD221*AF221</f>
        <v>2.3953658536585367</v>
      </c>
      <c r="AH221" s="1741">
        <f>SUM(AJ221:AL221)</f>
        <v>75.55</v>
      </c>
      <c r="AI221" s="1607"/>
      <c r="AJ221" s="1733">
        <f>C221*LOOKUP(T221,'HS250-DATA'!C$7:C$10,'HS250-DATA'!F$7:F$10)</f>
        <v>24.55</v>
      </c>
      <c r="AK221" s="1733">
        <f>IF(U221="Y",C221*12,0)</f>
        <v>12</v>
      </c>
      <c r="AL221" s="1733">
        <f>C221*E221*VLOOKUP(K221,'SCR-Diode DATA'!D$7:M$43,10,FALSE)</f>
        <v>39</v>
      </c>
      <c r="AM221" s="507">
        <f>AH221/F221</f>
        <v>0.46657622720584302</v>
      </c>
    </row>
    <row r="222" spans="1:39" ht="18.75">
      <c r="A222" s="1598">
        <v>3</v>
      </c>
      <c r="B222" s="1533">
        <f t="shared" si="125"/>
        <v>6</v>
      </c>
      <c r="C222" s="1600">
        <v>3</v>
      </c>
      <c r="D222" s="1575">
        <f>B222/C222</f>
        <v>2</v>
      </c>
      <c r="E222" s="1575">
        <v>1</v>
      </c>
      <c r="F222" s="1611">
        <f>IF(A222=3,3*G222,IF(A222=1,2*G222,IF(A222="bd",1*G222,IF(A222="fwd",1,"Error"))))</f>
        <v>210.78746458074528</v>
      </c>
      <c r="G222" s="1582">
        <f>(-AE222+SQRT(AG222))/2/AD222</f>
        <v>70.26248819358176</v>
      </c>
      <c r="H222" s="1583">
        <f>IF(A222=3,SQRT(3),IF(A222=1,SQRT(2),1))</f>
        <v>1.7320508075688772</v>
      </c>
      <c r="I222" s="1594">
        <f>H222*G222</f>
        <v>121.69819941749199</v>
      </c>
      <c r="J222" s="1680" t="s">
        <v>548</v>
      </c>
      <c r="K222" s="1418" t="s">
        <v>549</v>
      </c>
      <c r="L222" s="1419">
        <v>90</v>
      </c>
      <c r="M222" s="1419">
        <v>150</v>
      </c>
      <c r="N222" s="1419">
        <v>1950</v>
      </c>
      <c r="O222" s="1412">
        <v>125</v>
      </c>
      <c r="P222" s="1416">
        <v>0.9</v>
      </c>
      <c r="Q222" s="1416">
        <v>2</v>
      </c>
      <c r="R222" s="1416">
        <v>0.28000000000000003</v>
      </c>
      <c r="S222" s="1687">
        <v>0.2</v>
      </c>
      <c r="T222" s="1624">
        <v>13</v>
      </c>
      <c r="U222" s="1616" t="s">
        <v>645</v>
      </c>
      <c r="V222" s="1622">
        <f>IF(E222=1,IF(U222="N",LOOKUP(T222,'HS250-DATA'!C$7:C$10,'HS250-DATA'!D$7:D$10),IF(U222="Y",LOOKUP(T222,'HS250-DATA'!C$22:C$25,'HS250-DATA'!D$22:D$25),"FAN?")),IF(U222="N",LOOKUP(T222,'HS250-DATA'!C$14:C$17,'HS250-DATA'!D$14:D$17),IF(U222="Y",LOOKUP(T222,'HS250-DATA'!C$29:C$32,'HS250-DATA'!D$29:D$32),"FAN?")))</f>
        <v>0.11</v>
      </c>
      <c r="W222" s="1602">
        <f>(G222*H222)^2*Q222*10^-3+G222*P222</f>
        <v>92.85714285714289</v>
      </c>
      <c r="X222" s="1602">
        <f>D222*W222</f>
        <v>185.71428571428578</v>
      </c>
      <c r="Y222" s="1602">
        <f>IF(A222=3,W222*6,IF(A222=1,W222*4,W222))</f>
        <v>557.14285714285734</v>
      </c>
      <c r="Z222" s="1579">
        <f>O222-5</f>
        <v>120</v>
      </c>
      <c r="AA222" s="1602">
        <f>D222*W222*V222+AB222</f>
        <v>75.428571428571431</v>
      </c>
      <c r="AB222" s="1588">
        <v>55</v>
      </c>
      <c r="AC222" s="1570"/>
      <c r="AD222" s="1564">
        <f>Q222*10^-3*H222^2</f>
        <v>5.9999999999999993E-3</v>
      </c>
      <c r="AE222" s="1634">
        <f>P222</f>
        <v>0.9</v>
      </c>
      <c r="AF222" s="1635">
        <f>(AB222-Z222)/(R222+S222+D222*V222)</f>
        <v>-92.857142857142847</v>
      </c>
      <c r="AG222" s="1636">
        <f>AE222^2-4*AD222*AF222</f>
        <v>3.0385714285714283</v>
      </c>
      <c r="AH222" s="1741">
        <f>SUM(AJ222:AL222)</f>
        <v>148.65</v>
      </c>
      <c r="AI222" s="1607"/>
      <c r="AJ222" s="1733">
        <f>C222*LOOKUP(T222,'HS250-DATA'!C$7:C$10,'HS250-DATA'!F$7:F$10)</f>
        <v>73.650000000000006</v>
      </c>
      <c r="AK222" s="1733">
        <f>IF(U222="Y",C222*12,0)</f>
        <v>36</v>
      </c>
      <c r="AL222" s="1733">
        <f>C222*E222*VLOOKUP(K222,'SCR-Diode DATA'!D$7:M$43,10,FALSE)</f>
        <v>39</v>
      </c>
      <c r="AM222" s="507">
        <f>AH222/F222</f>
        <v>0.70521271412255826</v>
      </c>
    </row>
    <row r="223" spans="1:39" ht="18.75">
      <c r="A223" s="1598">
        <v>1</v>
      </c>
      <c r="B223" s="1533">
        <f t="shared" si="125"/>
        <v>4</v>
      </c>
      <c r="C223" s="1600">
        <v>1</v>
      </c>
      <c r="D223" s="1575">
        <f>B223/C223</f>
        <v>4</v>
      </c>
      <c r="E223" s="1575">
        <v>2</v>
      </c>
      <c r="F223" s="1611">
        <f>IF(A223=3,3*G223,IF(A223=1,2*G223,IF(A223="bd",1*G223,IF(A223="fwd",1,"Error"))))</f>
        <v>135.94578920538476</v>
      </c>
      <c r="G223" s="1582">
        <f>(-AE223+SQRT(AG223))/2/AD223</f>
        <v>67.972894602692378</v>
      </c>
      <c r="H223" s="1583">
        <f>IF(A223=3,SQRT(3),IF(A223=1,SQRT(2),1))</f>
        <v>1.4142135623730951</v>
      </c>
      <c r="I223" s="1594">
        <f>H223*G223</f>
        <v>96.128189420884524</v>
      </c>
      <c r="J223" s="1680" t="s">
        <v>552</v>
      </c>
      <c r="K223" s="1418" t="s">
        <v>553</v>
      </c>
      <c r="L223" s="1419">
        <v>90</v>
      </c>
      <c r="M223" s="1419">
        <v>150</v>
      </c>
      <c r="N223" s="1419">
        <v>1950</v>
      </c>
      <c r="O223" s="1412">
        <v>125</v>
      </c>
      <c r="P223" s="1416">
        <v>0.9</v>
      </c>
      <c r="Q223" s="1416">
        <v>2</v>
      </c>
      <c r="R223" s="1416">
        <v>0.28000000000000003</v>
      </c>
      <c r="S223" s="1687">
        <v>0.2</v>
      </c>
      <c r="T223" s="1624">
        <v>13</v>
      </c>
      <c r="U223" s="1616" t="s">
        <v>645</v>
      </c>
      <c r="V223" s="1622">
        <f>IF(E223=1,IF(U223="N",LOOKUP(T223,'HS250-DATA'!C$7:C$10,'HS250-DATA'!D$7:D$10),IF(U223="Y",LOOKUP(T223,'HS250-DATA'!C$22:C$25,'HS250-DATA'!D$22:D$25),"FAN?")),IF(U223="N",LOOKUP(T223,'HS250-DATA'!C$14:C$17,'HS250-DATA'!D$14:D$17),IF(U223="Y",LOOKUP(T223,'HS250-DATA'!C$29:C$32,'HS250-DATA'!D$29:D$32),"FAN?")))</f>
        <v>8.4000000000000005E-2</v>
      </c>
      <c r="W223" s="1602">
        <f>(G223*H223)^2*Q223*10^-3+G223*P223</f>
        <v>79.656862745098053</v>
      </c>
      <c r="X223" s="1602">
        <f>D223*W223</f>
        <v>318.62745098039221</v>
      </c>
      <c r="Y223" s="1602">
        <f>IF(A223=3,W223*6,IF(A223=1,W223*4,W223))</f>
        <v>318.62745098039221</v>
      </c>
      <c r="Z223" s="1579">
        <f>O223-5</f>
        <v>120</v>
      </c>
      <c r="AA223" s="1602">
        <f>D223*W223*V223+AB223</f>
        <v>81.764705882352956</v>
      </c>
      <c r="AB223" s="1588">
        <v>55</v>
      </c>
      <c r="AC223" s="1570"/>
      <c r="AD223" s="1564">
        <f>Q223*10^-3*H223^2</f>
        <v>4.000000000000001E-3</v>
      </c>
      <c r="AE223" s="1634">
        <f>P223</f>
        <v>0.9</v>
      </c>
      <c r="AF223" s="1635">
        <f>(AB223-Z223)/(R223+S223+D223*V223)</f>
        <v>-79.656862745098039</v>
      </c>
      <c r="AG223" s="1636">
        <f>AE223^2-4*AD223*AF223</f>
        <v>2.084509803921569</v>
      </c>
      <c r="AH223" s="1741">
        <f>SUM(AJ223:AL223)</f>
        <v>62.55</v>
      </c>
      <c r="AI223" s="1607"/>
      <c r="AJ223" s="1733">
        <f>C223*LOOKUP(T223,'HS250-DATA'!C$7:C$10,'HS250-DATA'!F$7:F$10)</f>
        <v>24.55</v>
      </c>
      <c r="AK223" s="1733">
        <f>IF(U223="Y",C223*12,0)</f>
        <v>12</v>
      </c>
      <c r="AL223" s="1733">
        <f>C223*E223*VLOOKUP(K223,'SCR-Diode DATA'!D$7:M$43,10,FALSE)</f>
        <v>26</v>
      </c>
      <c r="AM223" s="507">
        <f>AH223/F223</f>
        <v>0.4601098744257569</v>
      </c>
    </row>
    <row r="224" spans="1:39" ht="18.75">
      <c r="A224" s="1598">
        <v>1</v>
      </c>
      <c r="B224" s="1533">
        <f t="shared" si="125"/>
        <v>4</v>
      </c>
      <c r="C224" s="1600">
        <v>2</v>
      </c>
      <c r="D224" s="1575">
        <f>B224/C224</f>
        <v>2</v>
      </c>
      <c r="E224" s="1575">
        <v>1</v>
      </c>
      <c r="F224" s="1611">
        <f>IF(A224=3,3*G224,IF(A224=1,2*G224,IF(A224="bd",1*G224,IF(A224="fwd",1,"Error"))))</f>
        <v>153.79036795718929</v>
      </c>
      <c r="G224" s="1582">
        <f>(-AE224+SQRT(AG224))/2/AD224</f>
        <v>76.895183978594645</v>
      </c>
      <c r="H224" s="1583">
        <f>IF(A224=3,SQRT(3),IF(A224=1,SQRT(2),1))</f>
        <v>1.4142135623730951</v>
      </c>
      <c r="I224" s="1594">
        <f>H224*G224</f>
        <v>108.74621206370288</v>
      </c>
      <c r="J224" s="1680" t="s">
        <v>552</v>
      </c>
      <c r="K224" s="1418" t="s">
        <v>553</v>
      </c>
      <c r="L224" s="1419">
        <v>90</v>
      </c>
      <c r="M224" s="1419">
        <v>150</v>
      </c>
      <c r="N224" s="1419">
        <v>1950</v>
      </c>
      <c r="O224" s="1412">
        <v>125</v>
      </c>
      <c r="P224" s="1416">
        <v>0.9</v>
      </c>
      <c r="Q224" s="1416">
        <v>2</v>
      </c>
      <c r="R224" s="1416">
        <v>0.28000000000000003</v>
      </c>
      <c r="S224" s="1687">
        <v>0.2</v>
      </c>
      <c r="T224" s="1624">
        <v>13</v>
      </c>
      <c r="U224" s="1616" t="s">
        <v>645</v>
      </c>
      <c r="V224" s="1622">
        <f>IF(E224=1,IF(U224="N",LOOKUP(T224,'HS250-DATA'!C$7:C$10,'HS250-DATA'!D$7:D$10),IF(U224="Y",LOOKUP(T224,'HS250-DATA'!C$22:C$25,'HS250-DATA'!D$22:D$25),"FAN?")),IF(U224="N",LOOKUP(T224,'HS250-DATA'!C$14:C$17,'HS250-DATA'!D$14:D$17),IF(U224="Y",LOOKUP(T224,'HS250-DATA'!C$29:C$32,'HS250-DATA'!D$29:D$32),"FAN?")))</f>
        <v>0.11</v>
      </c>
      <c r="W224" s="1602">
        <f>(G224*H224)^2*Q224*10^-3+G224*P224</f>
        <v>92.857142857142861</v>
      </c>
      <c r="X224" s="1602">
        <f>D224*W224</f>
        <v>185.71428571428572</v>
      </c>
      <c r="Y224" s="1602">
        <f>IF(A224=3,W224*6,IF(A224=1,W224*4,W224))</f>
        <v>371.42857142857144</v>
      </c>
      <c r="Z224" s="1579">
        <f>O224-5</f>
        <v>120</v>
      </c>
      <c r="AA224" s="1602">
        <f>D224*W224*V224+AB224</f>
        <v>75.428571428571431</v>
      </c>
      <c r="AB224" s="1588">
        <v>55</v>
      </c>
      <c r="AC224" s="1570"/>
      <c r="AD224" s="1564">
        <f>Q224*10^-3*H224^2</f>
        <v>4.000000000000001E-3</v>
      </c>
      <c r="AE224" s="1634">
        <f>P224</f>
        <v>0.9</v>
      </c>
      <c r="AF224" s="1635">
        <f>(AB224-Z224)/(R224+S224+D224*V224)</f>
        <v>-92.857142857142847</v>
      </c>
      <c r="AG224" s="1636">
        <f>AE224^2-4*AD224*AF224</f>
        <v>2.2957142857142863</v>
      </c>
      <c r="AH224" s="1741">
        <f>SUM(AJ224:AL224)</f>
        <v>99.1</v>
      </c>
      <c r="AI224" s="1607"/>
      <c r="AJ224" s="1733">
        <f>C224*LOOKUP(T224,'HS250-DATA'!C$7:C$10,'HS250-DATA'!F$7:F$10)</f>
        <v>49.1</v>
      </c>
      <c r="AK224" s="1733">
        <f>IF(U224="Y",C224*12,0)</f>
        <v>24</v>
      </c>
      <c r="AL224" s="1733">
        <f>C224*E224*VLOOKUP(K224,'SCR-Diode DATA'!D$7:M$43,10,FALSE)</f>
        <v>26</v>
      </c>
      <c r="AM224" s="507">
        <f>AH224/F224</f>
        <v>0.64438365884908033</v>
      </c>
    </row>
    <row r="225" spans="1:39" ht="18.75">
      <c r="A225" s="1598"/>
      <c r="B225" s="1533"/>
      <c r="C225" s="1600"/>
      <c r="D225" s="1575"/>
      <c r="E225" s="1575"/>
      <c r="F225" s="1611"/>
      <c r="G225" s="1582"/>
      <c r="H225" s="1583"/>
      <c r="I225" s="1594"/>
      <c r="J225" s="1680"/>
      <c r="K225" s="1418"/>
      <c r="L225" s="1419"/>
      <c r="M225" s="1419"/>
      <c r="N225" s="1419"/>
      <c r="O225" s="1412"/>
      <c r="P225" s="1416"/>
      <c r="Q225" s="1416"/>
      <c r="R225" s="1416"/>
      <c r="S225" s="1687"/>
      <c r="T225" s="1624"/>
      <c r="U225" s="1616"/>
      <c r="V225" s="1622"/>
      <c r="W225" s="1602"/>
      <c r="X225" s="1602"/>
      <c r="Y225" s="1602"/>
      <c r="Z225" s="1579"/>
      <c r="AA225" s="1602"/>
      <c r="AB225" s="1588"/>
      <c r="AC225" s="1570"/>
      <c r="AD225" s="1564"/>
      <c r="AE225" s="1634"/>
      <c r="AF225" s="1635"/>
      <c r="AG225" s="1636"/>
      <c r="AH225" s="1742"/>
      <c r="AI225" s="1607"/>
      <c r="AJ225" s="1607"/>
      <c r="AK225" s="1607"/>
      <c r="AL225" s="1733"/>
      <c r="AM225" s="1743"/>
    </row>
    <row r="226" spans="1:39" ht="18.75">
      <c r="A226" s="1598">
        <v>3</v>
      </c>
      <c r="B226" s="1533">
        <f t="shared" si="125"/>
        <v>6</v>
      </c>
      <c r="C226" s="1600">
        <v>1</v>
      </c>
      <c r="D226" s="1575">
        <f>B226/C226</f>
        <v>6</v>
      </c>
      <c r="E226" s="1575">
        <v>3</v>
      </c>
      <c r="F226" s="1611">
        <f>IF(A226=3,3*G226,IF(A226=1,2*G226,IF(A226="bd",1*G226,IF(A226="fwd",1,"Error"))))</f>
        <v>214.89997959197399</v>
      </c>
      <c r="G226" s="1582">
        <f>(-AE226+SQRT(AG226))/2/AD226</f>
        <v>71.633326530657996</v>
      </c>
      <c r="H226" s="1583">
        <f>IF(A226=3,SQRT(3),IF(A226=1,SQRT(2),1))</f>
        <v>1.7320508075688772</v>
      </c>
      <c r="I226" s="1594">
        <f>H226*G226</f>
        <v>124.07256106627126</v>
      </c>
      <c r="J226" s="1680" t="s">
        <v>548</v>
      </c>
      <c r="K226" s="1418" t="s">
        <v>554</v>
      </c>
      <c r="L226" s="1419">
        <v>160</v>
      </c>
      <c r="M226" s="1419">
        <v>250</v>
      </c>
      <c r="N226" s="1419">
        <v>4100</v>
      </c>
      <c r="O226" s="1412">
        <v>125</v>
      </c>
      <c r="P226" s="1416">
        <v>0.85</v>
      </c>
      <c r="Q226" s="1416">
        <v>1.5</v>
      </c>
      <c r="R226" s="1416">
        <v>0.17</v>
      </c>
      <c r="S226" s="1687">
        <v>0.1</v>
      </c>
      <c r="T226" s="1624">
        <v>13</v>
      </c>
      <c r="U226" s="1616" t="s">
        <v>645</v>
      </c>
      <c r="V226" s="1622">
        <f>IF(E226=1,IF(U226="N",LOOKUP(T226,'HS250-DATA'!C$7:C$10,'HS250-DATA'!D$7:D$10),IF(U226="Y",LOOKUP(T226,'HS250-DATA'!C$22:C$25,'HS250-DATA'!D$22:D$25),"FAN?")),IF(U226="N",LOOKUP(T226,'HS250-DATA'!C$14:C$17,'HS250-DATA'!D$14:D$17),IF(U226="Y",LOOKUP(T226,'HS250-DATA'!C$29:C$32,'HS250-DATA'!D$29:D$32),"FAN?")))</f>
        <v>8.4000000000000005E-2</v>
      </c>
      <c r="W226" s="1602">
        <f>(G226*H226)^2*Q226*10^-3+G226*P226</f>
        <v>83.97932816537471</v>
      </c>
      <c r="X226" s="1602">
        <f>D226*W226</f>
        <v>503.87596899224826</v>
      </c>
      <c r="Y226" s="1602">
        <f>IF(A226=3,W226*6,IF(A226=1,W226*4,W226))</f>
        <v>503.87596899224826</v>
      </c>
      <c r="Z226" s="1579">
        <f>O226-5</f>
        <v>120</v>
      </c>
      <c r="AA226" s="1602">
        <f>D226*W226*V226+AB226</f>
        <v>97.325581395348848</v>
      </c>
      <c r="AB226" s="1588">
        <v>55</v>
      </c>
      <c r="AC226" s="1570"/>
      <c r="AD226" s="1564">
        <f>Q226*10^-3*H226^2</f>
        <v>4.4999999999999997E-3</v>
      </c>
      <c r="AE226" s="1634">
        <f>P226</f>
        <v>0.85</v>
      </c>
      <c r="AF226" s="1635">
        <f>(AB226-Z226)/(R226+S226+D226*V226)</f>
        <v>-83.979328165374682</v>
      </c>
      <c r="AG226" s="1636">
        <f>AE226^2-4*AD226*AF226</f>
        <v>2.2341279069767443</v>
      </c>
      <c r="AH226" s="1741">
        <f>SUM(AJ226:AL226)</f>
        <v>144.55000000000001</v>
      </c>
      <c r="AI226" s="1607"/>
      <c r="AJ226" s="1733">
        <f>C226*LOOKUP(T226,'HS250-DATA'!C$7:C$10,'HS250-DATA'!F$7:F$10)</f>
        <v>24.55</v>
      </c>
      <c r="AK226" s="1733">
        <f>IF(U226="Y",C226*12,0)</f>
        <v>12</v>
      </c>
      <c r="AL226" s="1733">
        <f>C226*E226*VLOOKUP(K226,'SCR-Diode DATA'!D$7:M$43,10,FALSE)</f>
        <v>108</v>
      </c>
      <c r="AM226" s="507">
        <f>AH226/F226</f>
        <v>0.67263850035934869</v>
      </c>
    </row>
    <row r="227" spans="1:39" ht="18.75">
      <c r="A227" s="1598">
        <v>3</v>
      </c>
      <c r="B227" s="1533">
        <f t="shared" si="125"/>
        <v>6</v>
      </c>
      <c r="C227" s="1600">
        <v>3</v>
      </c>
      <c r="D227" s="1575">
        <f>B227/C227</f>
        <v>2</v>
      </c>
      <c r="E227" s="1575">
        <v>1</v>
      </c>
      <c r="F227" s="1611">
        <f>IF(A227=3,3*G227,IF(A227=1,2*G227,IF(A227="bd",1*G227,IF(A227="fwd",1,"Error"))))</f>
        <v>304.53051163993717</v>
      </c>
      <c r="G227" s="1582">
        <f>(-AE227+SQRT(AG227))/2/AD227</f>
        <v>101.51017054664572</v>
      </c>
      <c r="H227" s="1583">
        <f>IF(A227=3,SQRT(3),IF(A227=1,SQRT(2),1))</f>
        <v>1.7320508075688772</v>
      </c>
      <c r="I227" s="1594">
        <f>H227*G227</f>
        <v>175.82077287177219</v>
      </c>
      <c r="J227" s="1680" t="s">
        <v>548</v>
      </c>
      <c r="K227" s="1418" t="s">
        <v>554</v>
      </c>
      <c r="L227" s="1419">
        <v>160</v>
      </c>
      <c r="M227" s="1419">
        <v>250</v>
      </c>
      <c r="N227" s="1419">
        <v>4100</v>
      </c>
      <c r="O227" s="1412">
        <v>125</v>
      </c>
      <c r="P227" s="1416">
        <v>0.85</v>
      </c>
      <c r="Q227" s="1416">
        <v>1.5</v>
      </c>
      <c r="R227" s="1416">
        <v>0.17</v>
      </c>
      <c r="S227" s="1687">
        <v>0.1</v>
      </c>
      <c r="T227" s="1624">
        <v>13</v>
      </c>
      <c r="U227" s="1616" t="s">
        <v>645</v>
      </c>
      <c r="V227" s="1622">
        <f>IF(E227=1,IF(U227="N",LOOKUP(T227,'HS250-DATA'!C$7:C$10,'HS250-DATA'!D$7:D$10),IF(U227="Y",LOOKUP(T227,'HS250-DATA'!C$22:C$25,'HS250-DATA'!D$22:D$25),"FAN?")),IF(U227="N",LOOKUP(T227,'HS250-DATA'!C$14:C$17,'HS250-DATA'!D$14:D$17),IF(U227="Y",LOOKUP(T227,'HS250-DATA'!C$29:C$32,'HS250-DATA'!D$29:D$32),"FAN?")))</f>
        <v>0.11</v>
      </c>
      <c r="W227" s="1602">
        <f>(G227*H227)^2*Q227*10^-3+G227*P227</f>
        <v>132.65306122448982</v>
      </c>
      <c r="X227" s="1602">
        <f>D227*W227</f>
        <v>265.30612244897964</v>
      </c>
      <c r="Y227" s="1602">
        <f>IF(A227=3,W227*6,IF(A227=1,W227*4,W227))</f>
        <v>795.91836734693891</v>
      </c>
      <c r="Z227" s="1579">
        <f>O227-5</f>
        <v>120</v>
      </c>
      <c r="AA227" s="1602">
        <f>D227*W227*V227+AB227</f>
        <v>84.183673469387756</v>
      </c>
      <c r="AB227" s="1588">
        <v>55</v>
      </c>
      <c r="AC227" s="1570"/>
      <c r="AD227" s="1564">
        <f>Q227*10^-3*H227^2</f>
        <v>4.4999999999999997E-3</v>
      </c>
      <c r="AE227" s="1634">
        <f>P227</f>
        <v>0.85</v>
      </c>
      <c r="AF227" s="1635">
        <f>(AB227-Z227)/(R227+S227+D227*V227)</f>
        <v>-132.65306122448979</v>
      </c>
      <c r="AG227" s="1636">
        <f>AE227^2-4*AD227*AF227</f>
        <v>3.1102551020408162</v>
      </c>
      <c r="AH227" s="1741">
        <f>SUM(AJ227:AL227)</f>
        <v>217.65</v>
      </c>
      <c r="AI227" s="1607"/>
      <c r="AJ227" s="1733">
        <f>C227*LOOKUP(T227,'HS250-DATA'!C$7:C$10,'HS250-DATA'!F$7:F$10)</f>
        <v>73.650000000000006</v>
      </c>
      <c r="AK227" s="1733">
        <f>IF(U227="Y",C227*12,0)</f>
        <v>36</v>
      </c>
      <c r="AL227" s="1733">
        <f>C227*E227*VLOOKUP(K227,'SCR-Diode DATA'!D$7:M$43,10,FALSE)</f>
        <v>108</v>
      </c>
      <c r="AM227" s="507">
        <f>AH227/F227</f>
        <v>0.71470670977409101</v>
      </c>
    </row>
    <row r="228" spans="1:39" ht="18.75">
      <c r="A228" s="1598">
        <v>1</v>
      </c>
      <c r="B228" s="1533">
        <f t="shared" si="125"/>
        <v>4</v>
      </c>
      <c r="C228" s="1600">
        <v>1</v>
      </c>
      <c r="D228" s="1575">
        <f>B228/C228</f>
        <v>4</v>
      </c>
      <c r="E228" s="1575">
        <v>2</v>
      </c>
      <c r="F228" s="1611">
        <f>IF(A228=3,3*G228,IF(A228=1,2*G228,IF(A228="bd",1*G228,IF(A228="fwd",1,"Error"))))</f>
        <v>189.20457965135068</v>
      </c>
      <c r="G228" s="1582">
        <f>(-AE228+SQRT(AG228))/2/AD228</f>
        <v>94.602289825675342</v>
      </c>
      <c r="H228" s="1583">
        <f>IF(A228=3,SQRT(3),IF(A228=1,SQRT(2),1))</f>
        <v>1.4142135623730951</v>
      </c>
      <c r="I228" s="1594">
        <f>H228*G228</f>
        <v>133.78784130302034</v>
      </c>
      <c r="J228" s="1680" t="s">
        <v>552</v>
      </c>
      <c r="K228" s="1418" t="s">
        <v>555</v>
      </c>
      <c r="L228" s="1419">
        <v>160</v>
      </c>
      <c r="M228" s="1419">
        <v>250</v>
      </c>
      <c r="N228" s="1419">
        <v>4100</v>
      </c>
      <c r="O228" s="1412">
        <v>125</v>
      </c>
      <c r="P228" s="1416">
        <v>0.85</v>
      </c>
      <c r="Q228" s="1416">
        <v>1.5</v>
      </c>
      <c r="R228" s="1416">
        <v>0.17</v>
      </c>
      <c r="S228" s="1687">
        <v>0.1</v>
      </c>
      <c r="T228" s="1624">
        <v>13</v>
      </c>
      <c r="U228" s="1616" t="s">
        <v>645</v>
      </c>
      <c r="V228" s="1622">
        <f>IF(E228=1,IF(U228="N",LOOKUP(T228,'HS250-DATA'!C$7:C$10,'HS250-DATA'!D$7:D$10),IF(U228="Y",LOOKUP(T228,'HS250-DATA'!C$22:C$25,'HS250-DATA'!D$22:D$25),"FAN?")),IF(U228="N",LOOKUP(T228,'HS250-DATA'!C$14:C$17,'HS250-DATA'!D$14:D$17),IF(U228="Y",LOOKUP(T228,'HS250-DATA'!C$29:C$32,'HS250-DATA'!D$29:D$32),"FAN?")))</f>
        <v>8.4000000000000005E-2</v>
      </c>
      <c r="W228" s="1602">
        <f>(G228*H228)^2*Q228*10^-3+G228*P228</f>
        <v>107.26072607260727</v>
      </c>
      <c r="X228" s="1602">
        <f>D228*W228</f>
        <v>429.04290429042908</v>
      </c>
      <c r="Y228" s="1602">
        <f>IF(A228=3,W228*6,IF(A228=1,W228*4,W228))</f>
        <v>429.04290429042908</v>
      </c>
      <c r="Z228" s="1579">
        <f>O228-5</f>
        <v>120</v>
      </c>
      <c r="AA228" s="1602">
        <f>D228*W228*V228+AB228</f>
        <v>91.03960396039605</v>
      </c>
      <c r="AB228" s="1588">
        <v>55</v>
      </c>
      <c r="AC228" s="1570"/>
      <c r="AD228" s="1564">
        <f>Q228*10^-3*H228^2</f>
        <v>3.0000000000000009E-3</v>
      </c>
      <c r="AE228" s="1634">
        <f>P228</f>
        <v>0.85</v>
      </c>
      <c r="AF228" s="1635">
        <f>(AB228-Z228)/(R228+S228+D228*V228)</f>
        <v>-107.26072607260724</v>
      </c>
      <c r="AG228" s="1636">
        <f>AE228^2-4*AD228*AF228</f>
        <v>2.0096287128712875</v>
      </c>
      <c r="AH228" s="1741">
        <f>SUM(AJ228:AL228)</f>
        <v>108.55</v>
      </c>
      <c r="AI228" s="1607"/>
      <c r="AJ228" s="1733">
        <f>C228*LOOKUP(T228,'HS250-DATA'!C$7:C$10,'HS250-DATA'!F$7:F$10)</f>
        <v>24.55</v>
      </c>
      <c r="AK228" s="1733">
        <f>IF(U228="Y",C228*12,0)</f>
        <v>12</v>
      </c>
      <c r="AL228" s="1733">
        <f>C228*E228*VLOOKUP(K228,'SCR-Diode DATA'!D$7:M$43,10,FALSE)</f>
        <v>72</v>
      </c>
      <c r="AM228" s="507">
        <f>AH228/F228</f>
        <v>0.57371761402406984</v>
      </c>
    </row>
    <row r="229" spans="1:39" ht="18.75">
      <c r="A229" s="1598">
        <v>1</v>
      </c>
      <c r="B229" s="1533">
        <f t="shared" si="125"/>
        <v>4</v>
      </c>
      <c r="C229" s="1600">
        <v>2</v>
      </c>
      <c r="D229" s="1575">
        <f>B229/C229</f>
        <v>2</v>
      </c>
      <c r="E229" s="1575">
        <v>1</v>
      </c>
      <c r="F229" s="1611">
        <f>IF(A229=3,3*G229,IF(A229=1,2*G229,IF(A229="bd",1*G229,IF(A229="fwd",1,"Error"))))</f>
        <v>223.7648091175117</v>
      </c>
      <c r="G229" s="1582">
        <f>(-AE229+SQRT(AG229))/2/AD229</f>
        <v>111.88240455875585</v>
      </c>
      <c r="H229" s="1583">
        <f>IF(A229=3,SQRT(3),IF(A229=1,SQRT(2),1))</f>
        <v>1.4142135623730951</v>
      </c>
      <c r="I229" s="1594">
        <f>H229*G229</f>
        <v>158.22561391790595</v>
      </c>
      <c r="J229" s="1680" t="s">
        <v>552</v>
      </c>
      <c r="K229" s="1418" t="s">
        <v>555</v>
      </c>
      <c r="L229" s="1419">
        <v>160</v>
      </c>
      <c r="M229" s="1419">
        <v>250</v>
      </c>
      <c r="N229" s="1419">
        <v>4100</v>
      </c>
      <c r="O229" s="1412">
        <v>125</v>
      </c>
      <c r="P229" s="1416">
        <v>0.85</v>
      </c>
      <c r="Q229" s="1416">
        <v>1.5</v>
      </c>
      <c r="R229" s="1416">
        <v>0.17</v>
      </c>
      <c r="S229" s="1687">
        <v>0.1</v>
      </c>
      <c r="T229" s="1624">
        <v>13</v>
      </c>
      <c r="U229" s="1616" t="s">
        <v>645</v>
      </c>
      <c r="V229" s="1622">
        <f>IF(E229=1,IF(U229="N",LOOKUP(T229,'HS250-DATA'!C$7:C$10,'HS250-DATA'!D$7:D$10),IF(U229="Y",LOOKUP(T229,'HS250-DATA'!C$22:C$25,'HS250-DATA'!D$22:D$25),"FAN?")),IF(U229="N",LOOKUP(T229,'HS250-DATA'!C$14:C$17,'HS250-DATA'!D$14:D$17),IF(U229="Y",LOOKUP(T229,'HS250-DATA'!C$29:C$32,'HS250-DATA'!D$29:D$32),"FAN?")))</f>
        <v>0.11</v>
      </c>
      <c r="W229" s="1602">
        <f>(G229*H229)^2*Q229*10^-3+G229*P229</f>
        <v>132.65306122448982</v>
      </c>
      <c r="X229" s="1602">
        <f>D229*W229</f>
        <v>265.30612244897964</v>
      </c>
      <c r="Y229" s="1602">
        <f>IF(A229=3,W229*6,IF(A229=1,W229*4,W229))</f>
        <v>530.61224489795927</v>
      </c>
      <c r="Z229" s="1579">
        <f>O229-5</f>
        <v>120</v>
      </c>
      <c r="AA229" s="1602">
        <f>D229*W229*V229+AB229</f>
        <v>84.183673469387756</v>
      </c>
      <c r="AB229" s="1588">
        <v>55</v>
      </c>
      <c r="AC229" s="1570"/>
      <c r="AD229" s="1564">
        <f>Q229*10^-3*H229^2</f>
        <v>3.0000000000000009E-3</v>
      </c>
      <c r="AE229" s="1634">
        <f>P229</f>
        <v>0.85</v>
      </c>
      <c r="AF229" s="1635">
        <f>(AB229-Z229)/(R229+S229+D229*V229)</f>
        <v>-132.65306122448979</v>
      </c>
      <c r="AG229" s="1636">
        <f>AE229^2-4*AD229*AF229</f>
        <v>2.3143367346938781</v>
      </c>
      <c r="AH229" s="1741">
        <f>SUM(AJ229:AL229)</f>
        <v>145.1</v>
      </c>
      <c r="AI229" s="1607"/>
      <c r="AJ229" s="1733">
        <f>C229*LOOKUP(T229,'HS250-DATA'!C$7:C$10,'HS250-DATA'!F$7:F$10)</f>
        <v>49.1</v>
      </c>
      <c r="AK229" s="1733">
        <f>IF(U229="Y",C229*12,0)</f>
        <v>24</v>
      </c>
      <c r="AL229" s="1733">
        <f>C229*E229*VLOOKUP(K229,'SCR-Diode DATA'!D$7:M$43,10,FALSE)</f>
        <v>72</v>
      </c>
      <c r="AM229" s="507">
        <f>AH229/F229</f>
        <v>0.64844870188591486</v>
      </c>
    </row>
    <row r="230" spans="1:39" ht="18.75">
      <c r="A230" s="1598"/>
      <c r="B230" s="1533"/>
      <c r="C230" s="1600"/>
      <c r="D230" s="1575"/>
      <c r="E230" s="1575"/>
      <c r="F230" s="1611"/>
      <c r="G230" s="1582"/>
      <c r="H230" s="1583"/>
      <c r="I230" s="1594"/>
      <c r="J230" s="1680"/>
      <c r="K230" s="1418"/>
      <c r="L230" s="1419"/>
      <c r="M230" s="1419"/>
      <c r="N230" s="1419"/>
      <c r="O230" s="1412"/>
      <c r="P230" s="1416"/>
      <c r="Q230" s="1416"/>
      <c r="R230" s="1416"/>
      <c r="S230" s="1687"/>
      <c r="T230" s="1624"/>
      <c r="U230" s="1616"/>
      <c r="V230" s="1622"/>
      <c r="W230" s="1602"/>
      <c r="X230" s="1602"/>
      <c r="Y230" s="1602"/>
      <c r="Z230" s="1579"/>
      <c r="AA230" s="1602"/>
      <c r="AB230" s="1588"/>
      <c r="AC230" s="1570"/>
      <c r="AD230" s="1564"/>
      <c r="AE230" s="1634"/>
      <c r="AF230" s="1635"/>
      <c r="AG230" s="1636"/>
      <c r="AH230" s="1742"/>
      <c r="AI230" s="1607"/>
      <c r="AJ230" s="1607"/>
      <c r="AK230" s="1607"/>
      <c r="AL230" s="1733"/>
      <c r="AM230" s="1743"/>
    </row>
    <row r="231" spans="1:39" ht="18.75">
      <c r="A231" s="1598">
        <v>3</v>
      </c>
      <c r="B231" s="1533">
        <f t="shared" si="125"/>
        <v>6</v>
      </c>
      <c r="C231" s="1600">
        <v>1</v>
      </c>
      <c r="D231" s="1575">
        <f>B231/C231</f>
        <v>6</v>
      </c>
      <c r="E231" s="1575">
        <v>3</v>
      </c>
      <c r="F231" s="1611">
        <f>IF(A231=3,3*G231,IF(A231=1,2*G231,IF(A231="bd",1*G231,IF(A231="fwd",1,"Error"))))</f>
        <v>281.29700005436132</v>
      </c>
      <c r="G231" s="1582">
        <f>(-AE231+SQRT(AG231))/2/AD231</f>
        <v>93.765666684787107</v>
      </c>
      <c r="H231" s="1583">
        <f>IF(A231=3,SQRT(3),IF(A231=1,SQRT(2),1))</f>
        <v>1.7320508075688772</v>
      </c>
      <c r="I231" s="1594">
        <f>H231*G231</f>
        <v>162.40689870361967</v>
      </c>
      <c r="J231" s="1680" t="s">
        <v>548</v>
      </c>
      <c r="K231" s="1418" t="s">
        <v>469</v>
      </c>
      <c r="L231" s="1419">
        <v>250</v>
      </c>
      <c r="M231" s="1419">
        <v>393</v>
      </c>
      <c r="N231" s="1419">
        <v>8800</v>
      </c>
      <c r="O231" s="1412">
        <v>125</v>
      </c>
      <c r="P231" s="1416">
        <v>0.81899999999999995</v>
      </c>
      <c r="Q231" s="1416">
        <v>0.58899999999999997</v>
      </c>
      <c r="R231" s="1416">
        <v>0.14000000000000001</v>
      </c>
      <c r="S231" s="1687">
        <v>0.06</v>
      </c>
      <c r="T231" s="1624">
        <v>13</v>
      </c>
      <c r="U231" s="1616" t="s">
        <v>645</v>
      </c>
      <c r="V231" s="1622">
        <f>IF(E231=1,IF(U231="N",LOOKUP(T231,'HS250-DATA'!C$7:C$10,'HS250-DATA'!D$7:D$10),IF(U231="Y",LOOKUP(T231,'HS250-DATA'!C$22:C$25,'HS250-DATA'!D$22:D$25),"FAN?")),IF(U231="N",LOOKUP(T231,'HS250-DATA'!C$14:C$17,'HS250-DATA'!D$14:D$17),IF(U231="Y",LOOKUP(T231,'HS250-DATA'!C$29:C$32,'HS250-DATA'!D$29:D$32),"FAN?")))</f>
        <v>8.4000000000000005E-2</v>
      </c>
      <c r="W231" s="1602">
        <f>(G231*H231)^2*Q231*10^-3+G231*P231</f>
        <v>92.329545454545496</v>
      </c>
      <c r="X231" s="1602">
        <f>D231*W231</f>
        <v>553.97727272727298</v>
      </c>
      <c r="Y231" s="1602">
        <f>IF(A231=3,W231*6,IF(A231=1,W231*4,W231))</f>
        <v>553.97727272727298</v>
      </c>
      <c r="Z231" s="1579">
        <f>O231-5</f>
        <v>120</v>
      </c>
      <c r="AA231" s="1602">
        <f>D231*W231*V231+AB231</f>
        <v>101.53409090909093</v>
      </c>
      <c r="AB231" s="1588">
        <v>55</v>
      </c>
      <c r="AC231" s="1570"/>
      <c r="AD231" s="1564">
        <f>Q231*10^-3*H231^2</f>
        <v>1.7669999999999997E-3</v>
      </c>
      <c r="AE231" s="1634">
        <f>P231</f>
        <v>0.81899999999999995</v>
      </c>
      <c r="AF231" s="1635">
        <f>(AB231-Z231)/(R231+S231+D231*V231)</f>
        <v>-92.329545454545453</v>
      </c>
      <c r="AG231" s="1636">
        <f>AE231^2-4*AD231*AF231</f>
        <v>1.3233462272727272</v>
      </c>
      <c r="AH231" s="1741">
        <f>SUM(AJ231:AL231)</f>
        <v>261.55</v>
      </c>
      <c r="AI231" s="1607"/>
      <c r="AJ231" s="1733">
        <f>C231*LOOKUP(T231,'HS250-DATA'!C$7:C$10,'HS250-DATA'!F$7:F$10)</f>
        <v>24.55</v>
      </c>
      <c r="AK231" s="1733">
        <f>IF(U231="Y",C231*12,0)</f>
        <v>12</v>
      </c>
      <c r="AL231" s="1733">
        <f>C231*E231*VLOOKUP(K231,'SCR-Diode DATA'!D$7:M$43,10,FALSE)</f>
        <v>225</v>
      </c>
      <c r="AM231" s="507">
        <f>AH231/F231</f>
        <v>0.92980017543541116</v>
      </c>
    </row>
    <row r="232" spans="1:39" ht="18.75">
      <c r="A232" s="1598">
        <v>3</v>
      </c>
      <c r="B232" s="1533">
        <f t="shared" si="125"/>
        <v>6</v>
      </c>
      <c r="C232" s="1600">
        <v>3</v>
      </c>
      <c r="D232" s="1575">
        <f>B232/C232</f>
        <v>2</v>
      </c>
      <c r="E232" s="1575">
        <v>1</v>
      </c>
      <c r="F232" s="1611">
        <f>IF(A232=3,3*G232,IF(A232=1,2*G232,IF(A232="bd",1*G232,IF(A232="fwd",1,"Error"))))</f>
        <v>432.4187639670231</v>
      </c>
      <c r="G232" s="1582">
        <f>(-AE232+SQRT(AG232))/2/AD232</f>
        <v>144.13958798900771</v>
      </c>
      <c r="H232" s="1583">
        <f>IF(A232=3,SQRT(3),IF(A232=1,SQRT(2),1))</f>
        <v>1.7320508075688772</v>
      </c>
      <c r="I232" s="1594">
        <f>H232*G232</f>
        <v>249.65708977900604</v>
      </c>
      <c r="J232" s="1680" t="s">
        <v>548</v>
      </c>
      <c r="K232" s="1418" t="s">
        <v>469</v>
      </c>
      <c r="L232" s="1419">
        <v>250</v>
      </c>
      <c r="M232" s="1419">
        <v>393</v>
      </c>
      <c r="N232" s="1419">
        <v>8800</v>
      </c>
      <c r="O232" s="1412">
        <v>125</v>
      </c>
      <c r="P232" s="1416">
        <v>0.81899999999999995</v>
      </c>
      <c r="Q232" s="1416">
        <v>0.58899999999999997</v>
      </c>
      <c r="R232" s="1416">
        <v>0.14000000000000001</v>
      </c>
      <c r="S232" s="1687">
        <v>0.06</v>
      </c>
      <c r="T232" s="1624">
        <v>13</v>
      </c>
      <c r="U232" s="1616" t="s">
        <v>645</v>
      </c>
      <c r="V232" s="1622">
        <f>IF(E232=1,IF(U232="N",LOOKUP(T232,'HS250-DATA'!C$7:C$10,'HS250-DATA'!D$7:D$10),IF(U232="Y",LOOKUP(T232,'HS250-DATA'!C$22:C$25,'HS250-DATA'!D$22:D$25),"FAN?")),IF(U232="N",LOOKUP(T232,'HS250-DATA'!C$14:C$17,'HS250-DATA'!D$14:D$17),IF(U232="Y",LOOKUP(T232,'HS250-DATA'!C$29:C$32,'HS250-DATA'!D$29:D$32),"FAN?")))</f>
        <v>0.11</v>
      </c>
      <c r="W232" s="1602">
        <f>(G232*H232)^2*Q232*10^-3+G232*P232</f>
        <v>154.76190476190476</v>
      </c>
      <c r="X232" s="1602">
        <f>D232*W232</f>
        <v>309.52380952380952</v>
      </c>
      <c r="Y232" s="1602">
        <f>IF(A232=3,W232*6,IF(A232=1,W232*4,W232))</f>
        <v>928.57142857142856</v>
      </c>
      <c r="Z232" s="1579">
        <f>O232-5</f>
        <v>120</v>
      </c>
      <c r="AA232" s="1602">
        <f>D232*W232*V232+AB232</f>
        <v>89.047619047619037</v>
      </c>
      <c r="AB232" s="1588">
        <v>55</v>
      </c>
      <c r="AC232" s="1570"/>
      <c r="AD232" s="1564">
        <f>Q232*10^-3*H232^2</f>
        <v>1.7669999999999997E-3</v>
      </c>
      <c r="AE232" s="1634">
        <f>P232</f>
        <v>0.81899999999999995</v>
      </c>
      <c r="AF232" s="1635">
        <f>(AB232-Z232)/(R232+S232+D232*V232)</f>
        <v>-154.76190476190476</v>
      </c>
      <c r="AG232" s="1636">
        <f>AE232^2-4*AD232*AF232</f>
        <v>1.7646181428571426</v>
      </c>
      <c r="AH232" s="1741">
        <f>SUM(AJ232:AL232)</f>
        <v>334.65</v>
      </c>
      <c r="AI232" s="1607"/>
      <c r="AJ232" s="1733">
        <f>C232*LOOKUP(T232,'HS250-DATA'!C$7:C$10,'HS250-DATA'!F$7:F$10)</f>
        <v>73.650000000000006</v>
      </c>
      <c r="AK232" s="1733">
        <f>IF(U232="Y",C232*12,0)</f>
        <v>36</v>
      </c>
      <c r="AL232" s="1733">
        <f>C232*E232*VLOOKUP(K232,'SCR-Diode DATA'!D$7:M$43,10,FALSE)</f>
        <v>225</v>
      </c>
      <c r="AM232" s="507">
        <f>AH232/F232</f>
        <v>0.7739025867654552</v>
      </c>
    </row>
    <row r="233" spans="1:39" ht="18.75">
      <c r="A233" s="1598">
        <v>1</v>
      </c>
      <c r="B233" s="1533">
        <f t="shared" si="125"/>
        <v>4</v>
      </c>
      <c r="C233" s="1600">
        <v>1</v>
      </c>
      <c r="D233" s="1575">
        <f>B233/C233</f>
        <v>4</v>
      </c>
      <c r="E233" s="1575">
        <v>2</v>
      </c>
      <c r="F233" s="1611">
        <f>IF(A233=3,3*G233,IF(A233=1,2*G233,IF(A233="bd",1*G233,IF(A233="fwd",1,"Error"))))</f>
        <v>250.8750448437242</v>
      </c>
      <c r="G233" s="1582">
        <f>(-AE233+SQRT(AG233))/2/AD233</f>
        <v>125.4375224218621</v>
      </c>
      <c r="H233" s="1583">
        <f>IF(A233=3,SQRT(3),IF(A233=1,SQRT(2),1))</f>
        <v>1.4142135623730951</v>
      </c>
      <c r="I233" s="1594">
        <f>H233*G233</f>
        <v>177.39544543947659</v>
      </c>
      <c r="J233" s="1680" t="s">
        <v>552</v>
      </c>
      <c r="K233" s="1418" t="s">
        <v>556</v>
      </c>
      <c r="L233" s="1419">
        <v>250</v>
      </c>
      <c r="M233" s="1419">
        <v>393</v>
      </c>
      <c r="N233" s="1419">
        <v>8800</v>
      </c>
      <c r="O233" s="1412">
        <v>125</v>
      </c>
      <c r="P233" s="1416">
        <v>0.81899999999999995</v>
      </c>
      <c r="Q233" s="1416">
        <v>0.58899999999999997</v>
      </c>
      <c r="R233" s="1416">
        <v>0.14000000000000001</v>
      </c>
      <c r="S233" s="1687">
        <v>0.06</v>
      </c>
      <c r="T233" s="1624">
        <v>13</v>
      </c>
      <c r="U233" s="1616" t="s">
        <v>645</v>
      </c>
      <c r="V233" s="1622">
        <f>IF(E233=1,IF(U233="N",LOOKUP(T233,'HS250-DATA'!C$7:C$10,'HS250-DATA'!D$7:D$10),IF(U233="Y",LOOKUP(T233,'HS250-DATA'!C$22:C$25,'HS250-DATA'!D$22:D$25),"FAN?")),IF(U233="N",LOOKUP(T233,'HS250-DATA'!C$14:C$17,'HS250-DATA'!D$14:D$17),IF(U233="Y",LOOKUP(T233,'HS250-DATA'!C$29:C$32,'HS250-DATA'!D$29:D$32),"FAN?")))</f>
        <v>8.4000000000000005E-2</v>
      </c>
      <c r="W233" s="1602">
        <f>(G233*H233)^2*Q233*10^-3+G233*P233</f>
        <v>121.26865671641787</v>
      </c>
      <c r="X233" s="1602">
        <f>D233*W233</f>
        <v>485.07462686567146</v>
      </c>
      <c r="Y233" s="1602">
        <f>IF(A233=3,W233*6,IF(A233=1,W233*4,W233))</f>
        <v>485.07462686567146</v>
      </c>
      <c r="Z233" s="1579">
        <f>O233-5</f>
        <v>120</v>
      </c>
      <c r="AA233" s="1602">
        <f>D233*W233*V233+AB233</f>
        <v>95.74626865671641</v>
      </c>
      <c r="AB233" s="1588">
        <v>55</v>
      </c>
      <c r="AC233" s="1570"/>
      <c r="AD233" s="1564">
        <f>Q233*10^-3*H233^2</f>
        <v>1.1780000000000002E-3</v>
      </c>
      <c r="AE233" s="1634">
        <f>P233</f>
        <v>0.81899999999999995</v>
      </c>
      <c r="AF233" s="1635">
        <f>(AB233-Z233)/(R233+S233+D233*V233)</f>
        <v>-121.26865671641791</v>
      </c>
      <c r="AG233" s="1636">
        <f>AE233^2-4*AD233*AF233</f>
        <v>1.2421789104477612</v>
      </c>
      <c r="AH233" s="1741">
        <f>SUM(AJ233:AL233)</f>
        <v>186.55</v>
      </c>
      <c r="AI233" s="1607"/>
      <c r="AJ233" s="1733">
        <f>C233*LOOKUP(T233,'HS250-DATA'!C$7:C$10,'HS250-DATA'!F$7:F$10)</f>
        <v>24.55</v>
      </c>
      <c r="AK233" s="1733">
        <f>IF(U233="Y",C233*12,0)</f>
        <v>12</v>
      </c>
      <c r="AL233" s="1733">
        <f>C233*E233*VLOOKUP(K233,'SCR-Diode DATA'!D$7:M$43,10,FALSE)</f>
        <v>150</v>
      </c>
      <c r="AM233" s="507">
        <f>AH233/F233</f>
        <v>0.74359727615078763</v>
      </c>
    </row>
    <row r="234" spans="1:39" ht="18.75">
      <c r="A234" s="1598">
        <v>1</v>
      </c>
      <c r="B234" s="1533">
        <f t="shared" si="125"/>
        <v>4</v>
      </c>
      <c r="C234" s="1600">
        <v>2</v>
      </c>
      <c r="D234" s="1575">
        <f>B234/C234</f>
        <v>2</v>
      </c>
      <c r="E234" s="1575">
        <v>1</v>
      </c>
      <c r="F234" s="1611">
        <f>IF(A234=3,3*G234,IF(A234=1,2*G234,IF(A234="bd",1*G234,IF(A234="fwd",1,"Error"))))</f>
        <v>309.18130245176138</v>
      </c>
      <c r="G234" s="1582">
        <f>(-AE234+SQRT(AG234))/2/AD234</f>
        <v>154.59065122588069</v>
      </c>
      <c r="H234" s="1583">
        <f>IF(A234=3,SQRT(3),IF(A234=1,SQRT(2),1))</f>
        <v>1.4142135623730951</v>
      </c>
      <c r="I234" s="1594">
        <f>H234*G234</f>
        <v>218.62419557972942</v>
      </c>
      <c r="J234" s="1680" t="s">
        <v>552</v>
      </c>
      <c r="K234" s="1418" t="s">
        <v>556</v>
      </c>
      <c r="L234" s="1419">
        <v>250</v>
      </c>
      <c r="M234" s="1419">
        <v>393</v>
      </c>
      <c r="N234" s="1419">
        <v>8800</v>
      </c>
      <c r="O234" s="1412">
        <v>125</v>
      </c>
      <c r="P234" s="1416">
        <v>0.81899999999999995</v>
      </c>
      <c r="Q234" s="1416">
        <v>0.58899999999999997</v>
      </c>
      <c r="R234" s="1416">
        <v>0.14000000000000001</v>
      </c>
      <c r="S234" s="1687">
        <v>0.06</v>
      </c>
      <c r="T234" s="1624">
        <v>13</v>
      </c>
      <c r="U234" s="1616" t="s">
        <v>645</v>
      </c>
      <c r="V234" s="1622">
        <f>IF(E234=1,IF(U234="N",LOOKUP(T234,'HS250-DATA'!C$7:C$10,'HS250-DATA'!D$7:D$10),IF(U234="Y",LOOKUP(T234,'HS250-DATA'!C$22:C$25,'HS250-DATA'!D$22:D$25),"FAN?")),IF(U234="N",LOOKUP(T234,'HS250-DATA'!C$14:C$17,'HS250-DATA'!D$14:D$17),IF(U234="Y",LOOKUP(T234,'HS250-DATA'!C$29:C$32,'HS250-DATA'!D$29:D$32),"FAN?")))</f>
        <v>0.11</v>
      </c>
      <c r="W234" s="1602">
        <f>(G234*H234)^2*Q234*10^-3+G234*P234</f>
        <v>154.76190476190482</v>
      </c>
      <c r="X234" s="1602">
        <f>D234*W234</f>
        <v>309.52380952380963</v>
      </c>
      <c r="Y234" s="1602">
        <f>IF(A234=3,W234*6,IF(A234=1,W234*4,W234))</f>
        <v>619.04761904761926</v>
      </c>
      <c r="Z234" s="1579">
        <f>O234-5</f>
        <v>120</v>
      </c>
      <c r="AA234" s="1602">
        <f>D234*W234*V234+AB234</f>
        <v>89.047619047619065</v>
      </c>
      <c r="AB234" s="1588">
        <v>55</v>
      </c>
      <c r="AC234" s="1570"/>
      <c r="AD234" s="1564">
        <f>Q234*10^-3*H234^2</f>
        <v>1.1780000000000002E-3</v>
      </c>
      <c r="AE234" s="1634">
        <f>P234</f>
        <v>0.81899999999999995</v>
      </c>
      <c r="AF234" s="1635">
        <f>(AB234-Z234)/(R234+S234+D234*V234)</f>
        <v>-154.76190476190476</v>
      </c>
      <c r="AG234" s="1636">
        <f>AE234^2-4*AD234*AF234</f>
        <v>1.3999990952380954</v>
      </c>
      <c r="AH234" s="1741">
        <f>SUM(AJ234:AL234)</f>
        <v>223.1</v>
      </c>
      <c r="AI234" s="1607"/>
      <c r="AJ234" s="1733">
        <f>C234*LOOKUP(T234,'HS250-DATA'!C$7:C$10,'HS250-DATA'!F$7:F$10)</f>
        <v>49.1</v>
      </c>
      <c r="AK234" s="1733">
        <f>IF(U234="Y",C234*12,0)</f>
        <v>24</v>
      </c>
      <c r="AL234" s="1733">
        <f>C234*E234*VLOOKUP(K234,'SCR-Diode DATA'!D$7:M$43,10,FALSE)</f>
        <v>150</v>
      </c>
      <c r="AM234" s="507">
        <f>AH234/F234</f>
        <v>0.72158309131519416</v>
      </c>
    </row>
    <row r="235" spans="1:39" ht="18.75">
      <c r="A235" s="1598"/>
      <c r="B235" s="1533"/>
      <c r="C235" s="1600"/>
      <c r="D235" s="1575"/>
      <c r="E235" s="1575"/>
      <c r="F235" s="1611"/>
      <c r="G235" s="1582"/>
      <c r="H235" s="1583"/>
      <c r="I235" s="1594"/>
      <c r="J235" s="1680"/>
      <c r="K235" s="1418"/>
      <c r="L235" s="1419"/>
      <c r="M235" s="1419"/>
      <c r="N235" s="1419"/>
      <c r="O235" s="1412"/>
      <c r="P235" s="1416"/>
      <c r="Q235" s="1416"/>
      <c r="R235" s="1416"/>
      <c r="S235" s="1687"/>
      <c r="T235" s="1624"/>
      <c r="U235" s="1616"/>
      <c r="V235" s="1622"/>
      <c r="W235" s="1602"/>
      <c r="X235" s="1602"/>
      <c r="Y235" s="1602"/>
      <c r="Z235" s="1579"/>
      <c r="AA235" s="1602"/>
      <c r="AB235" s="1588"/>
      <c r="AC235" s="1570"/>
      <c r="AD235" s="1564"/>
      <c r="AE235" s="1634"/>
      <c r="AF235" s="1635"/>
      <c r="AG235" s="1636"/>
      <c r="AH235" s="1742"/>
      <c r="AI235" s="1607"/>
      <c r="AJ235" s="1607"/>
      <c r="AK235" s="1607"/>
      <c r="AL235" s="1733"/>
      <c r="AM235" s="1743"/>
    </row>
    <row r="236" spans="1:39" ht="18.75">
      <c r="A236" s="1598">
        <v>3</v>
      </c>
      <c r="B236" s="1533">
        <f t="shared" si="125"/>
        <v>6</v>
      </c>
      <c r="C236" s="1600">
        <v>1</v>
      </c>
      <c r="D236" s="1575">
        <f>B236/C236</f>
        <v>6</v>
      </c>
      <c r="E236" s="1575">
        <v>3</v>
      </c>
      <c r="F236" s="1611">
        <f>IF(A236=3,3*G236,IF(A236=1,2*G236,IF(A236="bd",1*G236,IF(A236="fwd",1,"Error"))))</f>
        <v>358.07422409797795</v>
      </c>
      <c r="G236" s="1582">
        <f>(-AE236+SQRT(AG236))/2/AD236</f>
        <v>119.35807469932598</v>
      </c>
      <c r="H236" s="1583">
        <f>IF(A236=3,SQRT(3),IF(A236=1,SQRT(2),1))</f>
        <v>1.7320508075688772</v>
      </c>
      <c r="I236" s="1594">
        <f>H236*G236</f>
        <v>206.73424967283393</v>
      </c>
      <c r="J236" s="1680" t="s">
        <v>548</v>
      </c>
      <c r="K236" s="1418" t="s">
        <v>470</v>
      </c>
      <c r="L236" s="1419">
        <v>500</v>
      </c>
      <c r="M236" s="1419">
        <v>900</v>
      </c>
      <c r="N236" s="1419">
        <v>16300</v>
      </c>
      <c r="O236" s="1412">
        <v>125</v>
      </c>
      <c r="P236" s="1416">
        <v>0.81</v>
      </c>
      <c r="Q236" s="1416">
        <v>0.32</v>
      </c>
      <c r="R236" s="1416">
        <v>6.5000000000000002E-2</v>
      </c>
      <c r="S236" s="1687">
        <v>0.02</v>
      </c>
      <c r="T236" s="1624">
        <v>13</v>
      </c>
      <c r="U236" s="1616" t="s">
        <v>645</v>
      </c>
      <c r="V236" s="1622">
        <f>IF(E236=1,IF(U236="N",LOOKUP(T236,'HS250-DATA'!C$7:C$10,'HS250-DATA'!D$7:D$10),IF(U236="Y",LOOKUP(T236,'HS250-DATA'!C$22:C$25,'HS250-DATA'!D$22:D$25),"FAN?")),IF(U236="N",LOOKUP(T236,'HS250-DATA'!C$14:C$17,'HS250-DATA'!D$14:D$17),IF(U236="Y",LOOKUP(T236,'HS250-DATA'!C$29:C$32,'HS250-DATA'!D$29:D$32),"FAN?")))</f>
        <v>8.4000000000000005E-2</v>
      </c>
      <c r="W236" s="1602">
        <f>(G236*H236)^2*Q236*10^-3+G236*P236</f>
        <v>110.35653650254673</v>
      </c>
      <c r="X236" s="1602">
        <f>D236*W236</f>
        <v>662.13921901528033</v>
      </c>
      <c r="Y236" s="1602">
        <f>IF(A236=3,W236*6,IF(A236=1,W236*4,W236))</f>
        <v>662.13921901528033</v>
      </c>
      <c r="Z236" s="1579">
        <f>O236-5</f>
        <v>120</v>
      </c>
      <c r="AA236" s="1602">
        <f>D236*W236*V236+AB236</f>
        <v>110.61969439728355</v>
      </c>
      <c r="AB236" s="1588">
        <v>55</v>
      </c>
      <c r="AC236" s="1570"/>
      <c r="AD236" s="1564">
        <f>Q236*10^-3*H236^2</f>
        <v>9.5999999999999992E-4</v>
      </c>
      <c r="AE236" s="1634">
        <f>P236</f>
        <v>0.81</v>
      </c>
      <c r="AF236" s="1635">
        <f>(AB236-Z236)/(R236+S236+D236*V236)</f>
        <v>-110.35653650254669</v>
      </c>
      <c r="AG236" s="1636">
        <f>AE236^2-4*AD236*AF236</f>
        <v>1.0798691001697793</v>
      </c>
      <c r="AH236" s="1741">
        <f>SUM(AJ236:AL236)</f>
        <v>441.55</v>
      </c>
      <c r="AI236" s="1607"/>
      <c r="AJ236" s="1733">
        <f>C236*LOOKUP(T236,'HS250-DATA'!C$7:C$10,'HS250-DATA'!F$7:F$10)</f>
        <v>24.55</v>
      </c>
      <c r="AK236" s="1733">
        <f>IF(U236="Y",C236*12,0)</f>
        <v>12</v>
      </c>
      <c r="AL236" s="1733">
        <f>C236*E236*VLOOKUP(K236,'SCR-Diode DATA'!D$7:M$43,10,FALSE)</f>
        <v>405</v>
      </c>
      <c r="AM236" s="507">
        <f>AH236/F236</f>
        <v>1.2331242247673797</v>
      </c>
    </row>
    <row r="237" spans="1:39" ht="18.75">
      <c r="A237" s="1598">
        <v>3</v>
      </c>
      <c r="B237" s="1533">
        <f t="shared" si="125"/>
        <v>6</v>
      </c>
      <c r="C237" s="1600">
        <v>3</v>
      </c>
      <c r="D237" s="1575">
        <f>B237/C237</f>
        <v>2</v>
      </c>
      <c r="E237" s="1575">
        <v>1</v>
      </c>
      <c r="F237" s="1611">
        <f>IF(A237=3,3*G237,IF(A237=1,2*G237,IF(A237="bd",1*G237,IF(A237="fwd",1,"Error"))))</f>
        <v>631.67768020079802</v>
      </c>
      <c r="G237" s="1582">
        <f>(-AE237+SQRT(AG237))/2/AD237</f>
        <v>210.55922673359936</v>
      </c>
      <c r="H237" s="1583">
        <f>IF(A237=3,SQRT(3),IF(A237=1,SQRT(2),1))</f>
        <v>1.7320508075688772</v>
      </c>
      <c r="I237" s="1594">
        <f>H237*G237</f>
        <v>364.69927870500908</v>
      </c>
      <c r="J237" s="1680" t="s">
        <v>548</v>
      </c>
      <c r="K237" s="1418" t="s">
        <v>470</v>
      </c>
      <c r="L237" s="1419">
        <v>500</v>
      </c>
      <c r="M237" s="1419">
        <v>900</v>
      </c>
      <c r="N237" s="1419">
        <v>16300</v>
      </c>
      <c r="O237" s="1412">
        <v>125</v>
      </c>
      <c r="P237" s="1416">
        <v>0.81</v>
      </c>
      <c r="Q237" s="1416">
        <v>0.32</v>
      </c>
      <c r="R237" s="1416">
        <v>6.5000000000000002E-2</v>
      </c>
      <c r="S237" s="1687">
        <v>0.02</v>
      </c>
      <c r="T237" s="1624">
        <v>13</v>
      </c>
      <c r="U237" s="1616" t="s">
        <v>645</v>
      </c>
      <c r="V237" s="1622">
        <f>IF(E237=1,IF(U237="N",LOOKUP(T237,'HS250-DATA'!C$7:C$10,'HS250-DATA'!D$7:D$10),IF(U237="Y",LOOKUP(T237,'HS250-DATA'!C$22:C$25,'HS250-DATA'!D$22:D$25),"FAN?")),IF(U237="N",LOOKUP(T237,'HS250-DATA'!C$14:C$17,'HS250-DATA'!D$14:D$17),IF(U237="Y",LOOKUP(T237,'HS250-DATA'!C$29:C$32,'HS250-DATA'!D$29:D$32),"FAN?")))</f>
        <v>0.11</v>
      </c>
      <c r="W237" s="1602">
        <f>(G237*H237)^2*Q237*10^-3+G237*P237</f>
        <v>213.11475409836072</v>
      </c>
      <c r="X237" s="1602">
        <f>D237*W237</f>
        <v>426.22950819672144</v>
      </c>
      <c r="Y237" s="1602">
        <f>IF(A237=3,W237*6,IF(A237=1,W237*4,W237))</f>
        <v>1278.6885245901644</v>
      </c>
      <c r="Z237" s="1579">
        <f>O237-5</f>
        <v>120</v>
      </c>
      <c r="AA237" s="1602">
        <f>D237*W237*V237+AB237</f>
        <v>101.88524590163937</v>
      </c>
      <c r="AB237" s="1588">
        <v>55</v>
      </c>
      <c r="AC237" s="1570"/>
      <c r="AD237" s="1564">
        <f>Q237*10^-3*H237^2</f>
        <v>9.5999999999999992E-4</v>
      </c>
      <c r="AE237" s="1634">
        <f>P237</f>
        <v>0.81</v>
      </c>
      <c r="AF237" s="1635">
        <f>(AB237-Z237)/(R237+S237+D237*V237)</f>
        <v>-213.11475409836066</v>
      </c>
      <c r="AG237" s="1636">
        <f>AE237^2-4*AD237*AF237</f>
        <v>1.4744606557377051</v>
      </c>
      <c r="AH237" s="1741">
        <f>SUM(AJ237:AL237)</f>
        <v>514.65</v>
      </c>
      <c r="AI237" s="1607"/>
      <c r="AJ237" s="1733">
        <f>C237*LOOKUP(T237,'HS250-DATA'!C$7:C$10,'HS250-DATA'!F$7:F$10)</f>
        <v>73.650000000000006</v>
      </c>
      <c r="AK237" s="1733">
        <f>IF(U237="Y",C237*12,0)</f>
        <v>36</v>
      </c>
      <c r="AL237" s="1733">
        <f>C237*E237*VLOOKUP(K237,'SCR-Diode DATA'!D$7:M$43,10,FALSE)</f>
        <v>405</v>
      </c>
      <c r="AM237" s="507">
        <f>AH237/F237</f>
        <v>0.81473513491311389</v>
      </c>
    </row>
    <row r="238" spans="1:39" ht="18.75">
      <c r="A238" s="1598"/>
      <c r="B238" s="1533"/>
      <c r="C238" s="1600"/>
      <c r="D238" s="1575"/>
      <c r="E238" s="1575"/>
      <c r="F238" s="1611"/>
      <c r="G238" s="1582"/>
      <c r="H238" s="1583"/>
      <c r="I238" s="1594"/>
      <c r="J238" s="1680"/>
      <c r="K238" s="1418"/>
      <c r="L238" s="1419"/>
      <c r="M238" s="1419"/>
      <c r="N238" s="1419"/>
      <c r="O238" s="1412"/>
      <c r="P238" s="1416"/>
      <c r="Q238" s="1416"/>
      <c r="R238" s="1416"/>
      <c r="S238" s="1687"/>
      <c r="T238" s="1624">
        <v>13</v>
      </c>
      <c r="U238" s="1616"/>
      <c r="V238" s="1622"/>
      <c r="W238" s="1602"/>
      <c r="X238" s="1602"/>
      <c r="Y238" s="1602"/>
      <c r="Z238" s="1579"/>
      <c r="AA238" s="1602"/>
      <c r="AB238" s="1588"/>
      <c r="AC238" s="1570"/>
      <c r="AD238" s="1564"/>
      <c r="AE238" s="1634"/>
      <c r="AF238" s="1635"/>
      <c r="AG238" s="1636"/>
      <c r="AH238" s="1742"/>
      <c r="AI238" s="1607"/>
      <c r="AJ238" s="1607"/>
      <c r="AK238" s="1607"/>
      <c r="AL238" s="1733"/>
      <c r="AM238" s="1743"/>
    </row>
    <row r="239" spans="1:39" ht="18.75">
      <c r="A239" s="1598">
        <v>3</v>
      </c>
      <c r="B239" s="1533">
        <f t="shared" si="125"/>
        <v>6</v>
      </c>
      <c r="C239" s="1600">
        <v>1</v>
      </c>
      <c r="D239" s="1575">
        <f>B239/C239</f>
        <v>6</v>
      </c>
      <c r="E239" s="1575">
        <v>3</v>
      </c>
      <c r="F239" s="1611">
        <f>IF(A239=3,3*G239,IF(A239=1,2*G239,IF(A239="bd",1*G239,IF(A239="fwd",1,"Error"))))</f>
        <v>429.87842393765749</v>
      </c>
      <c r="G239" s="1582">
        <f>(-AE239+SQRT(AG239))/2/AD239</f>
        <v>143.29280797921916</v>
      </c>
      <c r="H239" s="1583">
        <f>IF(A239=3,SQRT(3),IF(A239=1,SQRT(2),1))</f>
        <v>1.7320508075688772</v>
      </c>
      <c r="I239" s="1594">
        <f>H239*G239</f>
        <v>248.19042377921861</v>
      </c>
      <c r="J239" s="1680" t="s">
        <v>548</v>
      </c>
      <c r="K239" s="1418" t="s">
        <v>471</v>
      </c>
      <c r="L239" s="1419">
        <v>700</v>
      </c>
      <c r="M239" s="1419">
        <v>1100</v>
      </c>
      <c r="N239" s="1419">
        <v>36500</v>
      </c>
      <c r="O239" s="1412">
        <v>125</v>
      </c>
      <c r="P239" s="1416">
        <v>0.70299999999999996</v>
      </c>
      <c r="Q239" s="1416">
        <v>0.184</v>
      </c>
      <c r="R239" s="1416">
        <v>5.8000000000000003E-2</v>
      </c>
      <c r="S239" s="1687">
        <v>1.7999999999999999E-2</v>
      </c>
      <c r="T239" s="1624">
        <v>13</v>
      </c>
      <c r="U239" s="1616" t="s">
        <v>645</v>
      </c>
      <c r="V239" s="1622">
        <f>IF(E239=1,IF(U239="N",LOOKUP(T239,'HS250-DATA'!C$7:C$10,'HS250-DATA'!D$7:D$10),IF(U239="Y",LOOKUP(T239,'HS250-DATA'!C$22:C$25,'HS250-DATA'!D$22:D$25),"FAN?")),IF(U239="N",LOOKUP(T239,'HS250-DATA'!C$14:C$17,'HS250-DATA'!D$14:D$17),IF(U239="Y",LOOKUP(T239,'HS250-DATA'!C$29:C$32,'HS250-DATA'!D$29:D$32),"FAN?")))</f>
        <v>8.4000000000000005E-2</v>
      </c>
      <c r="W239" s="1602">
        <f>(G239*H239)^2*Q239*10^-3+G239*P239</f>
        <v>112.06896551724137</v>
      </c>
      <c r="X239" s="1602">
        <f>D239*W239</f>
        <v>672.41379310344814</v>
      </c>
      <c r="Y239" s="1602">
        <f>IF(A239=3,W239*6,IF(A239=1,W239*4,W239))</f>
        <v>672.41379310344814</v>
      </c>
      <c r="Z239" s="1579">
        <f>O239-5</f>
        <v>120</v>
      </c>
      <c r="AA239" s="1602">
        <f>D239*W239*V239+AB239</f>
        <v>111.48275862068965</v>
      </c>
      <c r="AB239" s="1588">
        <v>55</v>
      </c>
      <c r="AC239" s="1570"/>
      <c r="AD239" s="1564">
        <f>Q239*10^-3*H239^2</f>
        <v>5.5199999999999986E-4</v>
      </c>
      <c r="AE239" s="1634">
        <f>P239</f>
        <v>0.70299999999999996</v>
      </c>
      <c r="AF239" s="1635">
        <f>(AB239-Z239)/(R239+S239+D239*V239)</f>
        <v>-112.06896551724138</v>
      </c>
      <c r="AG239" s="1636">
        <f>AE239^2-4*AD239*AF239</f>
        <v>0.74165727586206887</v>
      </c>
      <c r="AH239" s="1741">
        <f>SUM(AJ239:AL239)</f>
        <v>1011.55</v>
      </c>
      <c r="AI239" s="1607"/>
      <c r="AJ239" s="1733">
        <f>C239*LOOKUP(T239,'HS250-DATA'!C$7:C$10,'HS250-DATA'!F$7:F$10)</f>
        <v>24.55</v>
      </c>
      <c r="AK239" s="1733">
        <f>IF(U239="Y",C239*12,0)</f>
        <v>12</v>
      </c>
      <c r="AL239" s="1733">
        <f>C239*E239*VLOOKUP(K239,'SCR-Diode DATA'!D$7:M$43,10,FALSE)</f>
        <v>975</v>
      </c>
      <c r="AM239" s="507">
        <f>AH239/F239</f>
        <v>2.3531071662873191</v>
      </c>
    </row>
    <row r="240" spans="1:39" ht="18.75">
      <c r="A240" s="1598">
        <v>3</v>
      </c>
      <c r="B240" s="1533">
        <f t="shared" si="125"/>
        <v>6</v>
      </c>
      <c r="C240" s="1600">
        <v>3</v>
      </c>
      <c r="D240" s="1575">
        <f>B240/C240</f>
        <v>2</v>
      </c>
      <c r="E240" s="1575">
        <v>1</v>
      </c>
      <c r="F240" s="1611">
        <f>IF(A240=3,3*G240,IF(A240=1,2*G240,IF(A240="bd",1*G240,IF(A240="fwd",1,"Error"))))</f>
        <v>778.48264731697464</v>
      </c>
      <c r="G240" s="1582">
        <f>(-AE240+SQRT(AG240))/2/AD240</f>
        <v>259.49421577232488</v>
      </c>
      <c r="H240" s="1583">
        <f>IF(A240=3,SQRT(3),IF(A240=1,SQRT(2),1))</f>
        <v>1.7320508075688772</v>
      </c>
      <c r="I240" s="1594">
        <f>H240*G240</f>
        <v>449.45716598790779</v>
      </c>
      <c r="J240" s="1680" t="s">
        <v>548</v>
      </c>
      <c r="K240" s="1418" t="s">
        <v>471</v>
      </c>
      <c r="L240" s="1419">
        <v>700</v>
      </c>
      <c r="M240" s="1419">
        <v>1100</v>
      </c>
      <c r="N240" s="1419">
        <v>36500</v>
      </c>
      <c r="O240" s="1412">
        <v>125</v>
      </c>
      <c r="P240" s="1416">
        <v>0.70299999999999996</v>
      </c>
      <c r="Q240" s="1416">
        <v>0.184</v>
      </c>
      <c r="R240" s="1416">
        <v>5.8000000000000003E-2</v>
      </c>
      <c r="S240" s="1687">
        <v>1.7999999999999999E-2</v>
      </c>
      <c r="T240" s="1624">
        <v>13</v>
      </c>
      <c r="U240" s="1616" t="s">
        <v>645</v>
      </c>
      <c r="V240" s="1622">
        <f>IF(E240=1,IF(U240="N",LOOKUP(T240,'HS250-DATA'!C$7:C$10,'HS250-DATA'!D$7:D$10),IF(U240="Y",LOOKUP(T240,'HS250-DATA'!C$22:C$25,'HS250-DATA'!D$22:D$25),"FAN?")),IF(U240="N",LOOKUP(T240,'HS250-DATA'!C$14:C$17,'HS250-DATA'!D$14:D$17),IF(U240="Y",LOOKUP(T240,'HS250-DATA'!C$29:C$32,'HS250-DATA'!D$29:D$32),"FAN?")))</f>
        <v>0.11</v>
      </c>
      <c r="W240" s="1602">
        <f>(G240*H240)^2*Q240*10^-3+G240*P240</f>
        <v>219.59459459459461</v>
      </c>
      <c r="X240" s="1602">
        <f>D240*W240</f>
        <v>439.18918918918922</v>
      </c>
      <c r="Y240" s="1602">
        <f>IF(A240=3,W240*6,IF(A240=1,W240*4,W240))</f>
        <v>1317.5675675675677</v>
      </c>
      <c r="Z240" s="1579">
        <f>O240-5</f>
        <v>120</v>
      </c>
      <c r="AA240" s="1602">
        <f>D240*W240*V240+AB240</f>
        <v>103.31081081081081</v>
      </c>
      <c r="AB240" s="1588">
        <v>55</v>
      </c>
      <c r="AC240" s="1570"/>
      <c r="AD240" s="1564">
        <f>Q240*10^-3*H240^2</f>
        <v>5.5199999999999986E-4</v>
      </c>
      <c r="AE240" s="1634">
        <f>P240</f>
        <v>0.70299999999999996</v>
      </c>
      <c r="AF240" s="1635">
        <f>(AB240-Z240)/(R240+S240+D240*V240)</f>
        <v>-219.59459459459461</v>
      </c>
      <c r="AG240" s="1636">
        <f>AE240^2-4*AD240*AF240</f>
        <v>0.9790738648648647</v>
      </c>
      <c r="AH240" s="1741">
        <f>SUM(AJ240:AL240)</f>
        <v>1084.6500000000001</v>
      </c>
      <c r="AI240" s="1607"/>
      <c r="AJ240" s="1733">
        <f>C240*LOOKUP(T240,'HS250-DATA'!C$7:C$10,'HS250-DATA'!F$7:F$10)</f>
        <v>73.650000000000006</v>
      </c>
      <c r="AK240" s="1733">
        <f>IF(U240="Y",C240*12,0)</f>
        <v>36</v>
      </c>
      <c r="AL240" s="1733">
        <f>C240*E240*VLOOKUP(K240,'SCR-Diode DATA'!D$7:M$43,10,FALSE)</f>
        <v>975</v>
      </c>
      <c r="AM240" s="507">
        <f>AH240/F240</f>
        <v>1.393287318270003</v>
      </c>
    </row>
    <row r="241" spans="1:39" ht="18.75">
      <c r="A241" s="1598"/>
      <c r="B241" s="1533"/>
      <c r="C241" s="1600"/>
      <c r="D241" s="1575"/>
      <c r="E241" s="1575"/>
      <c r="F241" s="1611"/>
      <c r="G241" s="1582"/>
      <c r="H241" s="1583"/>
      <c r="I241" s="1594"/>
      <c r="J241" s="1680"/>
      <c r="K241" s="1418"/>
      <c r="L241" s="1419"/>
      <c r="M241" s="1419"/>
      <c r="N241" s="1419"/>
      <c r="O241" s="1412"/>
      <c r="P241" s="1416"/>
      <c r="Q241" s="1416"/>
      <c r="R241" s="1416"/>
      <c r="S241" s="1687"/>
      <c r="T241" s="1624"/>
      <c r="U241" s="1616"/>
      <c r="V241" s="1622"/>
      <c r="W241" s="1602"/>
      <c r="X241" s="1602"/>
      <c r="Y241" s="1602"/>
      <c r="Z241" s="1579"/>
      <c r="AA241" s="1602"/>
      <c r="AB241" s="1588"/>
      <c r="AC241" s="1570"/>
      <c r="AD241" s="1564"/>
      <c r="AE241" s="1634"/>
      <c r="AF241" s="1635"/>
      <c r="AG241" s="1636"/>
      <c r="AH241" s="1742"/>
      <c r="AI241" s="1607"/>
      <c r="AJ241" s="1607"/>
      <c r="AK241" s="1607"/>
      <c r="AL241" s="1733"/>
      <c r="AM241" s="1743"/>
    </row>
    <row r="242" spans="1:39" ht="18.75">
      <c r="A242" s="1598">
        <v>3</v>
      </c>
      <c r="B242" s="1533">
        <f t="shared" si="125"/>
        <v>6</v>
      </c>
      <c r="C242" s="1600">
        <v>1</v>
      </c>
      <c r="D242" s="1575">
        <f>B242/C242</f>
        <v>6</v>
      </c>
      <c r="E242" s="1575">
        <v>6</v>
      </c>
      <c r="F242" s="1611">
        <f>IF(A242=3,3*G242,IF(A242=1,2*G242,IF(A242="bd",1*G242,IF(A242="fwd",1,"Error"))))</f>
        <v>490.06105395961595</v>
      </c>
      <c r="G242" s="1582">
        <f>(-AE242+SQRT(AG242))/2/AD242</f>
        <v>163.35368465320531</v>
      </c>
      <c r="H242" s="1583">
        <f>IF(A242=3,SQRT(3),IF(A242=1,SQRT(2),1))</f>
        <v>1.7320508075688772</v>
      </c>
      <c r="I242" s="1594">
        <f>H242*G242</f>
        <v>282.93688142293593</v>
      </c>
      <c r="J242" s="1680" t="s">
        <v>558</v>
      </c>
      <c r="K242" s="1418" t="s">
        <v>472</v>
      </c>
      <c r="L242" s="1419">
        <v>1500</v>
      </c>
      <c r="M242" s="1419">
        <v>2355</v>
      </c>
      <c r="N242" s="1419">
        <v>62000</v>
      </c>
      <c r="O242" s="1412">
        <v>125</v>
      </c>
      <c r="P242" s="1416">
        <v>0.69099999999999995</v>
      </c>
      <c r="Q242" s="1412">
        <v>0.10199999999999999</v>
      </c>
      <c r="R242" s="1412">
        <v>2.4E-2</v>
      </c>
      <c r="S242" s="1687">
        <v>8.9999999999999993E-3</v>
      </c>
      <c r="T242" s="1624">
        <v>13</v>
      </c>
      <c r="U242" s="1616" t="s">
        <v>645</v>
      </c>
      <c r="V242" s="1622">
        <f>IF(E242=1,IF(U242="N",LOOKUP(T242,'HS250-DATA'!C$7:C$10,'HS250-DATA'!D$7:D$10),IF(U242="Y",LOOKUP(T242,'HS250-DATA'!C$22:C$25,'HS250-DATA'!D$22:D$25),"FAN?")),IF(U242="N",LOOKUP(T242,'HS250-DATA'!C$14:C$17,'HS250-DATA'!D$14:D$17),IF(U242="Y",LOOKUP(T242,'HS250-DATA'!C$29:C$32,'HS250-DATA'!D$29:D$32),"FAN?")))</f>
        <v>8.4000000000000005E-2</v>
      </c>
      <c r="W242" s="1602">
        <f>(G242*H242)^2*Q242*10^-3+G242*P242</f>
        <v>121.04283054003719</v>
      </c>
      <c r="X242" s="1602">
        <f>D242*W242</f>
        <v>726.25698324022312</v>
      </c>
      <c r="Y242" s="1602">
        <f>IF(A242=3,W242*6,IF(A242=1,W242*4,W242))</f>
        <v>726.25698324022312</v>
      </c>
      <c r="Z242" s="1579">
        <f>O242-5</f>
        <v>120</v>
      </c>
      <c r="AA242" s="1602">
        <f>D242*W242*V242+AB242</f>
        <v>116.00558659217874</v>
      </c>
      <c r="AB242" s="1588">
        <v>55</v>
      </c>
      <c r="AC242" s="1570"/>
      <c r="AD242" s="1564">
        <f>Q242*10^-3*H242^2</f>
        <v>3.0599999999999996E-4</v>
      </c>
      <c r="AE242" s="1634">
        <f>P242</f>
        <v>0.69099999999999995</v>
      </c>
      <c r="AF242" s="1635">
        <f>(AB242-Z242)/(R242+S242+D242*V242)</f>
        <v>-121.04283054003723</v>
      </c>
      <c r="AG242" s="1636">
        <f>AE242^2-4*AD242*AF242</f>
        <v>0.62563742458100546</v>
      </c>
      <c r="AH242" s="1741">
        <f>SUM(AJ242:AL242)</f>
        <v>1176.55</v>
      </c>
      <c r="AI242" s="1607"/>
      <c r="AJ242" s="1733">
        <f>C242*LOOKUP(T242,'HS250-DATA'!C$7:C$10,'HS250-DATA'!F$7:F$10)</f>
        <v>24.55</v>
      </c>
      <c r="AK242" s="1733">
        <f>IF(U242="Y",C242*12,0)</f>
        <v>12</v>
      </c>
      <c r="AL242" s="1733">
        <f>C242*E242*VLOOKUP(K242,'SCR-Diode DATA'!D$7:M$43,10,FALSE)</f>
        <v>1140</v>
      </c>
      <c r="AM242" s="507">
        <f>AH242/F242</f>
        <v>2.4008233065934577</v>
      </c>
    </row>
    <row r="243" spans="1:39" ht="18.75">
      <c r="A243" s="1598">
        <v>3</v>
      </c>
      <c r="B243" s="1533">
        <f t="shared" si="125"/>
        <v>6</v>
      </c>
      <c r="C243" s="1600">
        <v>2</v>
      </c>
      <c r="D243" s="1575">
        <f>B243/C243</f>
        <v>3</v>
      </c>
      <c r="E243" s="1575">
        <v>3</v>
      </c>
      <c r="F243" s="1611">
        <f>IF(A243=3,3*G243,IF(A243=1,2*G243,IF(A243="bd",1*G243,IF(A243="fwd",1,"Error"))))</f>
        <v>876.71532627564989</v>
      </c>
      <c r="G243" s="1582">
        <f>(-AE243+SQRT(AG243))/2/AD243</f>
        <v>292.23844209188331</v>
      </c>
      <c r="H243" s="1583">
        <f>IF(A243=3,SQRT(3),IF(A243=1,SQRT(2),1))</f>
        <v>1.7320508075688772</v>
      </c>
      <c r="I243" s="1594">
        <f>H243*G243</f>
        <v>506.17182962791702</v>
      </c>
      <c r="J243" s="1680" t="s">
        <v>558</v>
      </c>
      <c r="K243" s="1418" t="s">
        <v>472</v>
      </c>
      <c r="L243" s="1419">
        <v>1500</v>
      </c>
      <c r="M243" s="1419">
        <v>2355</v>
      </c>
      <c r="N243" s="1419">
        <v>62000</v>
      </c>
      <c r="O243" s="1412">
        <v>125</v>
      </c>
      <c r="P243" s="1416">
        <v>0.69099999999999995</v>
      </c>
      <c r="Q243" s="1412">
        <v>0.10199999999999999</v>
      </c>
      <c r="R243" s="1412">
        <v>2.4E-2</v>
      </c>
      <c r="S243" s="1687">
        <v>8.9999999999999993E-3</v>
      </c>
      <c r="T243" s="1624">
        <v>13</v>
      </c>
      <c r="U243" s="1616" t="s">
        <v>645</v>
      </c>
      <c r="V243" s="1622">
        <f>IF(E243=1,IF(U243="N",LOOKUP(T243,'HS250-DATA'!C$7:C$10,'HS250-DATA'!D$7:D$10),IF(U243="Y",LOOKUP(T243,'HS250-DATA'!C$22:C$25,'HS250-DATA'!D$22:D$25),"FAN?")),IF(U243="N",LOOKUP(T243,'HS250-DATA'!C$14:C$17,'HS250-DATA'!D$14:D$17),IF(U243="Y",LOOKUP(T243,'HS250-DATA'!C$29:C$32,'HS250-DATA'!D$29:D$32),"FAN?")))</f>
        <v>8.4000000000000005E-2</v>
      </c>
      <c r="W243" s="1602">
        <f>(G243*H243)^2*Q243*10^-3+G243*P243</f>
        <v>228.07017543859641</v>
      </c>
      <c r="X243" s="1602">
        <f>D243*W243</f>
        <v>684.21052631578925</v>
      </c>
      <c r="Y243" s="1602">
        <f>IF(A243=3,W243*6,IF(A243=1,W243*4,W243))</f>
        <v>1368.4210526315785</v>
      </c>
      <c r="Z243" s="1579">
        <f>O243-5</f>
        <v>120</v>
      </c>
      <c r="AA243" s="1602">
        <f>D243*W243*V243+AB243</f>
        <v>112.4736842105263</v>
      </c>
      <c r="AB243" s="1588">
        <v>55</v>
      </c>
      <c r="AC243" s="1570"/>
      <c r="AD243" s="1564">
        <f>Q243*10^-3*H243^2</f>
        <v>3.0599999999999996E-4</v>
      </c>
      <c r="AE243" s="1634">
        <f>P243</f>
        <v>0.69099999999999995</v>
      </c>
      <c r="AF243" s="1635">
        <f>(AB243-Z243)/(R243+S243+D243*V243)</f>
        <v>-228.07017543859646</v>
      </c>
      <c r="AG243" s="1636">
        <f>AE243^2-4*AD243*AF243</f>
        <v>0.75663889473684198</v>
      </c>
      <c r="AH243" s="1741">
        <f>SUM(AJ243:AL243)</f>
        <v>1213.0999999999999</v>
      </c>
      <c r="AI243" s="1607"/>
      <c r="AJ243" s="1733">
        <f>C243*LOOKUP(T243,'HS250-DATA'!C$7:C$10,'HS250-DATA'!F$7:F$10)</f>
        <v>49.1</v>
      </c>
      <c r="AK243" s="1733">
        <f>IF(U243="Y",C243*12,0)</f>
        <v>24</v>
      </c>
      <c r="AL243" s="1733">
        <f>C243*E243*VLOOKUP(K243,'SCR-Diode DATA'!D$7:M$43,10,FALSE)</f>
        <v>1140</v>
      </c>
      <c r="AM243" s="507">
        <f>AH243/F243</f>
        <v>1.3836874566266983</v>
      </c>
    </row>
    <row r="244" spans="1:39" ht="18.75">
      <c r="A244" s="1598">
        <v>3</v>
      </c>
      <c r="B244" s="1533">
        <f t="shared" si="125"/>
        <v>6</v>
      </c>
      <c r="C244" s="1600">
        <v>3</v>
      </c>
      <c r="D244" s="1575">
        <f>B244/C244</f>
        <v>2</v>
      </c>
      <c r="E244" s="1575">
        <v>2</v>
      </c>
      <c r="F244" s="1611">
        <f>IF(A244=3,3*G244,IF(A244=1,2*G244,IF(A244="bd",1*G244,IF(A244="fwd",1,"Error"))))</f>
        <v>1193.65799442809</v>
      </c>
      <c r="G244" s="1582">
        <f>(-AE244+SQRT(AG244))/2/AD244</f>
        <v>397.88599814269668</v>
      </c>
      <c r="H244" s="1583">
        <f>IF(A244=3,SQRT(3),IF(A244=1,SQRT(2),1))</f>
        <v>1.7320508075688772</v>
      </c>
      <c r="I244" s="1594">
        <f>H244*G244</f>
        <v>689.15876440340651</v>
      </c>
      <c r="J244" s="1680" t="s">
        <v>558</v>
      </c>
      <c r="K244" s="1418" t="s">
        <v>472</v>
      </c>
      <c r="L244" s="1419">
        <v>1500</v>
      </c>
      <c r="M244" s="1419">
        <v>2355</v>
      </c>
      <c r="N244" s="1419">
        <v>62000</v>
      </c>
      <c r="O244" s="1412">
        <v>125</v>
      </c>
      <c r="P244" s="1416">
        <v>0.69099999999999995</v>
      </c>
      <c r="Q244" s="1412">
        <v>0.10199999999999999</v>
      </c>
      <c r="R244" s="1412">
        <v>2.4E-2</v>
      </c>
      <c r="S244" s="1687">
        <v>8.9999999999999993E-3</v>
      </c>
      <c r="T244" s="1624">
        <v>13</v>
      </c>
      <c r="U244" s="1616" t="s">
        <v>645</v>
      </c>
      <c r="V244" s="1622">
        <f>IF(E244=1,IF(U244="N",LOOKUP(T244,'HS250-DATA'!C$7:C$10,'HS250-DATA'!D$7:D$10),IF(U244="Y",LOOKUP(T244,'HS250-DATA'!C$22:C$25,'HS250-DATA'!D$22:D$25),"FAN?")),IF(U244="N",LOOKUP(T244,'HS250-DATA'!C$14:C$17,'HS250-DATA'!D$14:D$17),IF(U244="Y",LOOKUP(T244,'HS250-DATA'!C$29:C$32,'HS250-DATA'!D$29:D$32),"FAN?")))</f>
        <v>8.4000000000000005E-2</v>
      </c>
      <c r="W244" s="1602">
        <f>(G244*H244)^2*Q244*10^-3+G244*P244</f>
        <v>323.38308457711446</v>
      </c>
      <c r="X244" s="1602">
        <f>D244*W244</f>
        <v>646.76616915422892</v>
      </c>
      <c r="Y244" s="1602">
        <f>IF(A244=3,W244*6,IF(A244=1,W244*4,W244))</f>
        <v>1940.2985074626868</v>
      </c>
      <c r="Z244" s="1579">
        <f>O244-5</f>
        <v>120</v>
      </c>
      <c r="AA244" s="1602">
        <f>D244*W244*V244+AB244</f>
        <v>109.32835820895522</v>
      </c>
      <c r="AB244" s="1588">
        <v>55</v>
      </c>
      <c r="AC244" s="1570"/>
      <c r="AD244" s="1564">
        <f>Q244*10^-3*H244^2</f>
        <v>3.0599999999999996E-4</v>
      </c>
      <c r="AE244" s="1634">
        <f>P244</f>
        <v>0.69099999999999995</v>
      </c>
      <c r="AF244" s="1635">
        <f>(AB244-Z244)/(R244+S244+D244*V244)</f>
        <v>-323.3830845771144</v>
      </c>
      <c r="AG244" s="1636">
        <f>AE244^2-4*AD244*AF244</f>
        <v>0.87330189552238791</v>
      </c>
      <c r="AH244" s="1741">
        <f>SUM(AJ244:AL244)</f>
        <v>1249.6500000000001</v>
      </c>
      <c r="AI244" s="1607"/>
      <c r="AJ244" s="1733">
        <f>C244*LOOKUP(T244,'HS250-DATA'!C$7:C$10,'HS250-DATA'!F$7:F$10)</f>
        <v>73.650000000000006</v>
      </c>
      <c r="AK244" s="1733">
        <f>IF(U244="Y",C244*12,0)</f>
        <v>36</v>
      </c>
      <c r="AL244" s="1733">
        <f>C244*E244*VLOOKUP(K244,'SCR-Diode DATA'!D$7:M$43,10,FALSE)</f>
        <v>1140</v>
      </c>
      <c r="AM244" s="507">
        <f>AH244/F244</f>
        <v>1.0469079131822321</v>
      </c>
    </row>
    <row r="245" spans="1:39" ht="18.75">
      <c r="A245" s="1598">
        <v>3</v>
      </c>
      <c r="B245" s="1533">
        <f t="shared" si="125"/>
        <v>6</v>
      </c>
      <c r="C245" s="1600">
        <v>6</v>
      </c>
      <c r="D245" s="1575">
        <f>B245/C245</f>
        <v>1</v>
      </c>
      <c r="E245" s="1575">
        <v>1</v>
      </c>
      <c r="F245" s="1611">
        <f>IF(A245=3,3*G245,IF(A245=1,2*G245,IF(A245="bd",1*G245,IF(A245="fwd",1,"Error"))))</f>
        <v>1596.9681797317489</v>
      </c>
      <c r="G245" s="1582">
        <f>(-AE245+SQRT(AG245))/2/AD245</f>
        <v>532.32272657724968</v>
      </c>
      <c r="H245" s="1583">
        <f>IF(A245=3,SQRT(3),IF(A245=1,SQRT(2),1))</f>
        <v>1.7320508075688772</v>
      </c>
      <c r="I245" s="1594">
        <f>H245*G245</f>
        <v>922.01000845539193</v>
      </c>
      <c r="J245" s="1680" t="s">
        <v>558</v>
      </c>
      <c r="K245" s="1418" t="s">
        <v>472</v>
      </c>
      <c r="L245" s="1419">
        <v>1500</v>
      </c>
      <c r="M245" s="1419">
        <v>2355</v>
      </c>
      <c r="N245" s="1419">
        <v>62000</v>
      </c>
      <c r="O245" s="1412">
        <v>125</v>
      </c>
      <c r="P245" s="1416">
        <v>0.69099999999999995</v>
      </c>
      <c r="Q245" s="1412">
        <v>0.10199999999999999</v>
      </c>
      <c r="R245" s="1412">
        <v>2.4E-2</v>
      </c>
      <c r="S245" s="1687">
        <v>8.9999999999999993E-3</v>
      </c>
      <c r="T245" s="1624">
        <v>13</v>
      </c>
      <c r="U245" s="1616" t="s">
        <v>645</v>
      </c>
      <c r="V245" s="1622">
        <f>IF(E245=1,IF(U245="N",LOOKUP(T245,'HS250-DATA'!C$7:C$10,'HS250-DATA'!D$7:D$10),IF(U245="Y",LOOKUP(T245,'HS250-DATA'!C$22:C$25,'HS250-DATA'!D$22:D$25),"FAN?")),IF(U245="N",LOOKUP(T245,'HS250-DATA'!C$14:C$17,'HS250-DATA'!D$14:D$17),IF(U245="Y",LOOKUP(T245,'HS250-DATA'!C$29:C$32,'HS250-DATA'!D$29:D$32),"FAN?")))</f>
        <v>0.11</v>
      </c>
      <c r="W245" s="1602">
        <f>(G245*H245)^2*Q245*10^-3+G245*P245</f>
        <v>454.5454545454545</v>
      </c>
      <c r="X245" s="1602">
        <f>D245*W245</f>
        <v>454.5454545454545</v>
      </c>
      <c r="Y245" s="1602">
        <f>IF(A245=3,W245*6,IF(A245=1,W245*4,W245))</f>
        <v>2727.272727272727</v>
      </c>
      <c r="Z245" s="1579">
        <f>O245-5</f>
        <v>120</v>
      </c>
      <c r="AA245" s="1602">
        <f>D245*W245*V245+AB245</f>
        <v>105</v>
      </c>
      <c r="AB245" s="1588">
        <v>55</v>
      </c>
      <c r="AC245" s="1570"/>
      <c r="AD245" s="1564">
        <f>Q245*10^-3*H245^2</f>
        <v>3.0599999999999996E-4</v>
      </c>
      <c r="AE245" s="1634">
        <f>P245</f>
        <v>0.69099999999999995</v>
      </c>
      <c r="AF245" s="1635">
        <f>(AB245-Z245)/(R245+S245+D245*V245)</f>
        <v>-454.5454545454545</v>
      </c>
      <c r="AG245" s="1636">
        <f>AE245^2-4*AD245*AF245</f>
        <v>1.0338446363636362</v>
      </c>
      <c r="AH245" s="1741">
        <f>SUM(AJ245:AL245)</f>
        <v>1359.3</v>
      </c>
      <c r="AI245" s="1607"/>
      <c r="AJ245" s="1733">
        <f>C245*LOOKUP(T245,'HS250-DATA'!C$7:C$10,'HS250-DATA'!F$7:F$10)</f>
        <v>147.30000000000001</v>
      </c>
      <c r="AK245" s="1733">
        <f>IF(U245="Y",C245*12,0)</f>
        <v>72</v>
      </c>
      <c r="AL245" s="1733">
        <f>C245*E245*VLOOKUP(K245,'SCR-Diode DATA'!D$7:M$43,10,FALSE)</f>
        <v>1140</v>
      </c>
      <c r="AM245" s="507">
        <f>AH245/F245</f>
        <v>0.85117538173386065</v>
      </c>
    </row>
    <row r="246" spans="1:39" ht="19.5" thickBot="1">
      <c r="A246" s="1599"/>
      <c r="B246" s="1692"/>
      <c r="C246" s="1601"/>
      <c r="D246" s="1591"/>
      <c r="E246" s="1591"/>
      <c r="F246" s="1662"/>
      <c r="G246" s="1589"/>
      <c r="H246" s="1590"/>
      <c r="I246" s="1595"/>
      <c r="J246" s="1693"/>
      <c r="K246" s="1686"/>
      <c r="L246" s="1685"/>
      <c r="M246" s="1685"/>
      <c r="N246" s="1685"/>
      <c r="O246" s="1684"/>
      <c r="P246" s="1683"/>
      <c r="Q246" s="1683"/>
      <c r="R246" s="1683"/>
      <c r="S246" s="1682"/>
      <c r="T246" s="1569"/>
      <c r="U246" s="1568"/>
      <c r="V246" s="1567"/>
      <c r="W246" s="1605"/>
      <c r="X246" s="1605"/>
      <c r="Y246" s="1605"/>
      <c r="Z246" s="1566"/>
      <c r="AA246" s="1605"/>
      <c r="AB246" s="1592"/>
      <c r="AC246" s="1570"/>
      <c r="AD246" s="1564"/>
      <c r="AE246" s="1634"/>
      <c r="AF246" s="1635"/>
      <c r="AG246" s="1636"/>
      <c r="AH246" s="1744"/>
      <c r="AI246" s="1608"/>
      <c r="AJ246" s="1608"/>
      <c r="AK246" s="1608"/>
      <c r="AL246" s="1745"/>
      <c r="AM246" s="1746"/>
    </row>
    <row r="247" spans="1:39" ht="15.75" thickBot="1">
      <c r="U247" s="1661"/>
      <c r="AH247"/>
    </row>
    <row r="248" spans="1:39" ht="24">
      <c r="A248" s="1673">
        <v>3</v>
      </c>
      <c r="B248" s="1327">
        <f>IF(A248=3,6,IF(A248=1,4,IF(A248="bd",1,IF(A248="fwd",1,"Circuit Type"))))</f>
        <v>6</v>
      </c>
      <c r="C248" s="1620">
        <v>1</v>
      </c>
      <c r="D248" s="1609">
        <f t="shared" ref="D248:D253" si="126">B248/C248</f>
        <v>6</v>
      </c>
      <c r="E248" s="1609">
        <v>1</v>
      </c>
      <c r="F248" s="1674">
        <f t="shared" ref="F248:F253" si="127">IF(A248=3,3*G248,IF(A248=1,2*G248,IF(A248="bd",1*G248,IF(A248="fwd",1,"Error"))))</f>
        <v>42.714324534691734</v>
      </c>
      <c r="G248" s="1670">
        <f t="shared" ref="G248:G253" si="128">(-AE248+SQRT(AG248))/2/AD248</f>
        <v>14.238108178230577</v>
      </c>
      <c r="H248" s="1675">
        <f t="shared" ref="H248:H253" si="129">IF(A248=3,SQRT(3),IF(A248=1,SQRT(2),1))</f>
        <v>1.7320508075688772</v>
      </c>
      <c r="I248" s="1676">
        <f t="shared" ref="I248:I253" si="130">H248*G248</f>
        <v>24.661126768357306</v>
      </c>
      <c r="J248" s="1677" t="s">
        <v>539</v>
      </c>
      <c r="K248" s="1584" t="s">
        <v>540</v>
      </c>
      <c r="L248" s="1603">
        <v>42</v>
      </c>
      <c r="M248" s="1603"/>
      <c r="N248" s="1603">
        <v>280</v>
      </c>
      <c r="O248" s="1678">
        <v>125</v>
      </c>
      <c r="P248" s="1585">
        <v>1.1000000000000001</v>
      </c>
      <c r="Q248" s="1679">
        <v>20</v>
      </c>
      <c r="R248" s="1585">
        <v>1.6</v>
      </c>
      <c r="S248" s="1604">
        <v>0.1</v>
      </c>
      <c r="T248" s="1667">
        <v>15</v>
      </c>
      <c r="U248" s="1668" t="s">
        <v>645</v>
      </c>
      <c r="V248" s="1669">
        <f>IF(E248=1,IF(U248="N",LOOKUP(T248,'HS250-DATA'!C$7:C$10,'HS250-DATA'!D$7:D$10),IF(U248="Y",LOOKUP(T248,'HS250-DATA'!C$22:C$25,'HS250-DATA'!D$22:D$25),"FAN?")),IF(U248="N",LOOKUP(T248,'HS250-DATA'!C$14:C$17,'HS250-DATA'!D$14:D$17),IF(U248="Y",LOOKUP(T248,'HS250-DATA'!C$29:C$32,'HS250-DATA'!D$29:D$32),"FAN?")))</f>
        <v>0.106</v>
      </c>
      <c r="W248" s="1671">
        <f t="shared" ref="W248:W253" si="131">(G248*H248)^2*Q248*10^-3+G248*P248</f>
        <v>27.825342465753423</v>
      </c>
      <c r="X248" s="1671">
        <f t="shared" ref="X248:X253" si="132">D248*W248</f>
        <v>166.95205479452054</v>
      </c>
      <c r="Y248" s="1671">
        <f t="shared" ref="Y248:Y253" si="133">IF(A248=3,W248*6,IF(A248=1,W248*4,W248))</f>
        <v>166.95205479452054</v>
      </c>
      <c r="Z248" s="1672">
        <f t="shared" ref="Z248:Z253" si="134">O248-5</f>
        <v>120</v>
      </c>
      <c r="AA248" s="1671">
        <f t="shared" ref="AA248:AA253" si="135">D248*W248*V248+AB248</f>
        <v>72.696917808219183</v>
      </c>
      <c r="AB248" s="1610">
        <v>55</v>
      </c>
      <c r="AC248" s="1570"/>
      <c r="AD248" s="1564">
        <f t="shared" ref="AD248:AD253" si="136">Q248*10^-3*H248^2</f>
        <v>5.9999999999999991E-2</v>
      </c>
      <c r="AE248" s="1634">
        <f t="shared" ref="AE248:AE253" si="137">P248</f>
        <v>1.1000000000000001</v>
      </c>
      <c r="AF248" s="1635">
        <f t="shared" ref="AF248:AF253" si="138">(AB248-Z248)/(R248+S248+D248*V248)</f>
        <v>-27.825342465753423</v>
      </c>
      <c r="AG248" s="1636">
        <f t="shared" ref="AG248:AG253" si="139">AE248^2-4*AD248*AF248</f>
        <v>7.8880821917808204</v>
      </c>
      <c r="AH248" s="1747">
        <f t="shared" ref="AH248:AH253" si="140">SUM(AJ248:AL248)</f>
        <v>62.760000000000005</v>
      </c>
      <c r="AI248" s="1639"/>
      <c r="AJ248" s="1748">
        <f>C248*LOOKUP(T248,'HS250-DATA'!C$7:C$10,'HS250-DATA'!F$7:F$10)</f>
        <v>28.26</v>
      </c>
      <c r="AK248" s="1748">
        <f t="shared" ref="AK248:AK253" si="141">IF(U248="Y",C248*12,0)</f>
        <v>12</v>
      </c>
      <c r="AL248" s="1748">
        <f>C248*E248*VLOOKUP(K248,'SCR-Diode DATA'!D$7:M$43,10,FALSE)</f>
        <v>22.5</v>
      </c>
      <c r="AM248" s="1749">
        <f t="shared" ref="AM248:AM253" si="142">AH248/F248</f>
        <v>1.4692963235091676</v>
      </c>
    </row>
    <row r="249" spans="1:39" ht="24">
      <c r="A249" s="1598">
        <v>1</v>
      </c>
      <c r="B249" s="1533">
        <f>IF(A249=3,6,IF(A249=1,4,IF(A249="bd",1,IF(A249="fwd",1,"Circuit Type"))))</f>
        <v>4</v>
      </c>
      <c r="C249" s="1600">
        <v>1</v>
      </c>
      <c r="D249" s="1575">
        <f t="shared" si="126"/>
        <v>4</v>
      </c>
      <c r="E249" s="1575">
        <v>1</v>
      </c>
      <c r="F249" s="1611">
        <f t="shared" si="127"/>
        <v>34.277938242417832</v>
      </c>
      <c r="G249" s="1582">
        <f t="shared" si="128"/>
        <v>17.138969121208916</v>
      </c>
      <c r="H249" s="1583">
        <f t="shared" si="129"/>
        <v>1.4142135623730951</v>
      </c>
      <c r="I249" s="1594">
        <f t="shared" si="130"/>
        <v>24.238162576307339</v>
      </c>
      <c r="J249" s="1666" t="s">
        <v>539</v>
      </c>
      <c r="K249" s="1586" t="s">
        <v>540</v>
      </c>
      <c r="L249" s="1578">
        <v>42</v>
      </c>
      <c r="M249" s="1578"/>
      <c r="N249" s="1578">
        <v>280</v>
      </c>
      <c r="O249" s="1580">
        <v>125</v>
      </c>
      <c r="P249" s="1576">
        <v>1.1000000000000001</v>
      </c>
      <c r="Q249" s="1581">
        <v>20</v>
      </c>
      <c r="R249" s="1576">
        <v>1.6</v>
      </c>
      <c r="S249" s="1587">
        <v>0.1</v>
      </c>
      <c r="T249" s="1624">
        <v>15</v>
      </c>
      <c r="U249" s="1616" t="s">
        <v>645</v>
      </c>
      <c r="V249" s="1622">
        <f>IF(E249=1,IF(U249="N",LOOKUP(T249,'HS250-DATA'!C$7:C$10,'HS250-DATA'!D$7:D$10),IF(U249="Y",LOOKUP(T249,'HS250-DATA'!C$22:C$25,'HS250-DATA'!D$22:D$25),"FAN?")),IF(U249="N",LOOKUP(T249,'HS250-DATA'!C$14:C$17,'HS250-DATA'!D$14:D$17),IF(U249="Y",LOOKUP(T249,'HS250-DATA'!C$29:C$32,'HS250-DATA'!D$29:D$32),"FAN?")))</f>
        <v>0.106</v>
      </c>
      <c r="W249" s="1602">
        <f t="shared" si="131"/>
        <v>30.602636534839924</v>
      </c>
      <c r="X249" s="1602">
        <f t="shared" si="132"/>
        <v>122.4105461393597</v>
      </c>
      <c r="Y249" s="1602">
        <f t="shared" si="133"/>
        <v>122.4105461393597</v>
      </c>
      <c r="Z249" s="1579">
        <f t="shared" si="134"/>
        <v>120</v>
      </c>
      <c r="AA249" s="1602">
        <f t="shared" si="135"/>
        <v>67.975517890772124</v>
      </c>
      <c r="AB249" s="1588">
        <v>55</v>
      </c>
      <c r="AC249" s="1570"/>
      <c r="AD249" s="1564">
        <f t="shared" si="136"/>
        <v>4.0000000000000008E-2</v>
      </c>
      <c r="AE249" s="1634">
        <f t="shared" si="137"/>
        <v>1.1000000000000001</v>
      </c>
      <c r="AF249" s="1635">
        <f t="shared" si="138"/>
        <v>-30.602636534839924</v>
      </c>
      <c r="AG249" s="1636">
        <f t="shared" si="139"/>
        <v>6.1064218455743884</v>
      </c>
      <c r="AH249" s="1741">
        <f t="shared" si="140"/>
        <v>62.760000000000005</v>
      </c>
      <c r="AI249" s="1607"/>
      <c r="AJ249" s="1733">
        <f>C249*LOOKUP(T249,'HS250-DATA'!C$7:C$10,'HS250-DATA'!F$7:F$10)</f>
        <v>28.26</v>
      </c>
      <c r="AK249" s="1733">
        <f t="shared" si="141"/>
        <v>12</v>
      </c>
      <c r="AL249" s="1733">
        <f>C249*E249*VLOOKUP(K249,'SCR-Diode DATA'!D$7:M$43,10,FALSE)</f>
        <v>22.5</v>
      </c>
      <c r="AM249" s="507">
        <f t="shared" si="142"/>
        <v>1.8309152538916869</v>
      </c>
    </row>
    <row r="250" spans="1:39" ht="18.75">
      <c r="A250" s="1598">
        <v>3</v>
      </c>
      <c r="B250" s="1533">
        <f t="shared" ref="B250:B279" si="143">IF(A250=3,6,IF(A250=1,4,IF(A250="bd",1,IF(A250="fwd",1,"Circuit Type"))))</f>
        <v>6</v>
      </c>
      <c r="C250" s="1600">
        <v>1</v>
      </c>
      <c r="D250" s="1575">
        <f t="shared" si="126"/>
        <v>6</v>
      </c>
      <c r="E250" s="1575">
        <v>1</v>
      </c>
      <c r="F250" s="1611">
        <f t="shared" si="127"/>
        <v>64.546562727476612</v>
      </c>
      <c r="G250" s="1582">
        <f t="shared" si="128"/>
        <v>21.515520909158873</v>
      </c>
      <c r="H250" s="1583">
        <f t="shared" si="129"/>
        <v>1.7320508075688772</v>
      </c>
      <c r="I250" s="1594">
        <f t="shared" si="130"/>
        <v>37.265975365973688</v>
      </c>
      <c r="J250" s="1681" t="s">
        <v>542</v>
      </c>
      <c r="K250" s="1417" t="s">
        <v>543</v>
      </c>
      <c r="L250" s="1414">
        <v>68</v>
      </c>
      <c r="M250" s="1414"/>
      <c r="N250" s="1414">
        <v>380</v>
      </c>
      <c r="O250" s="1413">
        <v>125</v>
      </c>
      <c r="P250" s="1413">
        <v>1</v>
      </c>
      <c r="Q250" s="1415">
        <v>10</v>
      </c>
      <c r="R250" s="1413">
        <v>1.1000000000000001</v>
      </c>
      <c r="S250" s="1688">
        <v>0.1</v>
      </c>
      <c r="T250" s="1624">
        <v>15</v>
      </c>
      <c r="U250" s="1616" t="s">
        <v>645</v>
      </c>
      <c r="V250" s="1622">
        <f>IF(E250=1,IF(U250="N",LOOKUP(T250,'HS250-DATA'!C$7:C$10,'HS250-DATA'!D$7:D$10),IF(U250="Y",LOOKUP(T250,'HS250-DATA'!C$22:C$25,'HS250-DATA'!D$22:D$25),"FAN?")),IF(U250="N",LOOKUP(T250,'HS250-DATA'!C$14:C$17,'HS250-DATA'!D$14:D$17),IF(U250="Y",LOOKUP(T250,'HS250-DATA'!C$29:C$32,'HS250-DATA'!D$29:D$32),"FAN?")))</f>
        <v>0.106</v>
      </c>
      <c r="W250" s="1602">
        <f t="shared" si="131"/>
        <v>35.403050108932447</v>
      </c>
      <c r="X250" s="1602">
        <f t="shared" si="132"/>
        <v>212.41830065359468</v>
      </c>
      <c r="Y250" s="1602">
        <f t="shared" si="133"/>
        <v>212.41830065359468</v>
      </c>
      <c r="Z250" s="1579">
        <f t="shared" si="134"/>
        <v>120</v>
      </c>
      <c r="AA250" s="1602">
        <f t="shared" si="135"/>
        <v>77.51633986928104</v>
      </c>
      <c r="AB250" s="1588">
        <v>55</v>
      </c>
      <c r="AC250" s="1570"/>
      <c r="AD250" s="1564">
        <f t="shared" si="136"/>
        <v>2.9999999999999995E-2</v>
      </c>
      <c r="AE250" s="1634">
        <f t="shared" si="137"/>
        <v>1</v>
      </c>
      <c r="AF250" s="1635">
        <f t="shared" si="138"/>
        <v>-35.403050108932455</v>
      </c>
      <c r="AG250" s="1636">
        <f t="shared" si="139"/>
        <v>5.2483660130718937</v>
      </c>
      <c r="AH250" s="1741">
        <f t="shared" si="140"/>
        <v>69.06</v>
      </c>
      <c r="AI250" s="1607"/>
      <c r="AJ250" s="1733">
        <f>C250*LOOKUP(T250,'HS250-DATA'!C$7:C$10,'HS250-DATA'!F$7:F$10)</f>
        <v>28.26</v>
      </c>
      <c r="AK250" s="1733">
        <f t="shared" si="141"/>
        <v>12</v>
      </c>
      <c r="AL250" s="1733">
        <f>C250*E250*VLOOKUP(K250,'SCR-Diode DATA'!D$7:M$43,10,FALSE)</f>
        <v>28.8</v>
      </c>
      <c r="AM250" s="507">
        <f t="shared" si="142"/>
        <v>1.0699252924060367</v>
      </c>
    </row>
    <row r="251" spans="1:39" ht="18.75">
      <c r="A251" s="1598">
        <v>1</v>
      </c>
      <c r="B251" s="1533">
        <f t="shared" si="143"/>
        <v>4</v>
      </c>
      <c r="C251" s="1600">
        <v>1</v>
      </c>
      <c r="D251" s="1575">
        <f t="shared" si="126"/>
        <v>4</v>
      </c>
      <c r="E251" s="1575">
        <v>1</v>
      </c>
      <c r="F251" s="1611">
        <f t="shared" si="127"/>
        <v>52.493541788614088</v>
      </c>
      <c r="G251" s="1582">
        <f t="shared" si="128"/>
        <v>26.246770894307044</v>
      </c>
      <c r="H251" s="1583">
        <f t="shared" si="129"/>
        <v>1.4142135623730951</v>
      </c>
      <c r="I251" s="1594">
        <f t="shared" si="130"/>
        <v>37.118539367228436</v>
      </c>
      <c r="J251" s="1681" t="s">
        <v>542</v>
      </c>
      <c r="K251" s="1417" t="s">
        <v>543</v>
      </c>
      <c r="L251" s="1414">
        <v>68</v>
      </c>
      <c r="M251" s="1414"/>
      <c r="N251" s="1414">
        <v>380</v>
      </c>
      <c r="O251" s="1413">
        <v>125</v>
      </c>
      <c r="P251" s="1413">
        <v>1</v>
      </c>
      <c r="Q251" s="1415">
        <v>10</v>
      </c>
      <c r="R251" s="1413">
        <v>1.1000000000000001</v>
      </c>
      <c r="S251" s="1688">
        <v>0.1</v>
      </c>
      <c r="T251" s="1624">
        <v>15</v>
      </c>
      <c r="U251" s="1616" t="s">
        <v>645</v>
      </c>
      <c r="V251" s="1622">
        <f>IF(E251=1,IF(U251="N",LOOKUP(T251,'HS250-DATA'!C$7:C$10,'HS250-DATA'!D$7:D$10),IF(U251="Y",LOOKUP(T251,'HS250-DATA'!C$22:C$25,'HS250-DATA'!D$22:D$25),"FAN?")),IF(U251="N",LOOKUP(T251,'HS250-DATA'!C$14:C$17,'HS250-DATA'!D$14:D$17),IF(U251="Y",LOOKUP(T251,'HS250-DATA'!C$29:C$32,'HS250-DATA'!D$29:D$32),"FAN?")))</f>
        <v>0.106</v>
      </c>
      <c r="W251" s="1602">
        <f t="shared" si="131"/>
        <v>40.024630541871915</v>
      </c>
      <c r="X251" s="1602">
        <f t="shared" si="132"/>
        <v>160.09852216748766</v>
      </c>
      <c r="Y251" s="1602">
        <f t="shared" si="133"/>
        <v>160.09852216748766</v>
      </c>
      <c r="Z251" s="1579">
        <f t="shared" si="134"/>
        <v>120</v>
      </c>
      <c r="AA251" s="1602">
        <f t="shared" si="135"/>
        <v>71.970443349753694</v>
      </c>
      <c r="AB251" s="1588">
        <v>55</v>
      </c>
      <c r="AC251" s="1570"/>
      <c r="AD251" s="1564">
        <f t="shared" si="136"/>
        <v>2.0000000000000004E-2</v>
      </c>
      <c r="AE251" s="1634">
        <f t="shared" si="137"/>
        <v>1</v>
      </c>
      <c r="AF251" s="1635">
        <f t="shared" si="138"/>
        <v>-40.024630541871922</v>
      </c>
      <c r="AG251" s="1636">
        <f t="shared" si="139"/>
        <v>4.2019704433497544</v>
      </c>
      <c r="AH251" s="1741">
        <f t="shared" si="140"/>
        <v>69.06</v>
      </c>
      <c r="AI251" s="1607"/>
      <c r="AJ251" s="1733">
        <f>C251*LOOKUP(T251,'HS250-DATA'!C$7:C$10,'HS250-DATA'!F$7:F$10)</f>
        <v>28.26</v>
      </c>
      <c r="AK251" s="1733">
        <f t="shared" si="141"/>
        <v>12</v>
      </c>
      <c r="AL251" s="1733">
        <f>C251*E251*VLOOKUP(K251,'SCR-Diode DATA'!D$7:M$43,10,FALSE)</f>
        <v>28.8</v>
      </c>
      <c r="AM251" s="507">
        <f t="shared" si="142"/>
        <v>1.3155904068751405</v>
      </c>
    </row>
    <row r="252" spans="1:39" ht="18.75">
      <c r="A252" s="1598">
        <v>1</v>
      </c>
      <c r="B252" s="1533">
        <f t="shared" si="143"/>
        <v>4</v>
      </c>
      <c r="C252" s="1600">
        <v>1</v>
      </c>
      <c r="D252" s="1575">
        <f t="shared" si="126"/>
        <v>4</v>
      </c>
      <c r="E252" s="1575">
        <v>1</v>
      </c>
      <c r="F252" s="1611">
        <f t="shared" si="127"/>
        <v>108.35853675485203</v>
      </c>
      <c r="G252" s="1582">
        <f t="shared" si="128"/>
        <v>54.179268377426013</v>
      </c>
      <c r="H252" s="1583">
        <f t="shared" si="129"/>
        <v>1.4142135623730951</v>
      </c>
      <c r="I252" s="1594">
        <f t="shared" si="130"/>
        <v>76.621056138807617</v>
      </c>
      <c r="J252" s="1680" t="s">
        <v>545</v>
      </c>
      <c r="K252" s="1417" t="s">
        <v>503</v>
      </c>
      <c r="L252" s="1414">
        <v>125</v>
      </c>
      <c r="M252" s="1414"/>
      <c r="N252" s="1414">
        <v>1950</v>
      </c>
      <c r="O252" s="1413">
        <v>125</v>
      </c>
      <c r="P252" s="1413">
        <v>0.86</v>
      </c>
      <c r="Q252" s="1415">
        <v>5.5</v>
      </c>
      <c r="R252" s="1413">
        <v>0.3</v>
      </c>
      <c r="S252" s="1688">
        <v>0.1</v>
      </c>
      <c r="T252" s="1624">
        <v>15</v>
      </c>
      <c r="U252" s="1616" t="s">
        <v>645</v>
      </c>
      <c r="V252" s="1622">
        <f>IF(E252=1,IF(U252="N",LOOKUP(T252,'HS250-DATA'!C$7:C$10,'HS250-DATA'!D$7:D$10),IF(U252="Y",LOOKUP(T252,'HS250-DATA'!C$22:C$25,'HS250-DATA'!D$22:D$25),"FAN?")),IF(U252="N",LOOKUP(T252,'HS250-DATA'!C$14:C$17,'HS250-DATA'!D$14:D$17),IF(U252="Y",LOOKUP(T252,'HS250-DATA'!C$29:C$32,'HS250-DATA'!D$29:D$32),"FAN?")))</f>
        <v>0.106</v>
      </c>
      <c r="W252" s="1602">
        <f t="shared" si="131"/>
        <v>78.883495145631059</v>
      </c>
      <c r="X252" s="1602">
        <f t="shared" si="132"/>
        <v>315.53398058252424</v>
      </c>
      <c r="Y252" s="1602">
        <f t="shared" si="133"/>
        <v>315.53398058252424</v>
      </c>
      <c r="Z252" s="1579">
        <f t="shared" si="134"/>
        <v>120</v>
      </c>
      <c r="AA252" s="1602">
        <f t="shared" si="135"/>
        <v>88.446601941747559</v>
      </c>
      <c r="AB252" s="1588">
        <v>55</v>
      </c>
      <c r="AC252" s="1570"/>
      <c r="AD252" s="1564">
        <f t="shared" si="136"/>
        <v>1.1000000000000001E-2</v>
      </c>
      <c r="AE252" s="1634">
        <f t="shared" si="137"/>
        <v>0.86</v>
      </c>
      <c r="AF252" s="1635">
        <f t="shared" si="138"/>
        <v>-78.883495145631059</v>
      </c>
      <c r="AG252" s="1636">
        <f t="shared" si="139"/>
        <v>4.2104737864077668</v>
      </c>
      <c r="AH252" s="1741">
        <f t="shared" si="140"/>
        <v>64.2</v>
      </c>
      <c r="AI252" s="1607"/>
      <c r="AJ252" s="1733">
        <f>C252*LOOKUP(T252,'HS250-DATA'!C$7:C$10,'HS250-DATA'!F$7:F$10)</f>
        <v>28.26</v>
      </c>
      <c r="AK252" s="1733">
        <f t="shared" si="141"/>
        <v>12</v>
      </c>
      <c r="AL252" s="1733">
        <f>C252*E252*VLOOKUP(K252,'SCR-Diode DATA'!D$7:M$43,10,FALSE)</f>
        <v>23.94</v>
      </c>
      <c r="AM252" s="507">
        <f t="shared" si="142"/>
        <v>0.59247754651066098</v>
      </c>
    </row>
    <row r="253" spans="1:39" ht="18.75">
      <c r="A253" s="1598">
        <v>3</v>
      </c>
      <c r="B253" s="1533">
        <f t="shared" si="143"/>
        <v>6</v>
      </c>
      <c r="C253" s="1600">
        <v>1</v>
      </c>
      <c r="D253" s="1575">
        <f t="shared" si="126"/>
        <v>6</v>
      </c>
      <c r="E253" s="1575">
        <v>1</v>
      </c>
      <c r="F253" s="1611">
        <f t="shared" si="127"/>
        <v>122.6537636176954</v>
      </c>
      <c r="G253" s="1582">
        <f t="shared" si="128"/>
        <v>40.884587872565135</v>
      </c>
      <c r="H253" s="1583">
        <f t="shared" si="129"/>
        <v>1.7320508075688772</v>
      </c>
      <c r="I253" s="1594">
        <f t="shared" si="130"/>
        <v>70.814183441797169</v>
      </c>
      <c r="J253" s="1680" t="s">
        <v>542</v>
      </c>
      <c r="K253" s="1417" t="s">
        <v>326</v>
      </c>
      <c r="L253" s="1414">
        <v>170</v>
      </c>
      <c r="M253" s="1423"/>
      <c r="N253" s="1414">
        <v>1950</v>
      </c>
      <c r="O253" s="1413">
        <v>125</v>
      </c>
      <c r="P253" s="1413">
        <v>0.86</v>
      </c>
      <c r="Q253" s="1415">
        <v>5.5</v>
      </c>
      <c r="R253" s="1413">
        <v>0.3</v>
      </c>
      <c r="S253" s="1688">
        <v>0.1</v>
      </c>
      <c r="T253" s="1624">
        <v>15</v>
      </c>
      <c r="U253" s="1616" t="s">
        <v>645</v>
      </c>
      <c r="V253" s="1622">
        <f>IF(E253=1,IF(U253="N",LOOKUP(T253,'HS250-DATA'!C$7:C$10,'HS250-DATA'!D$7:D$10),IF(U253="Y",LOOKUP(T253,'HS250-DATA'!C$22:C$25,'HS250-DATA'!D$22:D$25),"FAN?")),IF(U253="N",LOOKUP(T253,'HS250-DATA'!C$14:C$17,'HS250-DATA'!D$14:D$17),IF(U253="Y",LOOKUP(T253,'HS250-DATA'!C$29:C$32,'HS250-DATA'!D$29:D$32),"FAN?")))</f>
        <v>0.106</v>
      </c>
      <c r="W253" s="1602">
        <f t="shared" si="131"/>
        <v>62.741312741312768</v>
      </c>
      <c r="X253" s="1602">
        <f t="shared" si="132"/>
        <v>376.44787644787664</v>
      </c>
      <c r="Y253" s="1602">
        <f t="shared" si="133"/>
        <v>376.44787644787664</v>
      </c>
      <c r="Z253" s="1579">
        <f t="shared" si="134"/>
        <v>120</v>
      </c>
      <c r="AA253" s="1602">
        <f t="shared" si="135"/>
        <v>94.903474903474915</v>
      </c>
      <c r="AB253" s="1588">
        <v>55</v>
      </c>
      <c r="AC253" s="1570"/>
      <c r="AD253" s="1564">
        <f t="shared" si="136"/>
        <v>1.6499999999999997E-2</v>
      </c>
      <c r="AE253" s="1634">
        <f t="shared" si="137"/>
        <v>0.86</v>
      </c>
      <c r="AF253" s="1635">
        <f t="shared" si="138"/>
        <v>-62.74131274131274</v>
      </c>
      <c r="AG253" s="1636">
        <f t="shared" si="139"/>
        <v>4.8805266409266403</v>
      </c>
      <c r="AH253" s="1741">
        <f t="shared" si="140"/>
        <v>71.13000000000001</v>
      </c>
      <c r="AI253" s="1607"/>
      <c r="AJ253" s="1733">
        <f>C253*LOOKUP(T253,'HS250-DATA'!C$7:C$10,'HS250-DATA'!F$7:F$10)</f>
        <v>28.26</v>
      </c>
      <c r="AK253" s="1733">
        <f t="shared" si="141"/>
        <v>12</v>
      </c>
      <c r="AL253" s="1733">
        <f>C253*E253*VLOOKUP(K253,'SCR-Diode DATA'!D$7:M$43,10,FALSE)</f>
        <v>30.87</v>
      </c>
      <c r="AM253" s="507">
        <f t="shared" si="142"/>
        <v>0.57992513154107572</v>
      </c>
    </row>
    <row r="254" spans="1:39" ht="11.25" customHeight="1">
      <c r="A254" s="1598"/>
      <c r="B254" s="1533"/>
      <c r="C254" s="1600"/>
      <c r="D254" s="1575"/>
      <c r="E254" s="1575"/>
      <c r="F254" s="1611"/>
      <c r="G254" s="1582"/>
      <c r="H254" s="1583"/>
      <c r="I254" s="1594"/>
      <c r="J254" s="1680"/>
      <c r="K254" s="1417"/>
      <c r="L254" s="1414"/>
      <c r="M254" s="1423"/>
      <c r="N254" s="1414"/>
      <c r="O254" s="1413"/>
      <c r="P254" s="1413"/>
      <c r="Q254" s="1415"/>
      <c r="R254" s="1413"/>
      <c r="S254" s="1688"/>
      <c r="T254" s="1624"/>
      <c r="U254" s="1616"/>
      <c r="V254" s="1622"/>
      <c r="W254" s="1602"/>
      <c r="X254" s="1602"/>
      <c r="Y254" s="1602"/>
      <c r="Z254" s="1579"/>
      <c r="AA254" s="1602"/>
      <c r="AB254" s="1588"/>
      <c r="AC254" s="1570"/>
      <c r="AD254" s="1564"/>
      <c r="AE254" s="1634"/>
      <c r="AF254" s="1635"/>
      <c r="AG254" s="1636"/>
      <c r="AH254" s="1742"/>
      <c r="AI254" s="1607"/>
      <c r="AJ254" s="1607"/>
      <c r="AK254" s="1607"/>
      <c r="AL254" s="1733"/>
      <c r="AM254" s="494"/>
    </row>
    <row r="255" spans="1:39" ht="18.75">
      <c r="A255" s="1598">
        <v>3</v>
      </c>
      <c r="B255" s="1533">
        <f t="shared" si="143"/>
        <v>6</v>
      </c>
      <c r="C255" s="1600">
        <v>1</v>
      </c>
      <c r="D255" s="1575">
        <f>B255/C255</f>
        <v>6</v>
      </c>
      <c r="E255" s="1575">
        <v>3</v>
      </c>
      <c r="F255" s="1611">
        <f>IF(A255=3,3*G255,IF(A255=1,2*G255,IF(A255="bd",1*G255,IF(A255="fwd",1,"Error"))))</f>
        <v>171.90413796890823</v>
      </c>
      <c r="G255" s="1582">
        <f>(-AE255+SQRT(AG255))/2/AD255</f>
        <v>57.30137932296941</v>
      </c>
      <c r="H255" s="1583">
        <f>IF(A255=3,SQRT(3),IF(A255=1,SQRT(2),1))</f>
        <v>1.7320508075688772</v>
      </c>
      <c r="I255" s="1594">
        <f>H255*G255</f>
        <v>99.248900331159732</v>
      </c>
      <c r="J255" s="1680" t="s">
        <v>548</v>
      </c>
      <c r="K255" s="1418" t="s">
        <v>549</v>
      </c>
      <c r="L255" s="1419">
        <v>90</v>
      </c>
      <c r="M255" s="1419">
        <v>150</v>
      </c>
      <c r="N255" s="1419">
        <v>1950</v>
      </c>
      <c r="O255" s="1412">
        <v>125</v>
      </c>
      <c r="P255" s="1416">
        <v>0.9</v>
      </c>
      <c r="Q255" s="1416">
        <v>2</v>
      </c>
      <c r="R255" s="1416">
        <v>0.28000000000000003</v>
      </c>
      <c r="S255" s="1687">
        <v>0.2</v>
      </c>
      <c r="T255" s="1624">
        <v>15</v>
      </c>
      <c r="U255" s="1616" t="s">
        <v>645</v>
      </c>
      <c r="V255" s="1622">
        <f>IF(E255=1,IF(U255="N",LOOKUP(T255,'HS250-DATA'!C$7:C$10,'HS250-DATA'!D$7:D$10),IF(U255="Y",LOOKUP(T255,'HS250-DATA'!C$22:C$25,'HS250-DATA'!D$22:D$25),"FAN?")),IF(U255="N",LOOKUP(T255,'HS250-DATA'!C$14:C$17,'HS250-DATA'!D$14:D$17),IF(U255="Y",LOOKUP(T255,'HS250-DATA'!C$29:C$32,'HS250-DATA'!D$29:D$32),"FAN?")))</f>
        <v>7.1999999999999995E-2</v>
      </c>
      <c r="W255" s="1602">
        <f>(G255*H255)^2*Q255*10^-3+G255*P255</f>
        <v>71.271929824561425</v>
      </c>
      <c r="X255" s="1602">
        <f>D255*W255</f>
        <v>427.63157894736855</v>
      </c>
      <c r="Y255" s="1602">
        <f>IF(A255=3,W255*6,IF(A255=1,W255*4,W255))</f>
        <v>427.63157894736855</v>
      </c>
      <c r="Z255" s="1579">
        <f>O255-5</f>
        <v>120</v>
      </c>
      <c r="AA255" s="1602">
        <f>D255*W255*V255+AB255</f>
        <v>85.789473684210535</v>
      </c>
      <c r="AB255" s="1588">
        <v>55</v>
      </c>
      <c r="AC255" s="1570"/>
      <c r="AD255" s="1564">
        <f>Q255*10^-3*H255^2</f>
        <v>5.9999999999999993E-3</v>
      </c>
      <c r="AE255" s="1634">
        <f>P255</f>
        <v>0.9</v>
      </c>
      <c r="AF255" s="1635">
        <f>(AB255-Z255)/(R255+S255+D255*V255)</f>
        <v>-71.271929824561411</v>
      </c>
      <c r="AG255" s="1636">
        <f>AE255^2-4*AD255*AF255</f>
        <v>2.5205263157894739</v>
      </c>
      <c r="AH255" s="1741">
        <f>SUM(AJ255:AL255)</f>
        <v>79.260000000000005</v>
      </c>
      <c r="AI255" s="1607"/>
      <c r="AJ255" s="1733">
        <f>C255*LOOKUP(T255,'HS250-DATA'!C$7:C$10,'HS250-DATA'!F$7:F$10)</f>
        <v>28.26</v>
      </c>
      <c r="AK255" s="1733">
        <f>IF(U255="Y",C255*12,0)</f>
        <v>12</v>
      </c>
      <c r="AL255" s="1733">
        <f>C255*E255*VLOOKUP(K255,'SCR-Diode DATA'!D$7:M$43,10,FALSE)</f>
        <v>39</v>
      </c>
      <c r="AM255" s="507">
        <f>AH255/F255</f>
        <v>0.46107092555465717</v>
      </c>
    </row>
    <row r="256" spans="1:39" ht="18.75">
      <c r="A256" s="1598">
        <v>3</v>
      </c>
      <c r="B256" s="1533">
        <f t="shared" si="143"/>
        <v>6</v>
      </c>
      <c r="C256" s="1600">
        <v>3</v>
      </c>
      <c r="D256" s="1575">
        <f>B256/C256</f>
        <v>2</v>
      </c>
      <c r="E256" s="1575">
        <v>1</v>
      </c>
      <c r="F256" s="1611">
        <f>IF(A256=3,3*G256,IF(A256=1,2*G256,IF(A256="bd",1*G256,IF(A256="fwd",1,"Error"))))</f>
        <v>212.63107037460836</v>
      </c>
      <c r="G256" s="1582">
        <f>(-AE256+SQRT(AG256))/2/AD256</f>
        <v>70.877023458202785</v>
      </c>
      <c r="H256" s="1583">
        <f>IF(A256=3,SQRT(3),IF(A256=1,SQRT(2),1))</f>
        <v>1.7320508075688772</v>
      </c>
      <c r="I256" s="1594">
        <f>H256*G256</f>
        <v>122.76260571885838</v>
      </c>
      <c r="J256" s="1680" t="s">
        <v>548</v>
      </c>
      <c r="K256" s="1418" t="s">
        <v>549</v>
      </c>
      <c r="L256" s="1419">
        <v>90</v>
      </c>
      <c r="M256" s="1419">
        <v>150</v>
      </c>
      <c r="N256" s="1419">
        <v>1950</v>
      </c>
      <c r="O256" s="1412">
        <v>125</v>
      </c>
      <c r="P256" s="1416">
        <v>0.9</v>
      </c>
      <c r="Q256" s="1416">
        <v>2</v>
      </c>
      <c r="R256" s="1416">
        <v>0.28000000000000003</v>
      </c>
      <c r="S256" s="1687">
        <v>0.2</v>
      </c>
      <c r="T256" s="1624">
        <v>15</v>
      </c>
      <c r="U256" s="1616" t="s">
        <v>645</v>
      </c>
      <c r="V256" s="1622">
        <f>IF(E256=1,IF(U256="N",LOOKUP(T256,'HS250-DATA'!C$7:C$10,'HS250-DATA'!D$7:D$10),IF(U256="Y",LOOKUP(T256,'HS250-DATA'!C$22:C$25,'HS250-DATA'!D$22:D$25),"FAN?")),IF(U256="N",LOOKUP(T256,'HS250-DATA'!C$14:C$17,'HS250-DATA'!D$14:D$17),IF(U256="Y",LOOKUP(T256,'HS250-DATA'!C$29:C$32,'HS250-DATA'!D$29:D$32),"FAN?")))</f>
        <v>0.106</v>
      </c>
      <c r="W256" s="1602">
        <f>(G256*H256)^2*Q256*10^-3+G256*P256</f>
        <v>93.930635838150266</v>
      </c>
      <c r="X256" s="1602">
        <f>D256*W256</f>
        <v>187.86127167630053</v>
      </c>
      <c r="Y256" s="1602">
        <f>IF(A256=3,W256*6,IF(A256=1,W256*4,W256))</f>
        <v>563.58381502890165</v>
      </c>
      <c r="Z256" s="1579">
        <f>O256-5</f>
        <v>120</v>
      </c>
      <c r="AA256" s="1602">
        <f>D256*W256*V256+AB256</f>
        <v>74.913294797687854</v>
      </c>
      <c r="AB256" s="1588">
        <v>55</v>
      </c>
      <c r="AC256" s="1570"/>
      <c r="AD256" s="1564">
        <f>Q256*10^-3*H256^2</f>
        <v>5.9999999999999993E-3</v>
      </c>
      <c r="AE256" s="1634">
        <f>P256</f>
        <v>0.9</v>
      </c>
      <c r="AF256" s="1635">
        <f>(AB256-Z256)/(R256+S256+D256*V256)</f>
        <v>-93.93063583815028</v>
      </c>
      <c r="AG256" s="1636">
        <f>AE256^2-4*AD256*AF256</f>
        <v>3.0643352601156066</v>
      </c>
      <c r="AH256" s="1741">
        <f>SUM(AJ256:AL256)</f>
        <v>159.78</v>
      </c>
      <c r="AI256" s="1607"/>
      <c r="AJ256" s="1733">
        <f>C256*LOOKUP(T256,'HS250-DATA'!C$7:C$10,'HS250-DATA'!F$7:F$10)</f>
        <v>84.78</v>
      </c>
      <c r="AK256" s="1733">
        <f>IF(U256="Y",C256*12,0)</f>
        <v>36</v>
      </c>
      <c r="AL256" s="1733">
        <f>C256*E256*VLOOKUP(K256,'SCR-Diode DATA'!D$7:M$43,10,FALSE)</f>
        <v>39</v>
      </c>
      <c r="AM256" s="507">
        <f>AH256/F256</f>
        <v>0.75144239136125968</v>
      </c>
    </row>
    <row r="257" spans="1:39" ht="18.75">
      <c r="A257" s="1598">
        <v>1</v>
      </c>
      <c r="B257" s="1533">
        <f t="shared" si="143"/>
        <v>4</v>
      </c>
      <c r="C257" s="1600">
        <v>1</v>
      </c>
      <c r="D257" s="1575">
        <f>B257/C257</f>
        <v>4</v>
      </c>
      <c r="E257" s="1575">
        <v>2</v>
      </c>
      <c r="F257" s="1611">
        <f>IF(A257=3,3*G257,IF(A257=1,2*G257,IF(A257="bd",1*G257,IF(A257="fwd",1,"Error"))))</f>
        <v>142.77767287678932</v>
      </c>
      <c r="G257" s="1582">
        <f>(-AE257+SQRT(AG257))/2/AD257</f>
        <v>71.388836438394662</v>
      </c>
      <c r="H257" s="1583">
        <f>IF(A257=3,SQRT(3),IF(A257=1,SQRT(2),1))</f>
        <v>1.4142135623730951</v>
      </c>
      <c r="I257" s="1594">
        <f>H257*G257</f>
        <v>100.95906069321234</v>
      </c>
      <c r="J257" s="1680" t="s">
        <v>552</v>
      </c>
      <c r="K257" s="1418" t="s">
        <v>553</v>
      </c>
      <c r="L257" s="1419">
        <v>90</v>
      </c>
      <c r="M257" s="1419">
        <v>150</v>
      </c>
      <c r="N257" s="1419">
        <v>1950</v>
      </c>
      <c r="O257" s="1412">
        <v>125</v>
      </c>
      <c r="P257" s="1416">
        <v>0.9</v>
      </c>
      <c r="Q257" s="1416">
        <v>2</v>
      </c>
      <c r="R257" s="1416">
        <v>0.28000000000000003</v>
      </c>
      <c r="S257" s="1687">
        <v>0.2</v>
      </c>
      <c r="T257" s="1624">
        <v>15</v>
      </c>
      <c r="U257" s="1616" t="s">
        <v>645</v>
      </c>
      <c r="V257" s="1622">
        <f>IF(E257=1,IF(U257="N",LOOKUP(T257,'HS250-DATA'!C$7:C$10,'HS250-DATA'!D$7:D$10),IF(U257="Y",LOOKUP(T257,'HS250-DATA'!C$22:C$25,'HS250-DATA'!D$22:D$25),"FAN?")),IF(U257="N",LOOKUP(T257,'HS250-DATA'!C$14:C$17,'HS250-DATA'!D$14:D$17),IF(U257="Y",LOOKUP(T257,'HS250-DATA'!C$29:C$32,'HS250-DATA'!D$29:D$32),"FAN?")))</f>
        <v>7.1999999999999995E-2</v>
      </c>
      <c r="W257" s="1602">
        <f>(G257*H257)^2*Q257*10^-3+G257*P257</f>
        <v>84.635416666666657</v>
      </c>
      <c r="X257" s="1602">
        <f>D257*W257</f>
        <v>338.54166666666663</v>
      </c>
      <c r="Y257" s="1602">
        <f>IF(A257=3,W257*6,IF(A257=1,W257*4,W257))</f>
        <v>338.54166666666663</v>
      </c>
      <c r="Z257" s="1579">
        <f>O257-5</f>
        <v>120</v>
      </c>
      <c r="AA257" s="1602">
        <f>D257*W257*V257+AB257</f>
        <v>79.375</v>
      </c>
      <c r="AB257" s="1588">
        <v>55</v>
      </c>
      <c r="AC257" s="1570"/>
      <c r="AD257" s="1564">
        <f>Q257*10^-3*H257^2</f>
        <v>4.000000000000001E-3</v>
      </c>
      <c r="AE257" s="1634">
        <f>P257</f>
        <v>0.9</v>
      </c>
      <c r="AF257" s="1635">
        <f>(AB257-Z257)/(R257+S257+D257*V257)</f>
        <v>-84.635416666666671</v>
      </c>
      <c r="AG257" s="1636">
        <f>AE257^2-4*AD257*AF257</f>
        <v>2.164166666666667</v>
      </c>
      <c r="AH257" s="1741">
        <f>SUM(AJ257:AL257)</f>
        <v>66.260000000000005</v>
      </c>
      <c r="AI257" s="1607"/>
      <c r="AJ257" s="1733">
        <f>C257*LOOKUP(T257,'HS250-DATA'!C$7:C$10,'HS250-DATA'!F$7:F$10)</f>
        <v>28.26</v>
      </c>
      <c r="AK257" s="1733">
        <f>IF(U257="Y",C257*12,0)</f>
        <v>12</v>
      </c>
      <c r="AL257" s="1733">
        <f>C257*E257*VLOOKUP(K257,'SCR-Diode DATA'!D$7:M$43,10,FALSE)</f>
        <v>26</v>
      </c>
      <c r="AM257" s="507">
        <f>AH257/F257</f>
        <v>0.46407816197690371</v>
      </c>
    </row>
    <row r="258" spans="1:39" ht="18.75">
      <c r="A258" s="1598">
        <v>1</v>
      </c>
      <c r="B258" s="1533">
        <f t="shared" si="143"/>
        <v>4</v>
      </c>
      <c r="C258" s="1600">
        <v>2</v>
      </c>
      <c r="D258" s="1575">
        <f>B258/C258</f>
        <v>2</v>
      </c>
      <c r="E258" s="1575">
        <v>1</v>
      </c>
      <c r="F258" s="1611">
        <f>IF(A258=3,3*G258,IF(A258=1,2*G258,IF(A258="bd",1*G258,IF(A258="fwd",1,"Error"))))</f>
        <v>155.20472884769632</v>
      </c>
      <c r="G258" s="1582">
        <f>(-AE258+SQRT(AG258))/2/AD258</f>
        <v>77.602364423848158</v>
      </c>
      <c r="H258" s="1583">
        <f>IF(A258=3,SQRT(3),IF(A258=1,SQRT(2),1))</f>
        <v>1.4142135623730951</v>
      </c>
      <c r="I258" s="1594">
        <f>H258*G258</f>
        <v>109.74631624042544</v>
      </c>
      <c r="J258" s="1680" t="s">
        <v>552</v>
      </c>
      <c r="K258" s="1418" t="s">
        <v>553</v>
      </c>
      <c r="L258" s="1419">
        <v>90</v>
      </c>
      <c r="M258" s="1419">
        <v>150</v>
      </c>
      <c r="N258" s="1419">
        <v>1950</v>
      </c>
      <c r="O258" s="1412">
        <v>125</v>
      </c>
      <c r="P258" s="1416">
        <v>0.9</v>
      </c>
      <c r="Q258" s="1416">
        <v>2</v>
      </c>
      <c r="R258" s="1416">
        <v>0.28000000000000003</v>
      </c>
      <c r="S258" s="1687">
        <v>0.2</v>
      </c>
      <c r="T258" s="1624">
        <v>15</v>
      </c>
      <c r="U258" s="1616" t="s">
        <v>645</v>
      </c>
      <c r="V258" s="1622">
        <f>IF(E258=1,IF(U258="N",LOOKUP(T258,'HS250-DATA'!C$7:C$10,'HS250-DATA'!D$7:D$10),IF(U258="Y",LOOKUP(T258,'HS250-DATA'!C$22:C$25,'HS250-DATA'!D$22:D$25),"FAN?")),IF(U258="N",LOOKUP(T258,'HS250-DATA'!C$14:C$17,'HS250-DATA'!D$14:D$17),IF(U258="Y",LOOKUP(T258,'HS250-DATA'!C$29:C$32,'HS250-DATA'!D$29:D$32),"FAN?")))</f>
        <v>0.106</v>
      </c>
      <c r="W258" s="1602">
        <f>(G258*H258)^2*Q258*10^-3+G258*P258</f>
        <v>93.930635838150295</v>
      </c>
      <c r="X258" s="1602">
        <f>D258*W258</f>
        <v>187.86127167630059</v>
      </c>
      <c r="Y258" s="1602">
        <f>IF(A258=3,W258*6,IF(A258=1,W258*4,W258))</f>
        <v>375.72254335260118</v>
      </c>
      <c r="Z258" s="1579">
        <f>O258-5</f>
        <v>120</v>
      </c>
      <c r="AA258" s="1602">
        <f>D258*W258*V258+AB258</f>
        <v>74.913294797687854</v>
      </c>
      <c r="AB258" s="1588">
        <v>55</v>
      </c>
      <c r="AC258" s="1570"/>
      <c r="AD258" s="1564">
        <f>Q258*10^-3*H258^2</f>
        <v>4.000000000000001E-3</v>
      </c>
      <c r="AE258" s="1634">
        <f>P258</f>
        <v>0.9</v>
      </c>
      <c r="AF258" s="1635">
        <f>(AB258-Z258)/(R258+S258+D258*V258)</f>
        <v>-93.93063583815028</v>
      </c>
      <c r="AG258" s="1636">
        <f>AE258^2-4*AD258*AF258</f>
        <v>2.3128901734104046</v>
      </c>
      <c r="AH258" s="1741">
        <f>SUM(AJ258:AL258)</f>
        <v>106.52000000000001</v>
      </c>
      <c r="AI258" s="1607"/>
      <c r="AJ258" s="1733">
        <f>C258*LOOKUP(T258,'HS250-DATA'!C$7:C$10,'HS250-DATA'!F$7:F$10)</f>
        <v>56.52</v>
      </c>
      <c r="AK258" s="1733">
        <f>IF(U258="Y",C258*12,0)</f>
        <v>24</v>
      </c>
      <c r="AL258" s="1733">
        <f>C258*E258*VLOOKUP(K258,'SCR-Diode DATA'!D$7:M$43,10,FALSE)</f>
        <v>26</v>
      </c>
      <c r="AM258" s="507">
        <f>AH258/F258</f>
        <v>0.68631929446253515</v>
      </c>
    </row>
    <row r="259" spans="1:39" ht="18.75">
      <c r="A259" s="1598"/>
      <c r="B259" s="1533"/>
      <c r="C259" s="1600"/>
      <c r="D259" s="1575"/>
      <c r="E259" s="1575"/>
      <c r="F259" s="1611"/>
      <c r="G259" s="1582"/>
      <c r="H259" s="1583"/>
      <c r="I259" s="1594"/>
      <c r="J259" s="1680"/>
      <c r="K259" s="1418"/>
      <c r="L259" s="1419"/>
      <c r="M259" s="1419"/>
      <c r="N259" s="1419"/>
      <c r="O259" s="1412"/>
      <c r="P259" s="1416"/>
      <c r="Q259" s="1416"/>
      <c r="R259" s="1416"/>
      <c r="S259" s="1687"/>
      <c r="T259" s="1624"/>
      <c r="U259" s="1616"/>
      <c r="V259" s="1622"/>
      <c r="W259" s="1602"/>
      <c r="X259" s="1602"/>
      <c r="Y259" s="1602"/>
      <c r="Z259" s="1579"/>
      <c r="AA259" s="1602"/>
      <c r="AB259" s="1588"/>
      <c r="AC259" s="1570"/>
      <c r="AD259" s="1564"/>
      <c r="AE259" s="1634"/>
      <c r="AF259" s="1635"/>
      <c r="AG259" s="1636"/>
      <c r="AH259" s="1742"/>
      <c r="AI259" s="1607"/>
      <c r="AJ259" s="1607"/>
      <c r="AK259" s="1607"/>
      <c r="AL259" s="1733"/>
      <c r="AM259" s="1743"/>
    </row>
    <row r="260" spans="1:39" ht="18.75">
      <c r="A260" s="1598">
        <v>3</v>
      </c>
      <c r="B260" s="1533">
        <f t="shared" si="143"/>
        <v>6</v>
      </c>
      <c r="C260" s="1600">
        <v>1</v>
      </c>
      <c r="D260" s="1575">
        <f>B260/C260</f>
        <v>6</v>
      </c>
      <c r="E260" s="1575">
        <v>3</v>
      </c>
      <c r="F260" s="1611">
        <f>IF(A260=3,3*G260,IF(A260=1,2*G260,IF(A260="bd",1*G260,IF(A260="fwd",1,"Error"))))</f>
        <v>231.89764687162577</v>
      </c>
      <c r="G260" s="1582">
        <f>(-AE260+SQRT(AG260))/2/AD260</f>
        <v>77.299215623875256</v>
      </c>
      <c r="H260" s="1583">
        <f>IF(A260=3,SQRT(3),IF(A260=1,SQRT(2),1))</f>
        <v>1.7320508075688772</v>
      </c>
      <c r="I260" s="1594">
        <f>H260*G260</f>
        <v>133.88616884577391</v>
      </c>
      <c r="J260" s="1680" t="s">
        <v>548</v>
      </c>
      <c r="K260" s="1418" t="s">
        <v>554</v>
      </c>
      <c r="L260" s="1419">
        <v>160</v>
      </c>
      <c r="M260" s="1419">
        <v>250</v>
      </c>
      <c r="N260" s="1419">
        <v>4100</v>
      </c>
      <c r="O260" s="1412">
        <v>125</v>
      </c>
      <c r="P260" s="1416">
        <v>0.85</v>
      </c>
      <c r="Q260" s="1416">
        <v>1.5</v>
      </c>
      <c r="R260" s="1416">
        <v>0.17</v>
      </c>
      <c r="S260" s="1687">
        <v>0.1</v>
      </c>
      <c r="T260" s="1624">
        <v>15</v>
      </c>
      <c r="U260" s="1616" t="s">
        <v>645</v>
      </c>
      <c r="V260" s="1622">
        <f>IF(E260=1,IF(U260="N",LOOKUP(T260,'HS250-DATA'!C$7:C$10,'HS250-DATA'!D$7:D$10),IF(U260="Y",LOOKUP(T260,'HS250-DATA'!C$22:C$25,'HS250-DATA'!D$22:D$25),"FAN?")),IF(U260="N",LOOKUP(T260,'HS250-DATA'!C$14:C$17,'HS250-DATA'!D$14:D$17),IF(U260="Y",LOOKUP(T260,'HS250-DATA'!C$29:C$32,'HS250-DATA'!D$29:D$32),"FAN?")))</f>
        <v>7.1999999999999995E-2</v>
      </c>
      <c r="W260" s="1602">
        <f>(G260*H260)^2*Q260*10^-3+G260*P260</f>
        <v>92.592592592592581</v>
      </c>
      <c r="X260" s="1602">
        <f>D260*W260</f>
        <v>555.55555555555543</v>
      </c>
      <c r="Y260" s="1602">
        <f>IF(A260=3,W260*6,IF(A260=1,W260*4,W260))</f>
        <v>555.55555555555543</v>
      </c>
      <c r="Z260" s="1579">
        <f>O260-5</f>
        <v>120</v>
      </c>
      <c r="AA260" s="1602">
        <f>D260*W260*V260+AB260</f>
        <v>94.999999999999986</v>
      </c>
      <c r="AB260" s="1588">
        <v>55</v>
      </c>
      <c r="AC260" s="1570"/>
      <c r="AD260" s="1564">
        <f>Q260*10^-3*H260^2</f>
        <v>4.4999999999999997E-3</v>
      </c>
      <c r="AE260" s="1634">
        <f>P260</f>
        <v>0.85</v>
      </c>
      <c r="AF260" s="1635">
        <f>(AB260-Z260)/(R260+S260+D260*V260)</f>
        <v>-92.592592592592595</v>
      </c>
      <c r="AG260" s="1636">
        <f>AE260^2-4*AD260*AF260</f>
        <v>2.3891666666666662</v>
      </c>
      <c r="AH260" s="1741">
        <f>SUM(AJ260:AL260)</f>
        <v>148.26</v>
      </c>
      <c r="AI260" s="1607"/>
      <c r="AJ260" s="1733">
        <f>C260*LOOKUP(T260,'HS250-DATA'!C$7:C$10,'HS250-DATA'!F$7:F$10)</f>
        <v>28.26</v>
      </c>
      <c r="AK260" s="1733">
        <f>IF(U260="Y",C260*12,0)</f>
        <v>12</v>
      </c>
      <c r="AL260" s="1733">
        <f>C260*E260*VLOOKUP(K260,'SCR-Diode DATA'!D$7:M$43,10,FALSE)</f>
        <v>108</v>
      </c>
      <c r="AM260" s="507">
        <f>AH260/F260</f>
        <v>0.63933378367601101</v>
      </c>
    </row>
    <row r="261" spans="1:39" ht="18.75">
      <c r="A261" s="1598">
        <v>3</v>
      </c>
      <c r="B261" s="1533">
        <f t="shared" si="143"/>
        <v>6</v>
      </c>
      <c r="C261" s="1600">
        <v>3</v>
      </c>
      <c r="D261" s="1575">
        <f>B261/C261</f>
        <v>2</v>
      </c>
      <c r="E261" s="1575">
        <v>1</v>
      </c>
      <c r="F261" s="1611">
        <f>IF(A261=3,3*G261,IF(A261=1,2*G261,IF(A261="bd",1*G261,IF(A261="fwd",1,"Error"))))</f>
        <v>308.26392946141846</v>
      </c>
      <c r="G261" s="1582">
        <f>(-AE261+SQRT(AG261))/2/AD261</f>
        <v>102.75464315380614</v>
      </c>
      <c r="H261" s="1583">
        <f>IF(A261=3,SQRT(3),IF(A261=1,SQRT(2),1))</f>
        <v>1.7320508075688772</v>
      </c>
      <c r="I261" s="1594">
        <f>H261*G261</f>
        <v>177.97626265600172</v>
      </c>
      <c r="J261" s="1680" t="s">
        <v>548</v>
      </c>
      <c r="K261" s="1418" t="s">
        <v>554</v>
      </c>
      <c r="L261" s="1419">
        <v>160</v>
      </c>
      <c r="M261" s="1419">
        <v>250</v>
      </c>
      <c r="N261" s="1419">
        <v>4100</v>
      </c>
      <c r="O261" s="1412">
        <v>125</v>
      </c>
      <c r="P261" s="1416">
        <v>0.85</v>
      </c>
      <c r="Q261" s="1416">
        <v>1.5</v>
      </c>
      <c r="R261" s="1416">
        <v>0.17</v>
      </c>
      <c r="S261" s="1687">
        <v>0.1</v>
      </c>
      <c r="T261" s="1624">
        <v>15</v>
      </c>
      <c r="U261" s="1616" t="s">
        <v>645</v>
      </c>
      <c r="V261" s="1622">
        <f>IF(E261=1,IF(U261="N",LOOKUP(T261,'HS250-DATA'!C$7:C$10,'HS250-DATA'!D$7:D$10),IF(U261="Y",LOOKUP(T261,'HS250-DATA'!C$22:C$25,'HS250-DATA'!D$22:D$25),"FAN?")),IF(U261="N",LOOKUP(T261,'HS250-DATA'!C$14:C$17,'HS250-DATA'!D$14:D$17),IF(U261="Y",LOOKUP(T261,'HS250-DATA'!C$29:C$32,'HS250-DATA'!D$29:D$32),"FAN?")))</f>
        <v>0.106</v>
      </c>
      <c r="W261" s="1602">
        <f>(G261*H261)^2*Q261*10^-3+G261*P261</f>
        <v>134.85477178423238</v>
      </c>
      <c r="X261" s="1602">
        <f>D261*W261</f>
        <v>269.70954356846477</v>
      </c>
      <c r="Y261" s="1602">
        <f>IF(A261=3,W261*6,IF(A261=1,W261*4,W261))</f>
        <v>809.12863070539424</v>
      </c>
      <c r="Z261" s="1579">
        <f>O261-5</f>
        <v>120</v>
      </c>
      <c r="AA261" s="1602">
        <f>D261*W261*V261+AB261</f>
        <v>83.589211618257266</v>
      </c>
      <c r="AB261" s="1588">
        <v>55</v>
      </c>
      <c r="AC261" s="1570"/>
      <c r="AD261" s="1564">
        <f>Q261*10^-3*H261^2</f>
        <v>4.4999999999999997E-3</v>
      </c>
      <c r="AE261" s="1634">
        <f>P261</f>
        <v>0.85</v>
      </c>
      <c r="AF261" s="1635">
        <f>(AB261-Z261)/(R261+S261+D261*V261)</f>
        <v>-134.85477178423238</v>
      </c>
      <c r="AG261" s="1636">
        <f>AE261^2-4*AD261*AF261</f>
        <v>3.149885892116183</v>
      </c>
      <c r="AH261" s="1741">
        <f>SUM(AJ261:AL261)</f>
        <v>228.78</v>
      </c>
      <c r="AI261" s="1607"/>
      <c r="AJ261" s="1733">
        <f>C261*LOOKUP(T261,'HS250-DATA'!C$7:C$10,'HS250-DATA'!F$7:F$10)</f>
        <v>84.78</v>
      </c>
      <c r="AK261" s="1733">
        <f>IF(U261="Y",C261*12,0)</f>
        <v>36</v>
      </c>
      <c r="AL261" s="1733">
        <f>C261*E261*VLOOKUP(K261,'SCR-Diode DATA'!D$7:M$43,10,FALSE)</f>
        <v>108</v>
      </c>
      <c r="AM261" s="507">
        <f>AH261/F261</f>
        <v>0.74215624383855627</v>
      </c>
    </row>
    <row r="262" spans="1:39" ht="18.75">
      <c r="A262" s="1598">
        <v>1</v>
      </c>
      <c r="B262" s="1533">
        <f t="shared" si="143"/>
        <v>4</v>
      </c>
      <c r="C262" s="1600">
        <v>1</v>
      </c>
      <c r="D262" s="1575">
        <f>B262/C262</f>
        <v>4</v>
      </c>
      <c r="E262" s="1575">
        <v>2</v>
      </c>
      <c r="F262" s="1611">
        <f>IF(A262=3,3*G262,IF(A262=1,2*G262,IF(A262="bd",1*G262,IF(A262="fwd",1,"Error"))))</f>
        <v>202.04732626002942</v>
      </c>
      <c r="G262" s="1582">
        <f>(-AE262+SQRT(AG262))/2/AD262</f>
        <v>101.02366313001471</v>
      </c>
      <c r="H262" s="1583">
        <f>IF(A262=3,SQRT(3),IF(A262=1,SQRT(2),1))</f>
        <v>1.4142135623730951</v>
      </c>
      <c r="I262" s="1594">
        <f>H262*G262</f>
        <v>142.86903451907762</v>
      </c>
      <c r="J262" s="1680" t="s">
        <v>552</v>
      </c>
      <c r="K262" s="1418" t="s">
        <v>555</v>
      </c>
      <c r="L262" s="1419">
        <v>160</v>
      </c>
      <c r="M262" s="1419">
        <v>250</v>
      </c>
      <c r="N262" s="1419">
        <v>4100</v>
      </c>
      <c r="O262" s="1412">
        <v>125</v>
      </c>
      <c r="P262" s="1416">
        <v>0.85</v>
      </c>
      <c r="Q262" s="1416">
        <v>1.5</v>
      </c>
      <c r="R262" s="1416">
        <v>0.17</v>
      </c>
      <c r="S262" s="1687">
        <v>0.1</v>
      </c>
      <c r="T262" s="1624">
        <v>15</v>
      </c>
      <c r="U262" s="1616" t="s">
        <v>645</v>
      </c>
      <c r="V262" s="1622">
        <f>IF(E262=1,IF(U262="N",LOOKUP(T262,'HS250-DATA'!C$7:C$10,'HS250-DATA'!D$7:D$10),IF(U262="Y",LOOKUP(T262,'HS250-DATA'!C$22:C$25,'HS250-DATA'!D$22:D$25),"FAN?")),IF(U262="N",LOOKUP(T262,'HS250-DATA'!C$14:C$17,'HS250-DATA'!D$14:D$17),IF(U262="Y",LOOKUP(T262,'HS250-DATA'!C$29:C$32,'HS250-DATA'!D$29:D$32),"FAN?")))</f>
        <v>7.1999999999999995E-2</v>
      </c>
      <c r="W262" s="1602">
        <f>(G262*H262)^2*Q262*10^-3+G262*P262</f>
        <v>116.48745519713259</v>
      </c>
      <c r="X262" s="1602">
        <f>D262*W262</f>
        <v>465.94982078853036</v>
      </c>
      <c r="Y262" s="1602">
        <f>IF(A262=3,W262*6,IF(A262=1,W262*4,W262))</f>
        <v>465.94982078853036</v>
      </c>
      <c r="Z262" s="1579">
        <f>O262-5</f>
        <v>120</v>
      </c>
      <c r="AA262" s="1602">
        <f>D262*W262*V262+AB262</f>
        <v>88.548387096774178</v>
      </c>
      <c r="AB262" s="1588">
        <v>55</v>
      </c>
      <c r="AC262" s="1570"/>
      <c r="AD262" s="1564">
        <f>Q262*10^-3*H262^2</f>
        <v>3.0000000000000009E-3</v>
      </c>
      <c r="AE262" s="1634">
        <f>P262</f>
        <v>0.85</v>
      </c>
      <c r="AF262" s="1635">
        <f>(AB262-Z262)/(R262+S262+D262*V262)</f>
        <v>-116.4874551971326</v>
      </c>
      <c r="AG262" s="1636">
        <f>AE262^2-4*AD262*AF262</f>
        <v>2.1203494623655916</v>
      </c>
      <c r="AH262" s="1741">
        <f>SUM(AJ262:AL262)</f>
        <v>112.26</v>
      </c>
      <c r="AI262" s="1607"/>
      <c r="AJ262" s="1733">
        <f>C262*LOOKUP(T262,'HS250-DATA'!C$7:C$10,'HS250-DATA'!F$7:F$10)</f>
        <v>28.26</v>
      </c>
      <c r="AK262" s="1733">
        <f>IF(U262="Y",C262*12,0)</f>
        <v>12</v>
      </c>
      <c r="AL262" s="1733">
        <f>C262*E262*VLOOKUP(K262,'SCR-Diode DATA'!D$7:M$43,10,FALSE)</f>
        <v>72</v>
      </c>
      <c r="AM262" s="507">
        <f>AH262/F262</f>
        <v>0.55561240070816098</v>
      </c>
    </row>
    <row r="263" spans="1:39" ht="18.75">
      <c r="A263" s="1598">
        <v>1</v>
      </c>
      <c r="B263" s="1533">
        <f t="shared" si="143"/>
        <v>4</v>
      </c>
      <c r="C263" s="1600">
        <v>2</v>
      </c>
      <c r="D263" s="1575">
        <f>B263/C263</f>
        <v>2</v>
      </c>
      <c r="E263" s="1575">
        <v>1</v>
      </c>
      <c r="F263" s="1611">
        <f>IF(A263=3,3*G263,IF(A263=1,2*G263,IF(A263="bd",1*G263,IF(A263="fwd",1,"Error"))))</f>
        <v>226.65111756370555</v>
      </c>
      <c r="G263" s="1582">
        <f>(-AE263+SQRT(AG263))/2/AD263</f>
        <v>113.32555878185278</v>
      </c>
      <c r="H263" s="1583">
        <f>IF(A263=3,SQRT(3),IF(A263=1,SQRT(2),1))</f>
        <v>1.4142135623730951</v>
      </c>
      <c r="I263" s="1594">
        <f>H263*G263</f>
        <v>160.26654219280562</v>
      </c>
      <c r="J263" s="1680" t="s">
        <v>552</v>
      </c>
      <c r="K263" s="1418" t="s">
        <v>555</v>
      </c>
      <c r="L263" s="1419">
        <v>160</v>
      </c>
      <c r="M263" s="1419">
        <v>250</v>
      </c>
      <c r="N263" s="1419">
        <v>4100</v>
      </c>
      <c r="O263" s="1412">
        <v>125</v>
      </c>
      <c r="P263" s="1416">
        <v>0.85</v>
      </c>
      <c r="Q263" s="1416">
        <v>1.5</v>
      </c>
      <c r="R263" s="1416">
        <v>0.17</v>
      </c>
      <c r="S263" s="1687">
        <v>0.1</v>
      </c>
      <c r="T263" s="1624">
        <v>15</v>
      </c>
      <c r="U263" s="1616" t="s">
        <v>645</v>
      </c>
      <c r="V263" s="1622">
        <f>IF(E263=1,IF(U263="N",LOOKUP(T263,'HS250-DATA'!C$7:C$10,'HS250-DATA'!D$7:D$10),IF(U263="Y",LOOKUP(T263,'HS250-DATA'!C$22:C$25,'HS250-DATA'!D$22:D$25),"FAN?")),IF(U263="N",LOOKUP(T263,'HS250-DATA'!C$14:C$17,'HS250-DATA'!D$14:D$17),IF(U263="Y",LOOKUP(T263,'HS250-DATA'!C$29:C$32,'HS250-DATA'!D$29:D$32),"FAN?")))</f>
        <v>0.106</v>
      </c>
      <c r="W263" s="1602">
        <f>(G263*H263)^2*Q263*10^-3+G263*P263</f>
        <v>134.85477178423238</v>
      </c>
      <c r="X263" s="1602">
        <f>D263*W263</f>
        <v>269.70954356846477</v>
      </c>
      <c r="Y263" s="1602">
        <f>IF(A263=3,W263*6,IF(A263=1,W263*4,W263))</f>
        <v>539.41908713692953</v>
      </c>
      <c r="Z263" s="1579">
        <f>O263-5</f>
        <v>120</v>
      </c>
      <c r="AA263" s="1602">
        <f>D263*W263*V263+AB263</f>
        <v>83.589211618257266</v>
      </c>
      <c r="AB263" s="1588">
        <v>55</v>
      </c>
      <c r="AC263" s="1570"/>
      <c r="AD263" s="1564">
        <f>Q263*10^-3*H263^2</f>
        <v>3.0000000000000009E-3</v>
      </c>
      <c r="AE263" s="1634">
        <f>P263</f>
        <v>0.85</v>
      </c>
      <c r="AF263" s="1635">
        <f>(AB263-Z263)/(R263+S263+D263*V263)</f>
        <v>-134.85477178423238</v>
      </c>
      <c r="AG263" s="1636">
        <f>AE263^2-4*AD263*AF263</f>
        <v>2.340757261410789</v>
      </c>
      <c r="AH263" s="1741">
        <f>SUM(AJ263:AL263)</f>
        <v>152.52000000000001</v>
      </c>
      <c r="AI263" s="1607"/>
      <c r="AJ263" s="1733">
        <f>C263*LOOKUP(T263,'HS250-DATA'!C$7:C$10,'HS250-DATA'!F$7:F$10)</f>
        <v>56.52</v>
      </c>
      <c r="AK263" s="1733">
        <f>IF(U263="Y",C263*12,0)</f>
        <v>24</v>
      </c>
      <c r="AL263" s="1733">
        <f>C263*E263*VLOOKUP(K263,'SCR-Diode DATA'!D$7:M$43,10,FALSE)</f>
        <v>72</v>
      </c>
      <c r="AM263" s="507">
        <f>AH263/F263</f>
        <v>0.67292851515338648</v>
      </c>
    </row>
    <row r="264" spans="1:39" ht="18.75">
      <c r="A264" s="1598"/>
      <c r="B264" s="1533"/>
      <c r="C264" s="1600"/>
      <c r="D264" s="1575"/>
      <c r="E264" s="1575"/>
      <c r="F264" s="1611"/>
      <c r="G264" s="1582"/>
      <c r="H264" s="1583"/>
      <c r="I264" s="1594"/>
      <c r="J264" s="1680"/>
      <c r="K264" s="1418"/>
      <c r="L264" s="1419"/>
      <c r="M264" s="1419"/>
      <c r="N264" s="1419"/>
      <c r="O264" s="1412"/>
      <c r="P264" s="1416"/>
      <c r="Q264" s="1416"/>
      <c r="R264" s="1416"/>
      <c r="S264" s="1687"/>
      <c r="T264" s="1624"/>
      <c r="U264" s="1616"/>
      <c r="V264" s="1622"/>
      <c r="W264" s="1602"/>
      <c r="X264" s="1602"/>
      <c r="Y264" s="1602"/>
      <c r="Z264" s="1579"/>
      <c r="AA264" s="1602"/>
      <c r="AB264" s="1588"/>
      <c r="AC264" s="1570"/>
      <c r="AD264" s="1564"/>
      <c r="AE264" s="1634"/>
      <c r="AF264" s="1635"/>
      <c r="AG264" s="1636"/>
      <c r="AH264" s="1742"/>
      <c r="AI264" s="1607"/>
      <c r="AJ264" s="1607"/>
      <c r="AK264" s="1607"/>
      <c r="AL264" s="1733"/>
      <c r="AM264" s="1743"/>
    </row>
    <row r="265" spans="1:39" ht="18.75">
      <c r="A265" s="1598">
        <v>3</v>
      </c>
      <c r="B265" s="1533">
        <f t="shared" si="143"/>
        <v>6</v>
      </c>
      <c r="C265" s="1600">
        <v>1</v>
      </c>
      <c r="D265" s="1575">
        <f>B265/C265</f>
        <v>6</v>
      </c>
      <c r="E265" s="1575">
        <v>3</v>
      </c>
      <c r="F265" s="1611">
        <f>IF(A265=3,3*G265,IF(A265=1,2*G265,IF(A265="bd",1*G265,IF(A265="fwd",1,"Error"))))</f>
        <v>308.35312732675175</v>
      </c>
      <c r="G265" s="1582">
        <f>(-AE265+SQRT(AG265))/2/AD265</f>
        <v>102.78437577558392</v>
      </c>
      <c r="H265" s="1583">
        <f>IF(A265=3,SQRT(3),IF(A265=1,SQRT(2),1))</f>
        <v>1.7320508075688772</v>
      </c>
      <c r="I265" s="1594">
        <f>H265*G265</f>
        <v>178.02776106756306</v>
      </c>
      <c r="J265" s="1680" t="s">
        <v>548</v>
      </c>
      <c r="K265" s="1418" t="s">
        <v>469</v>
      </c>
      <c r="L265" s="1419">
        <v>250</v>
      </c>
      <c r="M265" s="1419">
        <v>393</v>
      </c>
      <c r="N265" s="1419">
        <v>8800</v>
      </c>
      <c r="O265" s="1412">
        <v>125</v>
      </c>
      <c r="P265" s="1416">
        <v>0.81899999999999995</v>
      </c>
      <c r="Q265" s="1416">
        <v>0.58899999999999997</v>
      </c>
      <c r="R265" s="1416">
        <v>0.14000000000000001</v>
      </c>
      <c r="S265" s="1687">
        <v>0.06</v>
      </c>
      <c r="T265" s="1624">
        <v>15</v>
      </c>
      <c r="U265" s="1616" t="s">
        <v>645</v>
      </c>
      <c r="V265" s="1622">
        <f>IF(E265=1,IF(U265="N",LOOKUP(T265,'HS250-DATA'!C$7:C$10,'HS250-DATA'!D$7:D$10),IF(U265="Y",LOOKUP(T265,'HS250-DATA'!C$22:C$25,'HS250-DATA'!D$22:D$25),"FAN?")),IF(U265="N",LOOKUP(T265,'HS250-DATA'!C$14:C$17,'HS250-DATA'!D$14:D$17),IF(U265="Y",LOOKUP(T265,'HS250-DATA'!C$29:C$32,'HS250-DATA'!D$29:D$32),"FAN?")))</f>
        <v>7.1999999999999995E-2</v>
      </c>
      <c r="W265" s="1602">
        <f>(G265*H265)^2*Q265*10^-3+G265*P265</f>
        <v>102.84810126582281</v>
      </c>
      <c r="X265" s="1602">
        <f>D265*W265</f>
        <v>617.08860759493678</v>
      </c>
      <c r="Y265" s="1602">
        <f>IF(A265=3,W265*6,IF(A265=1,W265*4,W265))</f>
        <v>617.08860759493678</v>
      </c>
      <c r="Z265" s="1579">
        <f>O265-5</f>
        <v>120</v>
      </c>
      <c r="AA265" s="1602">
        <f>D265*W265*V265+AB265</f>
        <v>99.430379746835442</v>
      </c>
      <c r="AB265" s="1588">
        <v>55</v>
      </c>
      <c r="AC265" s="1570"/>
      <c r="AD265" s="1564">
        <f>Q265*10^-3*H265^2</f>
        <v>1.7669999999999997E-3</v>
      </c>
      <c r="AE265" s="1634">
        <f>P265</f>
        <v>0.81899999999999995</v>
      </c>
      <c r="AF265" s="1635">
        <f>(AB265-Z265)/(R265+S265+D265*V265)</f>
        <v>-102.84810126582281</v>
      </c>
      <c r="AG265" s="1636">
        <f>AE265^2-4*AD265*AF265</f>
        <v>1.3976913797468353</v>
      </c>
      <c r="AH265" s="1741">
        <f>SUM(AJ265:AL265)</f>
        <v>265.26</v>
      </c>
      <c r="AI265" s="1607"/>
      <c r="AJ265" s="1733">
        <f>C265*LOOKUP(T265,'HS250-DATA'!C$7:C$10,'HS250-DATA'!F$7:F$10)</f>
        <v>28.26</v>
      </c>
      <c r="AK265" s="1733">
        <f>IF(U265="Y",C265*12,0)</f>
        <v>12</v>
      </c>
      <c r="AL265" s="1733">
        <f>C265*E265*VLOOKUP(K265,'SCR-Diode DATA'!D$7:M$43,10,FALSE)</f>
        <v>225</v>
      </c>
      <c r="AM265" s="507">
        <f>AH265/F265</f>
        <v>0.86024747762299369</v>
      </c>
    </row>
    <row r="266" spans="1:39" ht="18.75">
      <c r="A266" s="1598">
        <v>3</v>
      </c>
      <c r="B266" s="1533">
        <f t="shared" si="143"/>
        <v>6</v>
      </c>
      <c r="C266" s="1600">
        <v>3</v>
      </c>
      <c r="D266" s="1575">
        <f>B266/C266</f>
        <v>2</v>
      </c>
      <c r="E266" s="1575">
        <v>1</v>
      </c>
      <c r="F266" s="1611">
        <f>IF(A266=3,3*G266,IF(A266=1,2*G266,IF(A266="bd",1*G266,IF(A266="fwd",1,"Error"))))</f>
        <v>439.18507142182011</v>
      </c>
      <c r="G266" s="1582">
        <f>(-AE266+SQRT(AG266))/2/AD266</f>
        <v>146.39502380727336</v>
      </c>
      <c r="H266" s="1583">
        <f>IF(A266=3,SQRT(3),IF(A266=1,SQRT(2),1))</f>
        <v>1.7320508075688772</v>
      </c>
      <c r="I266" s="1594">
        <f>H266*G266</f>
        <v>253.56361920945284</v>
      </c>
      <c r="J266" s="1680" t="s">
        <v>548</v>
      </c>
      <c r="K266" s="1418" t="s">
        <v>469</v>
      </c>
      <c r="L266" s="1419">
        <v>250</v>
      </c>
      <c r="M266" s="1419">
        <v>393</v>
      </c>
      <c r="N266" s="1419">
        <v>8800</v>
      </c>
      <c r="O266" s="1412">
        <v>125</v>
      </c>
      <c r="P266" s="1416">
        <v>0.81899999999999995</v>
      </c>
      <c r="Q266" s="1416">
        <v>0.58899999999999997</v>
      </c>
      <c r="R266" s="1416">
        <v>0.14000000000000001</v>
      </c>
      <c r="S266" s="1687">
        <v>0.06</v>
      </c>
      <c r="T266" s="1624">
        <v>15</v>
      </c>
      <c r="U266" s="1616" t="s">
        <v>645</v>
      </c>
      <c r="V266" s="1622">
        <f>IF(E266=1,IF(U266="N",LOOKUP(T266,'HS250-DATA'!C$7:C$10,'HS250-DATA'!D$7:D$10),IF(U266="Y",LOOKUP(T266,'HS250-DATA'!C$22:C$25,'HS250-DATA'!D$22:D$25),"FAN?")),IF(U266="N",LOOKUP(T266,'HS250-DATA'!C$14:C$17,'HS250-DATA'!D$14:D$17),IF(U266="Y",LOOKUP(T266,'HS250-DATA'!C$29:C$32,'HS250-DATA'!D$29:D$32),"FAN?")))</f>
        <v>0.106</v>
      </c>
      <c r="W266" s="1602">
        <f>(G266*H266)^2*Q266*10^-3+G266*P266</f>
        <v>157.76699029126215</v>
      </c>
      <c r="X266" s="1602">
        <f>D266*W266</f>
        <v>315.53398058252429</v>
      </c>
      <c r="Y266" s="1602">
        <f>IF(A266=3,W266*6,IF(A266=1,W266*4,W266))</f>
        <v>946.60194174757294</v>
      </c>
      <c r="Z266" s="1579">
        <f>O266-5</f>
        <v>120</v>
      </c>
      <c r="AA266" s="1602">
        <f>D266*W266*V266+AB266</f>
        <v>88.446601941747574</v>
      </c>
      <c r="AB266" s="1588">
        <v>55</v>
      </c>
      <c r="AC266" s="1570"/>
      <c r="AD266" s="1564">
        <f>Q266*10^-3*H266^2</f>
        <v>1.7669999999999997E-3</v>
      </c>
      <c r="AE266" s="1634">
        <f>P266</f>
        <v>0.81899999999999995</v>
      </c>
      <c r="AF266" s="1635">
        <f>(AB266-Z266)/(R266+S266+D266*V266)</f>
        <v>-157.76699029126212</v>
      </c>
      <c r="AG266" s="1636">
        <f>AE266^2-4*AD266*AF266</f>
        <v>1.7858580873786405</v>
      </c>
      <c r="AH266" s="1741">
        <f>SUM(AJ266:AL266)</f>
        <v>345.78</v>
      </c>
      <c r="AI266" s="1607"/>
      <c r="AJ266" s="1733">
        <f>C266*LOOKUP(T266,'HS250-DATA'!C$7:C$10,'HS250-DATA'!F$7:F$10)</f>
        <v>84.78</v>
      </c>
      <c r="AK266" s="1733">
        <f>IF(U266="Y",C266*12,0)</f>
        <v>36</v>
      </c>
      <c r="AL266" s="1733">
        <f>C266*E266*VLOOKUP(K266,'SCR-Diode DATA'!D$7:M$43,10,FALSE)</f>
        <v>225</v>
      </c>
      <c r="AM266" s="507">
        <f>AH266/F266</f>
        <v>0.78732184334173727</v>
      </c>
    </row>
    <row r="267" spans="1:39" ht="18.75">
      <c r="A267" s="1598">
        <v>1</v>
      </c>
      <c r="B267" s="1533">
        <f t="shared" si="143"/>
        <v>4</v>
      </c>
      <c r="C267" s="1600">
        <v>1</v>
      </c>
      <c r="D267" s="1575">
        <f>B267/C267</f>
        <v>4</v>
      </c>
      <c r="E267" s="1575">
        <v>2</v>
      </c>
      <c r="F267" s="1611">
        <f>IF(A267=3,3*G267,IF(A267=1,2*G267,IF(A267="bd",1*G267,IF(A267="fwd",1,"Error"))))</f>
        <v>272.04288647836478</v>
      </c>
      <c r="G267" s="1582">
        <f>(-AE267+SQRT(AG267))/2/AD267</f>
        <v>136.02144323918239</v>
      </c>
      <c r="H267" s="1583">
        <f>IF(A267=3,SQRT(3),IF(A267=1,SQRT(2),1))</f>
        <v>1.4142135623730951</v>
      </c>
      <c r="I267" s="1594">
        <f>H267*G267</f>
        <v>192.36336980241387</v>
      </c>
      <c r="J267" s="1680" t="s">
        <v>552</v>
      </c>
      <c r="K267" s="1418" t="s">
        <v>556</v>
      </c>
      <c r="L267" s="1419">
        <v>250</v>
      </c>
      <c r="M267" s="1419">
        <v>393</v>
      </c>
      <c r="N267" s="1419">
        <v>8800</v>
      </c>
      <c r="O267" s="1412">
        <v>125</v>
      </c>
      <c r="P267" s="1416">
        <v>0.81899999999999995</v>
      </c>
      <c r="Q267" s="1416">
        <v>0.58899999999999997</v>
      </c>
      <c r="R267" s="1416">
        <v>0.14000000000000001</v>
      </c>
      <c r="S267" s="1687">
        <v>0.06</v>
      </c>
      <c r="T267" s="1624">
        <v>15</v>
      </c>
      <c r="U267" s="1616" t="s">
        <v>645</v>
      </c>
      <c r="V267" s="1622">
        <f>IF(E267=1,IF(U267="N",LOOKUP(T267,'HS250-DATA'!C$7:C$10,'HS250-DATA'!D$7:D$10),IF(U267="Y",LOOKUP(T267,'HS250-DATA'!C$22:C$25,'HS250-DATA'!D$22:D$25),"FAN?")),IF(U267="N",LOOKUP(T267,'HS250-DATA'!C$14:C$17,'HS250-DATA'!D$14:D$17),IF(U267="Y",LOOKUP(T267,'HS250-DATA'!C$29:C$32,'HS250-DATA'!D$29:D$32),"FAN?")))</f>
        <v>7.1999999999999995E-2</v>
      </c>
      <c r="W267" s="1602">
        <f>(G267*H267)^2*Q267*10^-3+G267*P267</f>
        <v>133.19672131147536</v>
      </c>
      <c r="X267" s="1602">
        <f>D267*W267</f>
        <v>532.78688524590143</v>
      </c>
      <c r="Y267" s="1602">
        <f>IF(A267=3,W267*6,IF(A267=1,W267*4,W267))</f>
        <v>532.78688524590143</v>
      </c>
      <c r="Z267" s="1579">
        <f>O267-5</f>
        <v>120</v>
      </c>
      <c r="AA267" s="1602">
        <f>D267*W267*V267+AB267</f>
        <v>93.360655737704903</v>
      </c>
      <c r="AB267" s="1588">
        <v>55</v>
      </c>
      <c r="AC267" s="1570"/>
      <c r="AD267" s="1564">
        <f>Q267*10^-3*H267^2</f>
        <v>1.1780000000000002E-3</v>
      </c>
      <c r="AE267" s="1634">
        <f>P267</f>
        <v>0.81899999999999995</v>
      </c>
      <c r="AF267" s="1635">
        <f>(AB267-Z267)/(R267+S267+D267*V267)</f>
        <v>-133.19672131147541</v>
      </c>
      <c r="AG267" s="1636">
        <f>AE267^2-4*AD267*AF267</f>
        <v>1.2983839508196722</v>
      </c>
      <c r="AH267" s="1741">
        <f>SUM(AJ267:AL267)</f>
        <v>190.26</v>
      </c>
      <c r="AI267" s="1607"/>
      <c r="AJ267" s="1733">
        <f>C267*LOOKUP(T267,'HS250-DATA'!C$7:C$10,'HS250-DATA'!F$7:F$10)</f>
        <v>28.26</v>
      </c>
      <c r="AK267" s="1733">
        <f>IF(U267="Y",C267*12,0)</f>
        <v>12</v>
      </c>
      <c r="AL267" s="1733">
        <f>C267*E267*VLOOKUP(K267,'SCR-Diode DATA'!D$7:M$43,10,FALSE)</f>
        <v>150</v>
      </c>
      <c r="AM267" s="507">
        <f>AH267/F267</f>
        <v>0.69937502304487242</v>
      </c>
    </row>
    <row r="268" spans="1:39" ht="18.75">
      <c r="A268" s="1598">
        <v>1</v>
      </c>
      <c r="B268" s="1533">
        <f t="shared" si="143"/>
        <v>4</v>
      </c>
      <c r="C268" s="1600">
        <v>2</v>
      </c>
      <c r="D268" s="1575">
        <f>B268/C268</f>
        <v>2</v>
      </c>
      <c r="E268" s="1575">
        <v>1</v>
      </c>
      <c r="F268" s="1611">
        <f>IF(A268=3,3*G268,IF(A268=1,2*G268,IF(A268="bd",1*G268,IF(A268="fwd",1,"Error"))))</f>
        <v>314.24804636848472</v>
      </c>
      <c r="G268" s="1582">
        <f>(-AE268+SQRT(AG268))/2/AD268</f>
        <v>157.12402318424236</v>
      </c>
      <c r="H268" s="1583">
        <f>IF(A268=3,SQRT(3),IF(A268=1,SQRT(2),1))</f>
        <v>1.4142135623730951</v>
      </c>
      <c r="I268" s="1594">
        <f>H268*G268</f>
        <v>222.20692456178017</v>
      </c>
      <c r="J268" s="1680" t="s">
        <v>552</v>
      </c>
      <c r="K268" s="1418" t="s">
        <v>556</v>
      </c>
      <c r="L268" s="1419">
        <v>250</v>
      </c>
      <c r="M268" s="1419">
        <v>393</v>
      </c>
      <c r="N268" s="1419">
        <v>8800</v>
      </c>
      <c r="O268" s="1412">
        <v>125</v>
      </c>
      <c r="P268" s="1416">
        <v>0.81899999999999995</v>
      </c>
      <c r="Q268" s="1416">
        <v>0.58899999999999997</v>
      </c>
      <c r="R268" s="1416">
        <v>0.14000000000000001</v>
      </c>
      <c r="S268" s="1687">
        <v>0.06</v>
      </c>
      <c r="T268" s="1624">
        <v>15</v>
      </c>
      <c r="U268" s="1616" t="s">
        <v>645</v>
      </c>
      <c r="V268" s="1622">
        <f>IF(E268=1,IF(U268="N",LOOKUP(T268,'HS250-DATA'!C$7:C$10,'HS250-DATA'!D$7:D$10),IF(U268="Y",LOOKUP(T268,'HS250-DATA'!C$22:C$25,'HS250-DATA'!D$22:D$25),"FAN?")),IF(U268="N",LOOKUP(T268,'HS250-DATA'!C$14:C$17,'HS250-DATA'!D$14:D$17),IF(U268="Y",LOOKUP(T268,'HS250-DATA'!C$29:C$32,'HS250-DATA'!D$29:D$32),"FAN?")))</f>
        <v>0.106</v>
      </c>
      <c r="W268" s="1602">
        <f>(G268*H268)^2*Q268*10^-3+G268*P268</f>
        <v>157.76699029126203</v>
      </c>
      <c r="X268" s="1602">
        <f>D268*W268</f>
        <v>315.53398058252407</v>
      </c>
      <c r="Y268" s="1602">
        <f>IF(A268=3,W268*6,IF(A268=1,W268*4,W268))</f>
        <v>631.06796116504813</v>
      </c>
      <c r="Z268" s="1579">
        <f>O268-5</f>
        <v>120</v>
      </c>
      <c r="AA268" s="1602">
        <f>D268*W268*V268+AB268</f>
        <v>88.446601941747559</v>
      </c>
      <c r="AB268" s="1588">
        <v>55</v>
      </c>
      <c r="AC268" s="1570"/>
      <c r="AD268" s="1564">
        <f>Q268*10^-3*H268^2</f>
        <v>1.1780000000000002E-3</v>
      </c>
      <c r="AE268" s="1634">
        <f>P268</f>
        <v>0.81899999999999995</v>
      </c>
      <c r="AF268" s="1635">
        <f>(AB268-Z268)/(R268+S268+D268*V268)</f>
        <v>-157.76699029126212</v>
      </c>
      <c r="AG268" s="1636">
        <f>AE268^2-4*AD268*AF268</f>
        <v>1.414159058252427</v>
      </c>
      <c r="AH268" s="1741">
        <f>SUM(AJ268:AL268)</f>
        <v>230.52</v>
      </c>
      <c r="AI268" s="1607"/>
      <c r="AJ268" s="1733">
        <f>C268*LOOKUP(T268,'HS250-DATA'!C$7:C$10,'HS250-DATA'!F$7:F$10)</f>
        <v>56.52</v>
      </c>
      <c r="AK268" s="1733">
        <f>IF(U268="Y",C268*12,0)</f>
        <v>24</v>
      </c>
      <c r="AL268" s="1733">
        <f>C268*E268*VLOOKUP(K268,'SCR-Diode DATA'!D$7:M$43,10,FALSE)</f>
        <v>150</v>
      </c>
      <c r="AM268" s="507">
        <f>AH268/F268</f>
        <v>0.73356064632361828</v>
      </c>
    </row>
    <row r="269" spans="1:39" ht="18.75">
      <c r="A269" s="1598"/>
      <c r="B269" s="1533"/>
      <c r="C269" s="1600"/>
      <c r="D269" s="1575"/>
      <c r="E269" s="1575"/>
      <c r="F269" s="1611"/>
      <c r="G269" s="1582"/>
      <c r="H269" s="1583"/>
      <c r="I269" s="1594"/>
      <c r="J269" s="1680"/>
      <c r="K269" s="1418"/>
      <c r="L269" s="1419"/>
      <c r="M269" s="1419"/>
      <c r="N269" s="1419"/>
      <c r="O269" s="1412"/>
      <c r="P269" s="1416"/>
      <c r="Q269" s="1416"/>
      <c r="R269" s="1416"/>
      <c r="S269" s="1687"/>
      <c r="T269" s="1624"/>
      <c r="U269" s="1616"/>
      <c r="V269" s="1622"/>
      <c r="W269" s="1602"/>
      <c r="X269" s="1602"/>
      <c r="Y269" s="1602"/>
      <c r="Z269" s="1579"/>
      <c r="AA269" s="1602"/>
      <c r="AB269" s="1588"/>
      <c r="AC269" s="1570"/>
      <c r="AD269" s="1564"/>
      <c r="AE269" s="1634"/>
      <c r="AF269" s="1635"/>
      <c r="AG269" s="1636"/>
      <c r="AH269" s="1742"/>
      <c r="AI269" s="1607"/>
      <c r="AJ269" s="1607"/>
      <c r="AK269" s="1607"/>
      <c r="AL269" s="1733"/>
      <c r="AM269" s="1743"/>
    </row>
    <row r="270" spans="1:39" ht="18.75">
      <c r="A270" s="1598">
        <v>3</v>
      </c>
      <c r="B270" s="1533">
        <f t="shared" si="143"/>
        <v>6</v>
      </c>
      <c r="C270" s="1600">
        <v>1</v>
      </c>
      <c r="D270" s="1575">
        <f>B270/C270</f>
        <v>6</v>
      </c>
      <c r="E270" s="1575">
        <v>3</v>
      </c>
      <c r="F270" s="1611">
        <f>IF(A270=3,3*G270,IF(A270=1,2*G270,IF(A270="bd",1*G270,IF(A270="fwd",1,"Error"))))</f>
        <v>401.85264272295422</v>
      </c>
      <c r="G270" s="1582">
        <f>(-AE270+SQRT(AG270))/2/AD270</f>
        <v>133.9508809076514</v>
      </c>
      <c r="H270" s="1583">
        <f>IF(A270=3,SQRT(3),IF(A270=1,SQRT(2),1))</f>
        <v>1.7320508075688772</v>
      </c>
      <c r="I270" s="1594">
        <f>H270*G270</f>
        <v>232.0097314506601</v>
      </c>
      <c r="J270" s="1680" t="s">
        <v>548</v>
      </c>
      <c r="K270" s="1418" t="s">
        <v>470</v>
      </c>
      <c r="L270" s="1419">
        <v>500</v>
      </c>
      <c r="M270" s="1419">
        <v>900</v>
      </c>
      <c r="N270" s="1419">
        <v>16300</v>
      </c>
      <c r="O270" s="1412">
        <v>125</v>
      </c>
      <c r="P270" s="1416">
        <v>0.81</v>
      </c>
      <c r="Q270" s="1416">
        <v>0.32</v>
      </c>
      <c r="R270" s="1416">
        <v>6.5000000000000002E-2</v>
      </c>
      <c r="S270" s="1687">
        <v>0.02</v>
      </c>
      <c r="T270" s="1624">
        <v>15</v>
      </c>
      <c r="U270" s="1616" t="s">
        <v>645</v>
      </c>
      <c r="V270" s="1622">
        <f>IF(E270=1,IF(U270="N",LOOKUP(T270,'HS250-DATA'!C$7:C$10,'HS250-DATA'!D$7:D$10),IF(U270="Y",LOOKUP(T270,'HS250-DATA'!C$22:C$25,'HS250-DATA'!D$22:D$25),"FAN?")),IF(U270="N",LOOKUP(T270,'HS250-DATA'!C$14:C$17,'HS250-DATA'!D$14:D$17),IF(U270="Y",LOOKUP(T270,'HS250-DATA'!C$29:C$32,'HS250-DATA'!D$29:D$32),"FAN?")))</f>
        <v>7.1999999999999995E-2</v>
      </c>
      <c r="W270" s="1602">
        <f>(G270*H270)^2*Q270*10^-3+G270*P270</f>
        <v>125.725338491296</v>
      </c>
      <c r="X270" s="1602">
        <f>D270*W270</f>
        <v>754.35203094777603</v>
      </c>
      <c r="Y270" s="1602">
        <f>IF(A270=3,W270*6,IF(A270=1,W270*4,W270))</f>
        <v>754.35203094777603</v>
      </c>
      <c r="Z270" s="1579">
        <f>O270-5</f>
        <v>120</v>
      </c>
      <c r="AA270" s="1602">
        <f>D270*W270*V270+AB270</f>
        <v>109.31334622823988</v>
      </c>
      <c r="AB270" s="1588">
        <v>55</v>
      </c>
      <c r="AC270" s="1570"/>
      <c r="AD270" s="1564">
        <f>Q270*10^-3*H270^2</f>
        <v>9.5999999999999992E-4</v>
      </c>
      <c r="AE270" s="1634">
        <f>P270</f>
        <v>0.81</v>
      </c>
      <c r="AF270" s="1635">
        <f>(AB270-Z270)/(R270+S270+D270*V270)</f>
        <v>-125.72533849129596</v>
      </c>
      <c r="AG270" s="1636">
        <f>AE270^2-4*AD270*AF270</f>
        <v>1.1388852998065766</v>
      </c>
      <c r="AH270" s="1741">
        <f>SUM(AJ270:AL270)</f>
        <v>445.26</v>
      </c>
      <c r="AI270" s="1607"/>
      <c r="AJ270" s="1733">
        <f>C270*LOOKUP(T270,'HS250-DATA'!C$7:C$10,'HS250-DATA'!F$7:F$10)</f>
        <v>28.26</v>
      </c>
      <c r="AK270" s="1733">
        <f>IF(U270="Y",C270*12,0)</f>
        <v>12</v>
      </c>
      <c r="AL270" s="1733">
        <f>C270*E270*VLOOKUP(K270,'SCR-Diode DATA'!D$7:M$43,10,FALSE)</f>
        <v>405</v>
      </c>
      <c r="AM270" s="507">
        <f>AH270/F270</f>
        <v>1.1080180958445798</v>
      </c>
    </row>
    <row r="271" spans="1:39" ht="18.75">
      <c r="A271" s="1598">
        <v>3</v>
      </c>
      <c r="B271" s="1533">
        <f t="shared" si="143"/>
        <v>6</v>
      </c>
      <c r="C271" s="1600">
        <v>3</v>
      </c>
      <c r="D271" s="1575">
        <f>B271/C271</f>
        <v>2</v>
      </c>
      <c r="E271" s="1575">
        <v>1</v>
      </c>
      <c r="F271" s="1611">
        <f>IF(A271=3,3*G271,IF(A271=1,2*G271,IF(A271="bd",1*G271,IF(A271="fwd",1,"Error"))))</f>
        <v>645.807530170154</v>
      </c>
      <c r="G271" s="1582">
        <f>(-AE271+SQRT(AG271))/2/AD271</f>
        <v>215.26917672338467</v>
      </c>
      <c r="H271" s="1583">
        <f>IF(A271=3,SQRT(3),IF(A271=1,SQRT(2),1))</f>
        <v>1.7320508075688772</v>
      </c>
      <c r="I271" s="1594">
        <f>H271*G271</f>
        <v>372.85715138842579</v>
      </c>
      <c r="J271" s="1680" t="s">
        <v>548</v>
      </c>
      <c r="K271" s="1418" t="s">
        <v>470</v>
      </c>
      <c r="L271" s="1419">
        <v>500</v>
      </c>
      <c r="M271" s="1419">
        <v>900</v>
      </c>
      <c r="N271" s="1419">
        <v>16300</v>
      </c>
      <c r="O271" s="1412">
        <v>125</v>
      </c>
      <c r="P271" s="1416">
        <v>0.81</v>
      </c>
      <c r="Q271" s="1416">
        <v>0.32</v>
      </c>
      <c r="R271" s="1416">
        <v>6.5000000000000002E-2</v>
      </c>
      <c r="S271" s="1687">
        <v>0.02</v>
      </c>
      <c r="T271" s="1624">
        <v>15</v>
      </c>
      <c r="U271" s="1616" t="s">
        <v>645</v>
      </c>
      <c r="V271" s="1622">
        <f>IF(E271=1,IF(U271="N",LOOKUP(T271,'HS250-DATA'!C$7:C$10,'HS250-DATA'!D$7:D$10),IF(U271="Y",LOOKUP(T271,'HS250-DATA'!C$22:C$25,'HS250-DATA'!D$22:D$25),"FAN?")),IF(U271="N",LOOKUP(T271,'HS250-DATA'!C$14:C$17,'HS250-DATA'!D$14:D$17),IF(U271="Y",LOOKUP(T271,'HS250-DATA'!C$29:C$32,'HS250-DATA'!D$29:D$32),"FAN?")))</f>
        <v>0.106</v>
      </c>
      <c r="W271" s="1602">
        <f>(G271*H271)^2*Q271*10^-3+G271*P271</f>
        <v>218.85521885521888</v>
      </c>
      <c r="X271" s="1602">
        <f>D271*W271</f>
        <v>437.71043771043776</v>
      </c>
      <c r="Y271" s="1602">
        <f>IF(A271=3,W271*6,IF(A271=1,W271*4,W271))</f>
        <v>1313.1313131313132</v>
      </c>
      <c r="Z271" s="1579">
        <f>O271-5</f>
        <v>120</v>
      </c>
      <c r="AA271" s="1602">
        <f>D271*W271*V271+AB271</f>
        <v>101.39730639730641</v>
      </c>
      <c r="AB271" s="1588">
        <v>55</v>
      </c>
      <c r="AC271" s="1570"/>
      <c r="AD271" s="1564">
        <f>Q271*10^-3*H271^2</f>
        <v>9.5999999999999992E-4</v>
      </c>
      <c r="AE271" s="1634">
        <f>P271</f>
        <v>0.81</v>
      </c>
      <c r="AF271" s="1635">
        <f>(AB271-Z271)/(R271+S271+D271*V271)</f>
        <v>-218.85521885521888</v>
      </c>
      <c r="AG271" s="1636">
        <f>AE271^2-4*AD271*AF271</f>
        <v>1.4965040404040404</v>
      </c>
      <c r="AH271" s="1741">
        <f>SUM(AJ271:AL271)</f>
        <v>525.78</v>
      </c>
      <c r="AI271" s="1607"/>
      <c r="AJ271" s="1733">
        <f>C271*LOOKUP(T271,'HS250-DATA'!C$7:C$10,'HS250-DATA'!F$7:F$10)</f>
        <v>84.78</v>
      </c>
      <c r="AK271" s="1733">
        <f>IF(U271="Y",C271*12,0)</f>
        <v>36</v>
      </c>
      <c r="AL271" s="1733">
        <f>C271*E271*VLOOKUP(K271,'SCR-Diode DATA'!D$7:M$43,10,FALSE)</f>
        <v>405</v>
      </c>
      <c r="AM271" s="507">
        <f>AH271/F271</f>
        <v>0.81414349544897724</v>
      </c>
    </row>
    <row r="272" spans="1:39" ht="18.75">
      <c r="A272" s="1598"/>
      <c r="B272" s="1533"/>
      <c r="C272" s="1600"/>
      <c r="D272" s="1575"/>
      <c r="E272" s="1575"/>
      <c r="F272" s="1611"/>
      <c r="G272" s="1582"/>
      <c r="H272" s="1583"/>
      <c r="I272" s="1594"/>
      <c r="J272" s="1680"/>
      <c r="K272" s="1418"/>
      <c r="L272" s="1419"/>
      <c r="M272" s="1419"/>
      <c r="N272" s="1419"/>
      <c r="O272" s="1412"/>
      <c r="P272" s="1416"/>
      <c r="Q272" s="1416"/>
      <c r="R272" s="1416"/>
      <c r="S272" s="1687"/>
      <c r="T272" s="1624"/>
      <c r="U272" s="1616"/>
      <c r="V272" s="1622"/>
      <c r="W272" s="1602"/>
      <c r="X272" s="1602"/>
      <c r="Y272" s="1602"/>
      <c r="Z272" s="1579"/>
      <c r="AA272" s="1602"/>
      <c r="AB272" s="1588"/>
      <c r="AC272" s="1570"/>
      <c r="AD272" s="1564"/>
      <c r="AE272" s="1634"/>
      <c r="AF272" s="1635"/>
      <c r="AG272" s="1636"/>
      <c r="AH272" s="1742"/>
      <c r="AI272" s="1607"/>
      <c r="AJ272" s="1607"/>
      <c r="AK272" s="1607"/>
      <c r="AL272" s="1733"/>
      <c r="AM272" s="1743"/>
    </row>
    <row r="273" spans="1:51" ht="18.75">
      <c r="A273" s="1598">
        <v>3</v>
      </c>
      <c r="B273" s="1533">
        <f t="shared" si="143"/>
        <v>6</v>
      </c>
      <c r="C273" s="1600">
        <v>1</v>
      </c>
      <c r="D273" s="1575">
        <f>B273/C273</f>
        <v>6</v>
      </c>
      <c r="E273" s="1575">
        <v>3</v>
      </c>
      <c r="F273" s="1611">
        <f>IF(A273=3,3*G273,IF(A273=1,2*G273,IF(A273="bd",1*G273,IF(A273="fwd",1,"Error"))))</f>
        <v>484.57098726117476</v>
      </c>
      <c r="G273" s="1582">
        <f>(-AE273+SQRT(AG273))/2/AD273</f>
        <v>161.52366242039159</v>
      </c>
      <c r="H273" s="1583">
        <f>IF(A273=3,SQRT(3),IF(A273=1,SQRT(2),1))</f>
        <v>1.7320508075688772</v>
      </c>
      <c r="I273" s="1594">
        <f>H273*G273</f>
        <v>279.76718993672193</v>
      </c>
      <c r="J273" s="1680" t="s">
        <v>548</v>
      </c>
      <c r="K273" s="1418" t="s">
        <v>471</v>
      </c>
      <c r="L273" s="1419">
        <v>700</v>
      </c>
      <c r="M273" s="1419">
        <v>1100</v>
      </c>
      <c r="N273" s="1419">
        <v>36500</v>
      </c>
      <c r="O273" s="1412">
        <v>125</v>
      </c>
      <c r="P273" s="1416">
        <v>0.70299999999999996</v>
      </c>
      <c r="Q273" s="1416">
        <v>0.184</v>
      </c>
      <c r="R273" s="1416">
        <v>5.8000000000000003E-2</v>
      </c>
      <c r="S273" s="1687">
        <v>1.7999999999999999E-2</v>
      </c>
      <c r="T273" s="1624">
        <v>15</v>
      </c>
      <c r="U273" s="1616" t="s">
        <v>645</v>
      </c>
      <c r="V273" s="1622">
        <f>IF(E273=1,IF(U273="N",LOOKUP(T273,'HS250-DATA'!C$7:C$10,'HS250-DATA'!D$7:D$10),IF(U273="Y",LOOKUP(T273,'HS250-DATA'!C$22:C$25,'HS250-DATA'!D$22:D$25),"FAN?")),IF(U273="N",LOOKUP(T273,'HS250-DATA'!C$14:C$17,'HS250-DATA'!D$14:D$17),IF(U273="Y",LOOKUP(T273,'HS250-DATA'!C$29:C$32,'HS250-DATA'!D$29:D$32),"FAN?")))</f>
        <v>7.1999999999999995E-2</v>
      </c>
      <c r="W273" s="1602">
        <f>(G273*H273)^2*Q273*10^-3+G273*P273</f>
        <v>127.95275590551181</v>
      </c>
      <c r="X273" s="1602">
        <f>D273*W273</f>
        <v>767.71653543307082</v>
      </c>
      <c r="Y273" s="1602">
        <f>IF(A273=3,W273*6,IF(A273=1,W273*4,W273))</f>
        <v>767.71653543307082</v>
      </c>
      <c r="Z273" s="1579">
        <f>O273-5</f>
        <v>120</v>
      </c>
      <c r="AA273" s="1602">
        <f>D273*W273*V273+AB273</f>
        <v>110.2755905511811</v>
      </c>
      <c r="AB273" s="1588">
        <v>55</v>
      </c>
      <c r="AC273" s="1570"/>
      <c r="AD273" s="1564">
        <f>Q273*10^-3*H273^2</f>
        <v>5.5199999999999986E-4</v>
      </c>
      <c r="AE273" s="1634">
        <f>P273</f>
        <v>0.70299999999999996</v>
      </c>
      <c r="AF273" s="1635">
        <f>(AB273-Z273)/(R273+S273+D273*V273)</f>
        <v>-127.95275590551184</v>
      </c>
      <c r="AG273" s="1636">
        <f>AE273^2-4*AD273*AF273</f>
        <v>0.77672868503936998</v>
      </c>
      <c r="AH273" s="1741">
        <f>SUM(AJ273:AL273)</f>
        <v>1015.26</v>
      </c>
      <c r="AI273" s="1607"/>
      <c r="AJ273" s="1733">
        <f>C273*LOOKUP(T273,'HS250-DATA'!C$7:C$10,'HS250-DATA'!F$7:F$10)</f>
        <v>28.26</v>
      </c>
      <c r="AK273" s="1733">
        <f>IF(U273="Y",C273*12,0)</f>
        <v>12</v>
      </c>
      <c r="AL273" s="1733">
        <f>C273*E273*VLOOKUP(K273,'SCR-Diode DATA'!D$7:M$43,10,FALSE)</f>
        <v>975</v>
      </c>
      <c r="AM273" s="507">
        <f>AH273/F273</f>
        <v>2.0951728986877907</v>
      </c>
    </row>
    <row r="274" spans="1:51" ht="18.75">
      <c r="A274" s="1598">
        <v>3</v>
      </c>
      <c r="B274" s="1533">
        <f t="shared" si="143"/>
        <v>6</v>
      </c>
      <c r="C274" s="1600">
        <v>3</v>
      </c>
      <c r="D274" s="1575">
        <f>B274/C274</f>
        <v>2</v>
      </c>
      <c r="E274" s="1575">
        <v>1</v>
      </c>
      <c r="F274" s="1611">
        <f>IF(A274=3,3*G274,IF(A274=1,2*G274,IF(A274="bd",1*G274,IF(A274="fwd",1,"Error"))))</f>
        <v>796.91355576894216</v>
      </c>
      <c r="G274" s="1582">
        <f>(-AE274+SQRT(AG274))/2/AD274</f>
        <v>265.6378519229807</v>
      </c>
      <c r="H274" s="1583">
        <f>IF(A274=3,SQRT(3),IF(A274=1,SQRT(2),1))</f>
        <v>1.7320508075688772</v>
      </c>
      <c r="I274" s="1594">
        <f>H274*G274</f>
        <v>460.09825594406055</v>
      </c>
      <c r="J274" s="1680" t="s">
        <v>548</v>
      </c>
      <c r="K274" s="1418" t="s">
        <v>471</v>
      </c>
      <c r="L274" s="1419">
        <v>700</v>
      </c>
      <c r="M274" s="1419">
        <v>1100</v>
      </c>
      <c r="N274" s="1419">
        <v>36500</v>
      </c>
      <c r="O274" s="1412">
        <v>125</v>
      </c>
      <c r="P274" s="1416">
        <v>0.70299999999999996</v>
      </c>
      <c r="Q274" s="1416">
        <v>0.184</v>
      </c>
      <c r="R274" s="1416">
        <v>5.8000000000000003E-2</v>
      </c>
      <c r="S274" s="1687">
        <v>1.7999999999999999E-2</v>
      </c>
      <c r="T274" s="1624">
        <v>15</v>
      </c>
      <c r="U274" s="1616" t="s">
        <v>645</v>
      </c>
      <c r="V274" s="1622">
        <f>IF(E274=1,IF(U274="N",LOOKUP(T274,'HS250-DATA'!C$7:C$10,'HS250-DATA'!D$7:D$10),IF(U274="Y",LOOKUP(T274,'HS250-DATA'!C$22:C$25,'HS250-DATA'!D$22:D$25),"FAN?")),IF(U274="N",LOOKUP(T274,'HS250-DATA'!C$14:C$17,'HS250-DATA'!D$14:D$17),IF(U274="Y",LOOKUP(T274,'HS250-DATA'!C$29:C$32,'HS250-DATA'!D$29:D$32),"FAN?")))</f>
        <v>0.106</v>
      </c>
      <c r="W274" s="1602">
        <f>(G274*H274)^2*Q274*10^-3+G274*P274</f>
        <v>225.6944444444444</v>
      </c>
      <c r="X274" s="1602">
        <f>D274*W274</f>
        <v>451.3888888888888</v>
      </c>
      <c r="Y274" s="1602">
        <f>IF(A274=3,W274*6,IF(A274=1,W274*4,W274))</f>
        <v>1354.1666666666665</v>
      </c>
      <c r="Z274" s="1579">
        <f>O274-5</f>
        <v>120</v>
      </c>
      <c r="AA274" s="1602">
        <f>D274*W274*V274+AB274</f>
        <v>102.84722222222221</v>
      </c>
      <c r="AB274" s="1588">
        <v>55</v>
      </c>
      <c r="AC274" s="1570"/>
      <c r="AD274" s="1564">
        <f>Q274*10^-3*H274^2</f>
        <v>5.5199999999999986E-4</v>
      </c>
      <c r="AE274" s="1634">
        <f>P274</f>
        <v>0.70299999999999996</v>
      </c>
      <c r="AF274" s="1635">
        <f>(AB274-Z274)/(R274+S274+D274*V274)</f>
        <v>-225.69444444444446</v>
      </c>
      <c r="AG274" s="1636">
        <f>AE274^2-4*AD274*AF274</f>
        <v>0.99254233333333319</v>
      </c>
      <c r="AH274" s="1741">
        <f>SUM(AJ274:AL274)</f>
        <v>1095.78</v>
      </c>
      <c r="AI274" s="1607"/>
      <c r="AJ274" s="1733">
        <f>C274*LOOKUP(T274,'HS250-DATA'!C$7:C$10,'HS250-DATA'!F$7:F$10)</f>
        <v>84.78</v>
      </c>
      <c r="AK274" s="1733">
        <f>IF(U274="Y",C274*12,0)</f>
        <v>36</v>
      </c>
      <c r="AL274" s="1733">
        <f>C274*E274*VLOOKUP(K274,'SCR-Diode DATA'!D$7:M$43,10,FALSE)</f>
        <v>975</v>
      </c>
      <c r="AM274" s="507">
        <f>AH274/F274</f>
        <v>1.3750299415382405</v>
      </c>
    </row>
    <row r="275" spans="1:51" ht="18.75">
      <c r="A275" s="1598"/>
      <c r="B275" s="1533"/>
      <c r="C275" s="1600"/>
      <c r="D275" s="1575"/>
      <c r="E275" s="1575"/>
      <c r="F275" s="1611"/>
      <c r="G275" s="1582"/>
      <c r="H275" s="1583"/>
      <c r="I275" s="1594"/>
      <c r="J275" s="1680"/>
      <c r="K275" s="1418"/>
      <c r="L275" s="1419"/>
      <c r="M275" s="1419"/>
      <c r="N275" s="1419"/>
      <c r="O275" s="1412"/>
      <c r="P275" s="1416"/>
      <c r="Q275" s="1416"/>
      <c r="R275" s="1416"/>
      <c r="S275" s="1687"/>
      <c r="T275" s="1624"/>
      <c r="U275" s="1616"/>
      <c r="V275" s="1622"/>
      <c r="W275" s="1602"/>
      <c r="X275" s="1602"/>
      <c r="Y275" s="1602"/>
      <c r="Z275" s="1579"/>
      <c r="AA275" s="1602"/>
      <c r="AB275" s="1588"/>
      <c r="AC275" s="1570"/>
      <c r="AD275" s="1564"/>
      <c r="AE275" s="1634"/>
      <c r="AF275" s="1635"/>
      <c r="AG275" s="1636"/>
      <c r="AH275" s="1742"/>
      <c r="AI275" s="1607"/>
      <c r="AJ275" s="1607"/>
      <c r="AK275" s="1607"/>
      <c r="AL275" s="1733"/>
      <c r="AM275" s="1743"/>
    </row>
    <row r="276" spans="1:51" ht="18.75">
      <c r="A276" s="1598">
        <v>3</v>
      </c>
      <c r="B276" s="1533">
        <f t="shared" si="143"/>
        <v>6</v>
      </c>
      <c r="C276" s="1600">
        <v>1</v>
      </c>
      <c r="D276" s="1575">
        <f>B276/C276</f>
        <v>6</v>
      </c>
      <c r="E276" s="1575">
        <v>6</v>
      </c>
      <c r="F276" s="1611">
        <f>IF(A276=3,3*G276,IF(A276=1,2*G276,IF(A276="bd",1*G276,IF(A276="fwd",1,"Error"))))</f>
        <v>560.50620010598777</v>
      </c>
      <c r="G276" s="1582">
        <f>(-AE276+SQRT(AG276))/2/AD276</f>
        <v>186.83540003532926</v>
      </c>
      <c r="H276" s="1583">
        <f>IF(A276=3,SQRT(3),IF(A276=1,SQRT(2),1))</f>
        <v>1.7320508075688772</v>
      </c>
      <c r="I276" s="1594">
        <f>H276*G276</f>
        <v>323.60840551364629</v>
      </c>
      <c r="J276" s="1680" t="s">
        <v>558</v>
      </c>
      <c r="K276" s="1418" t="s">
        <v>472</v>
      </c>
      <c r="L276" s="1419">
        <v>1500</v>
      </c>
      <c r="M276" s="1419">
        <v>2355</v>
      </c>
      <c r="N276" s="1419">
        <v>62000</v>
      </c>
      <c r="O276" s="1412">
        <v>125</v>
      </c>
      <c r="P276" s="1416">
        <v>0.69099999999999995</v>
      </c>
      <c r="Q276" s="1412">
        <v>0.10199999999999999</v>
      </c>
      <c r="R276" s="1412">
        <v>2.4E-2</v>
      </c>
      <c r="S276" s="1687">
        <v>8.9999999999999993E-3</v>
      </c>
      <c r="T276" s="1624">
        <v>15</v>
      </c>
      <c r="U276" s="1616" t="s">
        <v>645</v>
      </c>
      <c r="V276" s="1622">
        <f>IF(E276=1,IF(U276="N",LOOKUP(T276,'HS250-DATA'!C$7:C$10,'HS250-DATA'!D$7:D$10),IF(U276="Y",LOOKUP(T276,'HS250-DATA'!C$22:C$25,'HS250-DATA'!D$22:D$25),"FAN?")),IF(U276="N",LOOKUP(T276,'HS250-DATA'!C$14:C$17,'HS250-DATA'!D$14:D$17),IF(U276="Y",LOOKUP(T276,'HS250-DATA'!C$29:C$32,'HS250-DATA'!D$29:D$32),"FAN?")))</f>
        <v>7.1999999999999995E-2</v>
      </c>
      <c r="W276" s="1602">
        <f>(G276*H276)^2*Q276*10^-3+G276*P276</f>
        <v>139.78494623655911</v>
      </c>
      <c r="X276" s="1602">
        <f>D276*W276</f>
        <v>838.70967741935465</v>
      </c>
      <c r="Y276" s="1602">
        <f>IF(A276=3,W276*6,IF(A276=1,W276*4,W276))</f>
        <v>838.70967741935465</v>
      </c>
      <c r="Z276" s="1579">
        <f>O276-5</f>
        <v>120</v>
      </c>
      <c r="AA276" s="1602">
        <f>D276*W276*V276+AB276</f>
        <v>115.38709677419354</v>
      </c>
      <c r="AB276" s="1588">
        <v>55</v>
      </c>
      <c r="AC276" s="1570"/>
      <c r="AD276" s="1564">
        <f>Q276*10^-3*H276^2</f>
        <v>3.0599999999999996E-4</v>
      </c>
      <c r="AE276" s="1634">
        <f>P276</f>
        <v>0.69099999999999995</v>
      </c>
      <c r="AF276" s="1635">
        <f>(AB276-Z276)/(R276+S276+D276*V276)</f>
        <v>-139.78494623655914</v>
      </c>
      <c r="AG276" s="1636">
        <f>AE276^2-4*AD276*AF276</f>
        <v>0.64857777419354834</v>
      </c>
      <c r="AH276" s="1741">
        <f>SUM(AJ276:AL276)</f>
        <v>1180.26</v>
      </c>
      <c r="AI276" s="1607"/>
      <c r="AJ276" s="1733">
        <f>C276*LOOKUP(T276,'HS250-DATA'!C$7:C$10,'HS250-DATA'!F$7:F$10)</f>
        <v>28.26</v>
      </c>
      <c r="AK276" s="1733">
        <f>IF(U276="Y",C276*12,0)</f>
        <v>12</v>
      </c>
      <c r="AL276" s="1733">
        <f>C276*E276*VLOOKUP(K276,'SCR-Diode DATA'!D$7:M$43,10,FALSE)</f>
        <v>1140</v>
      </c>
      <c r="AM276" s="507">
        <f>AH276/F276</f>
        <v>2.1057037366880529</v>
      </c>
    </row>
    <row r="277" spans="1:51" ht="18.75">
      <c r="A277" s="1598">
        <v>3</v>
      </c>
      <c r="B277" s="1533">
        <f t="shared" si="143"/>
        <v>6</v>
      </c>
      <c r="C277" s="1600">
        <v>2</v>
      </c>
      <c r="D277" s="1575">
        <f>B277/C277</f>
        <v>3</v>
      </c>
      <c r="E277" s="1575">
        <v>3</v>
      </c>
      <c r="F277" s="1611">
        <f>IF(A277=3,3*G277,IF(A277=1,2*G277,IF(A277="bd",1*G277,IF(A277="fwd",1,"Error"))))</f>
        <v>988.96100610400708</v>
      </c>
      <c r="G277" s="1582">
        <f>(-AE277+SQRT(AG277))/2/AD277</f>
        <v>329.65366870133568</v>
      </c>
      <c r="H277" s="1583">
        <f>IF(A277=3,SQRT(3),IF(A277=1,SQRT(2),1))</f>
        <v>1.7320508075688772</v>
      </c>
      <c r="I277" s="1594">
        <f>H277*G277</f>
        <v>570.97690309219161</v>
      </c>
      <c r="J277" s="1680" t="s">
        <v>558</v>
      </c>
      <c r="K277" s="1418" t="s">
        <v>472</v>
      </c>
      <c r="L277" s="1419">
        <v>1500</v>
      </c>
      <c r="M277" s="1419">
        <v>2355</v>
      </c>
      <c r="N277" s="1419">
        <v>62000</v>
      </c>
      <c r="O277" s="1412">
        <v>125</v>
      </c>
      <c r="P277" s="1416">
        <v>0.69099999999999995</v>
      </c>
      <c r="Q277" s="1412">
        <v>0.10199999999999999</v>
      </c>
      <c r="R277" s="1412">
        <v>2.4E-2</v>
      </c>
      <c r="S277" s="1687">
        <v>8.9999999999999993E-3</v>
      </c>
      <c r="T277" s="1624">
        <v>15</v>
      </c>
      <c r="U277" s="1616" t="s">
        <v>645</v>
      </c>
      <c r="V277" s="1622">
        <f>IF(E277=1,IF(U277="N",LOOKUP(T277,'HS250-DATA'!C$7:C$10,'HS250-DATA'!D$7:D$10),IF(U277="Y",LOOKUP(T277,'HS250-DATA'!C$22:C$25,'HS250-DATA'!D$22:D$25),"FAN?")),IF(U277="N",LOOKUP(T277,'HS250-DATA'!C$14:C$17,'HS250-DATA'!D$14:D$17),IF(U277="Y",LOOKUP(T277,'HS250-DATA'!C$29:C$32,'HS250-DATA'!D$29:D$32),"FAN?")))</f>
        <v>7.1999999999999995E-2</v>
      </c>
      <c r="W277" s="1602">
        <f>(G277*H277)^2*Q277*10^-3+G277*P277</f>
        <v>261.04417670682744</v>
      </c>
      <c r="X277" s="1602">
        <f>D277*W277</f>
        <v>783.13253012048233</v>
      </c>
      <c r="Y277" s="1602">
        <f>IF(A277=3,W277*6,IF(A277=1,W277*4,W277))</f>
        <v>1566.2650602409647</v>
      </c>
      <c r="Z277" s="1579">
        <f>O277-5</f>
        <v>120</v>
      </c>
      <c r="AA277" s="1602">
        <f>D277*W277*V277+AB277</f>
        <v>111.38554216867473</v>
      </c>
      <c r="AB277" s="1588">
        <v>55</v>
      </c>
      <c r="AC277" s="1570"/>
      <c r="AD277" s="1564">
        <f>Q277*10^-3*H277^2</f>
        <v>3.0599999999999996E-4</v>
      </c>
      <c r="AE277" s="1634">
        <f>P277</f>
        <v>0.69099999999999995</v>
      </c>
      <c r="AF277" s="1635">
        <f>(AB277-Z277)/(R277+S277+D277*V277)</f>
        <v>-261.04417670682733</v>
      </c>
      <c r="AG277" s="1636">
        <f>AE277^2-4*AD277*AF277</f>
        <v>0.79699907228915656</v>
      </c>
      <c r="AH277" s="1741">
        <f>SUM(AJ277:AL277)</f>
        <v>1220.52</v>
      </c>
      <c r="AI277" s="1607"/>
      <c r="AJ277" s="1733">
        <f>C277*LOOKUP(T277,'HS250-DATA'!C$7:C$10,'HS250-DATA'!F$7:F$10)</f>
        <v>56.52</v>
      </c>
      <c r="AK277" s="1733">
        <f>IF(U277="Y",C277*12,0)</f>
        <v>24</v>
      </c>
      <c r="AL277" s="1733">
        <f>C277*E277*VLOOKUP(K277,'SCR-Diode DATA'!D$7:M$43,10,FALSE)</f>
        <v>1140</v>
      </c>
      <c r="AM277" s="507">
        <f>AH277/F277</f>
        <v>1.234143704824334</v>
      </c>
    </row>
    <row r="278" spans="1:51" ht="18.75">
      <c r="A278" s="1598">
        <v>3</v>
      </c>
      <c r="B278" s="1533">
        <f t="shared" si="143"/>
        <v>6</v>
      </c>
      <c r="C278" s="1600">
        <v>3</v>
      </c>
      <c r="D278" s="1575">
        <f>B278/C278</f>
        <v>2</v>
      </c>
      <c r="E278" s="1575">
        <v>2</v>
      </c>
      <c r="F278" s="1611">
        <f>IF(A278=3,3*G278,IF(A278=1,2*G278,IF(A278="bd",1*G278,IF(A278="fwd",1,"Error"))))</f>
        <v>1332.324137801721</v>
      </c>
      <c r="G278" s="1582">
        <f>(-AE278+SQRT(AG278))/2/AD278</f>
        <v>444.10804593390696</v>
      </c>
      <c r="H278" s="1583">
        <f>IF(A278=3,SQRT(3),IF(A278=1,SQRT(2),1))</f>
        <v>1.7320508075688772</v>
      </c>
      <c r="I278" s="1594">
        <f>H278*G278</f>
        <v>769.2176996076596</v>
      </c>
      <c r="J278" s="1680" t="s">
        <v>558</v>
      </c>
      <c r="K278" s="1418" t="s">
        <v>472</v>
      </c>
      <c r="L278" s="1419">
        <v>1500</v>
      </c>
      <c r="M278" s="1419">
        <v>2355</v>
      </c>
      <c r="N278" s="1419">
        <v>62000</v>
      </c>
      <c r="O278" s="1412">
        <v>125</v>
      </c>
      <c r="P278" s="1416">
        <v>0.69099999999999995</v>
      </c>
      <c r="Q278" s="1412">
        <v>0.10199999999999999</v>
      </c>
      <c r="R278" s="1412">
        <v>2.4E-2</v>
      </c>
      <c r="S278" s="1687">
        <v>8.9999999999999993E-3</v>
      </c>
      <c r="T278" s="1624">
        <v>15</v>
      </c>
      <c r="U278" s="1616" t="s">
        <v>645</v>
      </c>
      <c r="V278" s="1622">
        <f>IF(E278=1,IF(U278="N",LOOKUP(T278,'HS250-DATA'!C$7:C$10,'HS250-DATA'!D$7:D$10),IF(U278="Y",LOOKUP(T278,'HS250-DATA'!C$22:C$25,'HS250-DATA'!D$22:D$25),"FAN?")),IF(U278="N",LOOKUP(T278,'HS250-DATA'!C$14:C$17,'HS250-DATA'!D$14:D$17),IF(U278="Y",LOOKUP(T278,'HS250-DATA'!C$29:C$32,'HS250-DATA'!D$29:D$32),"FAN?")))</f>
        <v>7.1999999999999995E-2</v>
      </c>
      <c r="W278" s="1602">
        <f>(G278*H278)^2*Q278*10^-3+G278*P278</f>
        <v>367.23163841807906</v>
      </c>
      <c r="X278" s="1602">
        <f>D278*W278</f>
        <v>734.46327683615812</v>
      </c>
      <c r="Y278" s="1602">
        <f>IF(A278=3,W278*6,IF(A278=1,W278*4,W278))</f>
        <v>2203.3898305084745</v>
      </c>
      <c r="Z278" s="1579">
        <f>O278-5</f>
        <v>120</v>
      </c>
      <c r="AA278" s="1602">
        <f>D278*W278*V278+AB278</f>
        <v>107.88135593220338</v>
      </c>
      <c r="AB278" s="1588">
        <v>55</v>
      </c>
      <c r="AC278" s="1570"/>
      <c r="AD278" s="1564">
        <f>Q278*10^-3*H278^2</f>
        <v>3.0599999999999996E-4</v>
      </c>
      <c r="AE278" s="1634">
        <f>P278</f>
        <v>0.69099999999999995</v>
      </c>
      <c r="AF278" s="1635">
        <f>(AB278-Z278)/(R278+S278+D278*V278)</f>
        <v>-367.23163841807911</v>
      </c>
      <c r="AG278" s="1636">
        <f>AE278^2-4*AD278*AF278</f>
        <v>0.92697252542372865</v>
      </c>
      <c r="AH278" s="1741">
        <f>SUM(AJ278:AL278)</f>
        <v>1260.78</v>
      </c>
      <c r="AI278" s="1607"/>
      <c r="AJ278" s="1733">
        <f>C278*LOOKUP(T278,'HS250-DATA'!C$7:C$10,'HS250-DATA'!F$7:F$10)</f>
        <v>84.78</v>
      </c>
      <c r="AK278" s="1733">
        <f>IF(U278="Y",C278*12,0)</f>
        <v>36</v>
      </c>
      <c r="AL278" s="1733">
        <f>C278*E278*VLOOKUP(K278,'SCR-Diode DATA'!D$7:M$43,10,FALSE)</f>
        <v>1140</v>
      </c>
      <c r="AM278" s="507">
        <f>AH278/F278</f>
        <v>0.94630125224649475</v>
      </c>
    </row>
    <row r="279" spans="1:51" ht="18.75">
      <c r="A279" s="1598">
        <v>3</v>
      </c>
      <c r="B279" s="1533">
        <f t="shared" si="143"/>
        <v>6</v>
      </c>
      <c r="C279" s="1600">
        <v>6</v>
      </c>
      <c r="D279" s="1575">
        <f>B279/C279</f>
        <v>1</v>
      </c>
      <c r="E279" s="1575">
        <v>1</v>
      </c>
      <c r="F279" s="1611">
        <f>IF(A279=3,3*G279,IF(A279=1,2*G279,IF(A279="bd",1*G279,IF(A279="fwd",1,"Error"))))</f>
        <v>1635.4135811141527</v>
      </c>
      <c r="G279" s="1582">
        <f>(-AE279+SQRT(AG279))/2/AD279</f>
        <v>545.13786037138425</v>
      </c>
      <c r="H279" s="1583">
        <f>IF(A279=3,SQRT(3),IF(A279=1,SQRT(2),1))</f>
        <v>1.7320508075688772</v>
      </c>
      <c r="I279" s="1594">
        <f>H279*G279</f>
        <v>944.20647129262591</v>
      </c>
      <c r="J279" s="1680" t="s">
        <v>558</v>
      </c>
      <c r="K279" s="1418" t="s">
        <v>472</v>
      </c>
      <c r="L279" s="1419">
        <v>1500</v>
      </c>
      <c r="M279" s="1419">
        <v>2355</v>
      </c>
      <c r="N279" s="1419">
        <v>62000</v>
      </c>
      <c r="O279" s="1412">
        <v>125</v>
      </c>
      <c r="P279" s="1416">
        <v>0.69099999999999995</v>
      </c>
      <c r="Q279" s="1412">
        <v>0.10199999999999999</v>
      </c>
      <c r="R279" s="1412">
        <v>2.4E-2</v>
      </c>
      <c r="S279" s="1687">
        <v>8.9999999999999993E-3</v>
      </c>
      <c r="T279" s="1624">
        <v>15</v>
      </c>
      <c r="U279" s="1616" t="s">
        <v>645</v>
      </c>
      <c r="V279" s="1622">
        <f>IF(E279=1,IF(U279="N",LOOKUP(T279,'HS250-DATA'!C$7:C$10,'HS250-DATA'!D$7:D$10),IF(U279="Y",LOOKUP(T279,'HS250-DATA'!C$22:C$25,'HS250-DATA'!D$22:D$25),"FAN?")),IF(U279="N",LOOKUP(T279,'HS250-DATA'!C$14:C$17,'HS250-DATA'!D$14:D$17),IF(U279="Y",LOOKUP(T279,'HS250-DATA'!C$29:C$32,'HS250-DATA'!D$29:D$32),"FAN?")))</f>
        <v>0.106</v>
      </c>
      <c r="W279" s="1602">
        <f>(G279*H279)^2*Q279*10^-3+G279*P279</f>
        <v>467.62589928057548</v>
      </c>
      <c r="X279" s="1602">
        <f>D279*W279</f>
        <v>467.62589928057548</v>
      </c>
      <c r="Y279" s="1602">
        <f>IF(A279=3,W279*6,IF(A279=1,W279*4,W279))</f>
        <v>2805.7553956834527</v>
      </c>
      <c r="Z279" s="1579">
        <f>O279-5</f>
        <v>120</v>
      </c>
      <c r="AA279" s="1602">
        <f>D279*W279*V279+AB279</f>
        <v>104.568345323741</v>
      </c>
      <c r="AB279" s="1588">
        <v>55</v>
      </c>
      <c r="AC279" s="1570"/>
      <c r="AD279" s="1564">
        <f>Q279*10^-3*H279^2</f>
        <v>3.0599999999999996E-4</v>
      </c>
      <c r="AE279" s="1634">
        <f>P279</f>
        <v>0.69099999999999995</v>
      </c>
      <c r="AF279" s="1635">
        <f>(AB279-Z279)/(R279+S279+D279*V279)</f>
        <v>-467.62589928057548</v>
      </c>
      <c r="AG279" s="1636">
        <f>AE279^2-4*AD279*AF279</f>
        <v>1.0498551007194243</v>
      </c>
      <c r="AH279" s="1741">
        <f>SUM(AJ279:AL279)</f>
        <v>1381.56</v>
      </c>
      <c r="AI279" s="1607"/>
      <c r="AJ279" s="1733">
        <f>C279*LOOKUP(T279,'HS250-DATA'!C$7:C$10,'HS250-DATA'!F$7:F$10)</f>
        <v>169.56</v>
      </c>
      <c r="AK279" s="1733">
        <f>IF(U279="Y",C279*12,0)</f>
        <v>72</v>
      </c>
      <c r="AL279" s="1733">
        <f>C279*E279*VLOOKUP(K279,'SCR-Diode DATA'!D$7:M$43,10,FALSE)</f>
        <v>1140</v>
      </c>
      <c r="AM279" s="507">
        <f>AH279/F279</f>
        <v>0.84477713524843612</v>
      </c>
    </row>
    <row r="280" spans="1:51" ht="19.5" thickBot="1">
      <c r="A280" s="1703"/>
      <c r="B280" s="1704"/>
      <c r="C280" s="1705"/>
      <c r="D280" s="1706"/>
      <c r="E280" s="1706"/>
      <c r="F280" s="1707"/>
      <c r="G280" s="1708"/>
      <c r="H280" s="1709"/>
      <c r="I280" s="1710"/>
      <c r="J280" s="1711"/>
      <c r="K280" s="1712"/>
      <c r="L280" s="1713"/>
      <c r="M280" s="1713"/>
      <c r="N280" s="1713"/>
      <c r="O280" s="1714"/>
      <c r="P280" s="1715"/>
      <c r="Q280" s="1715"/>
      <c r="R280" s="1715"/>
      <c r="S280" s="1716"/>
      <c r="T280" s="1659"/>
      <c r="U280" s="1661"/>
      <c r="V280" s="1717"/>
      <c r="W280" s="1718"/>
      <c r="X280" s="1718"/>
      <c r="Y280" s="1718"/>
      <c r="Z280" s="1652"/>
      <c r="AA280" s="1718"/>
      <c r="AB280" s="1719"/>
      <c r="AC280" s="1570"/>
      <c r="AD280" s="1720"/>
      <c r="AE280" s="1721"/>
      <c r="AF280" s="1722"/>
      <c r="AG280" s="1649"/>
      <c r="AH280" s="1744"/>
      <c r="AI280" s="1608"/>
      <c r="AJ280" s="1608"/>
      <c r="AK280" s="1608"/>
      <c r="AL280" s="1745"/>
      <c r="AM280" s="1746"/>
    </row>
    <row r="281" spans="1:51" s="1730" customFormat="1" ht="15.75" thickBot="1">
      <c r="A281" s="1728"/>
      <c r="B281" s="1729"/>
      <c r="AH281" s="1731"/>
    </row>
    <row r="282" spans="1:51" ht="69.75" customHeight="1" thickBot="1">
      <c r="A282" s="1723" t="s">
        <v>606</v>
      </c>
      <c r="B282" s="1724" t="s">
        <v>607</v>
      </c>
      <c r="C282" s="1725"/>
      <c r="D282" s="1726"/>
      <c r="E282" s="1727" t="s">
        <v>647</v>
      </c>
      <c r="F282" s="1570"/>
      <c r="G282" s="1570"/>
      <c r="H282" s="1570"/>
      <c r="I282" s="1570"/>
      <c r="J282" s="1570"/>
      <c r="K282" s="1570"/>
      <c r="L282" s="1570"/>
      <c r="M282" s="1570"/>
      <c r="N282" s="1570"/>
      <c r="O282" s="1570"/>
      <c r="P282" s="1570"/>
      <c r="Q282" s="1570"/>
      <c r="R282" s="1570"/>
      <c r="S282" s="1570"/>
      <c r="T282" s="1570"/>
      <c r="U282" s="1570"/>
      <c r="V282" s="1570"/>
      <c r="W282" s="1570"/>
      <c r="X282" s="1570"/>
      <c r="Y282" s="1570"/>
      <c r="Z282" s="1570"/>
      <c r="AA282" s="1570"/>
      <c r="AB282" s="1570"/>
      <c r="AC282" s="1570"/>
      <c r="AD282" s="1570"/>
      <c r="AE282" s="1570"/>
      <c r="AF282" s="1570"/>
      <c r="AG282" s="1570"/>
      <c r="AH282" s="1606"/>
      <c r="AI282" s="1570"/>
      <c r="AJ282" s="1570"/>
      <c r="AK282" s="1570"/>
      <c r="AL282" s="1570"/>
    </row>
    <row r="283" spans="1:51" ht="21.75" thickBot="1">
      <c r="A283" s="1619" t="s">
        <v>608</v>
      </c>
      <c r="B283" s="42"/>
      <c r="C283" s="1618" t="s">
        <v>609</v>
      </c>
      <c r="D283" s="1631"/>
      <c r="E283" s="1695"/>
      <c r="F283" s="1570"/>
      <c r="G283" s="1570"/>
      <c r="H283" s="1570"/>
      <c r="I283" s="1574"/>
      <c r="J283" s="1574"/>
      <c r="K283" s="1570"/>
      <c r="L283" s="1570"/>
      <c r="M283" s="1570"/>
      <c r="N283" s="1570"/>
      <c r="O283" s="1570"/>
      <c r="P283" s="1570"/>
      <c r="Q283" s="1570"/>
      <c r="R283" s="1570"/>
      <c r="S283" s="1570"/>
      <c r="T283" s="1570"/>
      <c r="U283" s="1570"/>
      <c r="V283" s="1570"/>
      <c r="W283" s="1570"/>
      <c r="X283" s="1570"/>
      <c r="Y283" s="1570"/>
      <c r="Z283" s="1570"/>
      <c r="AA283" s="1570"/>
      <c r="AB283" s="1570"/>
      <c r="AC283" s="1572"/>
      <c r="AD283" s="1637" t="s">
        <v>610</v>
      </c>
      <c r="AE283" s="1638"/>
      <c r="AF283" s="1639" t="s">
        <v>611</v>
      </c>
      <c r="AG283" s="1640" t="s">
        <v>612</v>
      </c>
      <c r="AH283" s="1606"/>
      <c r="AI283" s="1570"/>
      <c r="AJ283" s="1570"/>
      <c r="AK283" s="1570"/>
      <c r="AL283" s="1570"/>
    </row>
    <row r="284" spans="1:51" ht="35.25">
      <c r="A284" s="1648" t="s">
        <v>613</v>
      </c>
      <c r="B284" s="1613"/>
      <c r="C284" s="1617"/>
      <c r="D284" s="1613"/>
      <c r="E284" s="1613"/>
      <c r="F284" s="1623" t="s">
        <v>644</v>
      </c>
      <c r="G284" s="1609"/>
      <c r="H284" s="1609"/>
      <c r="I284" s="1610"/>
      <c r="J284" s="1663"/>
      <c r="K284" s="1647" t="s">
        <v>520</v>
      </c>
      <c r="L284" s="1585"/>
      <c r="M284" s="1609"/>
      <c r="N284" s="1609"/>
      <c r="O284" s="1612"/>
      <c r="P284" s="1609"/>
      <c r="Q284" s="1609"/>
      <c r="R284" s="1609"/>
      <c r="S284" s="1610"/>
      <c r="T284" s="1629" t="s">
        <v>614</v>
      </c>
      <c r="U284" s="1629"/>
      <c r="V284" s="1621"/>
      <c r="W284" s="1609"/>
      <c r="X284" s="1609"/>
      <c r="Y284" s="1609"/>
      <c r="Z284" s="1620"/>
      <c r="AA284" s="1609"/>
      <c r="AB284" s="1610"/>
      <c r="AC284" s="1573"/>
      <c r="AD284" s="1641" t="s">
        <v>643</v>
      </c>
      <c r="AE284" s="1615"/>
      <c r="AF284" s="1625" t="s">
        <v>615</v>
      </c>
      <c r="AG284" s="1642"/>
      <c r="AH284" s="1606"/>
      <c r="AI284" s="1570"/>
      <c r="AJ284" s="1570"/>
      <c r="AK284" s="1570"/>
      <c r="AL284" s="1570"/>
      <c r="AO284" s="155" t="s">
        <v>661</v>
      </c>
      <c r="AV284" s="155" t="s">
        <v>662</v>
      </c>
    </row>
    <row r="285" spans="1:51" ht="63.75" thickBot="1">
      <c r="A285" s="1597" t="s">
        <v>573</v>
      </c>
      <c r="B285" s="1577" t="s">
        <v>616</v>
      </c>
      <c r="C285" s="1689" t="s">
        <v>574</v>
      </c>
      <c r="D285" s="1577" t="s">
        <v>617</v>
      </c>
      <c r="E285" s="1690" t="s">
        <v>618</v>
      </c>
      <c r="F285" s="1627" t="s">
        <v>619</v>
      </c>
      <c r="G285" s="1578" t="s">
        <v>620</v>
      </c>
      <c r="H285" s="1578" t="s">
        <v>621</v>
      </c>
      <c r="I285" s="1593" t="s">
        <v>622</v>
      </c>
      <c r="J285" s="1664"/>
      <c r="K285" s="1586" t="s">
        <v>523</v>
      </c>
      <c r="L285" s="1578" t="s">
        <v>524</v>
      </c>
      <c r="M285" s="1578" t="s">
        <v>525</v>
      </c>
      <c r="N285" s="1580" t="s">
        <v>575</v>
      </c>
      <c r="O285" s="1580" t="s">
        <v>623</v>
      </c>
      <c r="P285" s="1580" t="s">
        <v>624</v>
      </c>
      <c r="Q285" s="1580" t="s">
        <v>625</v>
      </c>
      <c r="R285" s="1576" t="s">
        <v>626</v>
      </c>
      <c r="S285" s="1587" t="s">
        <v>627</v>
      </c>
      <c r="T285" s="1630" t="s">
        <v>628</v>
      </c>
      <c r="U285" s="1630" t="s">
        <v>143</v>
      </c>
      <c r="V285" s="1616" t="s">
        <v>629</v>
      </c>
      <c r="W285" s="1578" t="s">
        <v>630</v>
      </c>
      <c r="X285" s="1578" t="s">
        <v>631</v>
      </c>
      <c r="Y285" s="1578" t="s">
        <v>632</v>
      </c>
      <c r="Z285" s="1691" t="s">
        <v>646</v>
      </c>
      <c r="AA285" s="1580" t="s">
        <v>576</v>
      </c>
      <c r="AB285" s="1614" t="s">
        <v>577</v>
      </c>
      <c r="AC285" s="1571"/>
      <c r="AD285" s="1597" t="s">
        <v>633</v>
      </c>
      <c r="AE285" s="1579" t="s">
        <v>634</v>
      </c>
      <c r="AF285" s="1616" t="s">
        <v>635</v>
      </c>
      <c r="AG285" s="1587" t="s">
        <v>243</v>
      </c>
      <c r="AH285" s="1694"/>
      <c r="AI285" s="1571"/>
      <c r="AJ285" s="1632"/>
      <c r="AK285" s="1633"/>
      <c r="AL285" s="1633"/>
      <c r="AO285" s="1794" t="s">
        <v>656</v>
      </c>
      <c r="AQ285" s="1799" t="s">
        <v>657</v>
      </c>
      <c r="AR285" s="1799" t="s">
        <v>658</v>
      </c>
      <c r="AU285" s="1794" t="s">
        <v>660</v>
      </c>
    </row>
    <row r="286" spans="1:51" ht="33.75" thickBot="1">
      <c r="A286" s="1650"/>
      <c r="B286" s="1651"/>
      <c r="C286" s="1652"/>
      <c r="D286" s="1651"/>
      <c r="E286" s="1651"/>
      <c r="F286" s="1653" t="s">
        <v>22</v>
      </c>
      <c r="G286" s="1653" t="s">
        <v>22</v>
      </c>
      <c r="H286" s="1653"/>
      <c r="I286" s="1654" t="s">
        <v>22</v>
      </c>
      <c r="J286" s="1665"/>
      <c r="K286" s="1655"/>
      <c r="L286" s="1653" t="s">
        <v>22</v>
      </c>
      <c r="M286" s="1653" t="s">
        <v>22</v>
      </c>
      <c r="N286" s="1653" t="s">
        <v>22</v>
      </c>
      <c r="O286" s="1656" t="s">
        <v>636</v>
      </c>
      <c r="P286" s="1651" t="s">
        <v>53</v>
      </c>
      <c r="Q286" s="1657" t="s">
        <v>535</v>
      </c>
      <c r="R286" s="1651" t="s">
        <v>536</v>
      </c>
      <c r="S286" s="1658" t="s">
        <v>536</v>
      </c>
      <c r="T286" s="1660" t="s">
        <v>477</v>
      </c>
      <c r="U286" s="1660"/>
      <c r="V286" s="1661" t="s">
        <v>637</v>
      </c>
      <c r="W286" s="1653" t="s">
        <v>275</v>
      </c>
      <c r="X286" s="1653" t="s">
        <v>275</v>
      </c>
      <c r="Y286" s="1653" t="s">
        <v>275</v>
      </c>
      <c r="Z286" s="1652" t="s">
        <v>638</v>
      </c>
      <c r="AA286" s="1651" t="s">
        <v>534</v>
      </c>
      <c r="AB286" s="1658" t="s">
        <v>534</v>
      </c>
      <c r="AC286" s="1571"/>
      <c r="AD286" s="1643" t="s">
        <v>639</v>
      </c>
      <c r="AE286" s="1565" t="s">
        <v>528</v>
      </c>
      <c r="AF286" s="1644" t="s">
        <v>640</v>
      </c>
      <c r="AG286" s="1732" t="s">
        <v>641</v>
      </c>
      <c r="AH286" s="1736" t="s">
        <v>578</v>
      </c>
      <c r="AI286" s="1737"/>
      <c r="AJ286" s="1738" t="s">
        <v>608</v>
      </c>
      <c r="AK286" s="1738" t="s">
        <v>137</v>
      </c>
      <c r="AL286" s="1738" t="s">
        <v>648</v>
      </c>
      <c r="AM286" s="1247" t="s">
        <v>649</v>
      </c>
      <c r="AO286" s="1653" t="s">
        <v>22</v>
      </c>
      <c r="AQ286" s="1653" t="s">
        <v>22</v>
      </c>
      <c r="AR286" s="1653" t="s">
        <v>22</v>
      </c>
      <c r="AS286" s="1798" t="s">
        <v>659</v>
      </c>
      <c r="AX286" s="1812" t="s">
        <v>7</v>
      </c>
      <c r="AY286" s="1809" t="s">
        <v>13</v>
      </c>
    </row>
    <row r="287" spans="1:51" ht="24">
      <c r="A287" s="1673">
        <v>3</v>
      </c>
      <c r="B287" s="1327">
        <f>IF(A287=3,6,IF(A287=1,4,IF(A287="bd",1,IF(A287="fwd",1,"Circuit Type"))))</f>
        <v>6</v>
      </c>
      <c r="C287" s="1620">
        <v>1</v>
      </c>
      <c r="D287" s="1609">
        <f t="shared" ref="D287:D292" si="144">B287/C287</f>
        <v>6</v>
      </c>
      <c r="E287" s="1609">
        <v>1</v>
      </c>
      <c r="F287" s="1674">
        <f t="shared" ref="F287:F292" si="145">IF(A287=3,3*G287,IF(A287=1,2*G287,IF(A287="bd",1*G287,IF(A287="fwd",1,"Error"))))</f>
        <v>42.714324534691734</v>
      </c>
      <c r="G287" s="1670">
        <f t="shared" ref="G287:G292" si="146">(-AE287+SQRT(AG287))/2/AD287</f>
        <v>14.238108178230577</v>
      </c>
      <c r="H287" s="1675">
        <f t="shared" ref="H287:H292" si="147">IF(A287=3,SQRT(3),IF(A287=1,SQRT(2),1))</f>
        <v>1.7320508075688772</v>
      </c>
      <c r="I287" s="1676">
        <f t="shared" ref="I287:I292" si="148">H287*G287</f>
        <v>24.661126768357306</v>
      </c>
      <c r="J287" s="1677" t="s">
        <v>539</v>
      </c>
      <c r="K287" s="1584" t="s">
        <v>540</v>
      </c>
      <c r="L287" s="1603">
        <v>42</v>
      </c>
      <c r="M287" s="1603"/>
      <c r="N287" s="1603">
        <v>280</v>
      </c>
      <c r="O287" s="1678">
        <v>125</v>
      </c>
      <c r="P287" s="1585">
        <v>1.1000000000000001</v>
      </c>
      <c r="Q287" s="1679">
        <v>20</v>
      </c>
      <c r="R287" s="1585">
        <v>1.6</v>
      </c>
      <c r="S287" s="1604">
        <v>0.1</v>
      </c>
      <c r="T287" s="1667">
        <v>15</v>
      </c>
      <c r="U287" s="1668" t="s">
        <v>645</v>
      </c>
      <c r="V287" s="1669">
        <f>IF(E287=1,IF(U287="N",LOOKUP(T287,'HS250-DATA'!C$7:C$10,'HS250-DATA'!D$7:D$10),IF(U287="Y",LOOKUP(T287,'HS250-DATA'!C$22:C$25,'HS250-DATA'!D$22:D$25),"FAN?")),IF(U287="N",LOOKUP(T287,'HS250-DATA'!C$14:C$17,'HS250-DATA'!D$14:D$17),IF(U287="Y",LOOKUP(T287,'HS250-DATA'!C$29:C$32,'HS250-DATA'!D$29:D$32),"FAN?")))</f>
        <v>0.106</v>
      </c>
      <c r="W287" s="1671">
        <f t="shared" ref="W287:W292" si="149">(G287*H287)^2*Q287*10^-3+G287*P287</f>
        <v>27.825342465753423</v>
      </c>
      <c r="X287" s="1671">
        <f t="shared" ref="X287:X292" si="150">D287*W287</f>
        <v>166.95205479452054</v>
      </c>
      <c r="Y287" s="1671">
        <f t="shared" ref="Y287:Y292" si="151">IF(A287=3,W287*6,IF(A287=1,W287*4,W287))</f>
        <v>166.95205479452054</v>
      </c>
      <c r="Z287" s="1672">
        <f t="shared" ref="Z287:Z292" si="152">O287-5</f>
        <v>120</v>
      </c>
      <c r="AA287" s="1671">
        <f t="shared" ref="AA287:AA292" si="153">D287*W287*V287+AB287</f>
        <v>72.696917808219183</v>
      </c>
      <c r="AB287" s="1610">
        <v>55</v>
      </c>
      <c r="AC287" s="1570"/>
      <c r="AD287" s="1751">
        <f t="shared" ref="AD287:AD292" si="154">Q287*10^-3*H287^2</f>
        <v>5.9999999999999991E-2</v>
      </c>
      <c r="AE287" s="1752">
        <f t="shared" ref="AE287:AE292" si="155">P287</f>
        <v>1.1000000000000001</v>
      </c>
      <c r="AF287" s="1753">
        <f t="shared" ref="AF287:AF292" si="156">(AB287-Z287)/(R287+S287+D287*V287)</f>
        <v>-27.825342465753423</v>
      </c>
      <c r="AG287" s="1676">
        <f t="shared" ref="AG287:AG292" si="157">AE287^2-4*AD287*AF287</f>
        <v>7.8880821917808204</v>
      </c>
      <c r="AH287" s="1739">
        <f t="shared" ref="AH287:AH292" si="158">SUM(AJ287:AL287)</f>
        <v>62.760000000000005</v>
      </c>
      <c r="AI287" s="1734"/>
      <c r="AJ287" s="1735">
        <f>C287*LOOKUP(T287,'HS250-DATA'!C$7:C$10,'HS250-DATA'!F$7:F$10)</f>
        <v>28.26</v>
      </c>
      <c r="AK287" s="1735">
        <f t="shared" ref="AK287:AK292" si="159">IF(U287="Y",C287*12,0)</f>
        <v>12</v>
      </c>
      <c r="AL287" s="1735">
        <f>C287*E287*VLOOKUP(K287,'SCR-Diode DATA'!D$7:M$43,10,FALSE)</f>
        <v>22.5</v>
      </c>
      <c r="AM287" s="1740">
        <f t="shared" ref="AM287:AM292" si="160">AH287/F287</f>
        <v>1.4692963235091676</v>
      </c>
      <c r="AO287" s="24">
        <f t="shared" ref="AO287:AO292" si="161">0.4*F287</f>
        <v>17.085729813876693</v>
      </c>
      <c r="AP287" s="24">
        <f>F287/3</f>
        <v>14.238108178230577</v>
      </c>
      <c r="AQ287" s="24">
        <f>1.8*F287</f>
        <v>76.88578416244512</v>
      </c>
      <c r="AR287">
        <v>80</v>
      </c>
      <c r="AS287">
        <f>LOOKUP(AR287,'FUSE DATA'!X$8:X$43,'FUSE DATA'!Y$8:Y$43)</f>
        <v>349</v>
      </c>
      <c r="AT287" s="1795">
        <f t="shared" ref="AT287:AT292" si="162">AR287/F287</f>
        <v>1.8729079968249427</v>
      </c>
      <c r="AU287" s="1795" t="str">
        <f t="shared" ref="AU287:AU292" si="163">IF(AS287&lt;1950,"F1892Sxxxx",IF(AS287&lt;3350,"CS61xx16B",IF(A287&lt;7340,"ND41xx35",IF(A287&lt;19000,"LS41xx60","PS41xx25"))))</f>
        <v>F1892Sxxxx</v>
      </c>
      <c r="AX287" s="1811" t="s">
        <v>335</v>
      </c>
      <c r="AY287" s="1808">
        <v>300</v>
      </c>
    </row>
    <row r="288" spans="1:51" ht="24.75" thickBot="1">
      <c r="A288" s="1598">
        <v>1</v>
      </c>
      <c r="B288" s="1533">
        <f>IF(A288=3,6,IF(A288=1,4,IF(A288="bd",1,IF(A288="fwd",1,"Circuit Type"))))</f>
        <v>4</v>
      </c>
      <c r="C288" s="1600">
        <v>1</v>
      </c>
      <c r="D288" s="1575">
        <f t="shared" si="144"/>
        <v>4</v>
      </c>
      <c r="E288" s="1575">
        <v>1</v>
      </c>
      <c r="F288" s="1611">
        <f t="shared" si="145"/>
        <v>34.277938242417832</v>
      </c>
      <c r="G288" s="1582">
        <f t="shared" si="146"/>
        <v>17.138969121208916</v>
      </c>
      <c r="H288" s="1583">
        <f t="shared" si="147"/>
        <v>1.4142135623730951</v>
      </c>
      <c r="I288" s="1594">
        <f t="shared" si="148"/>
        <v>24.238162576307339</v>
      </c>
      <c r="J288" s="1666" t="s">
        <v>539</v>
      </c>
      <c r="K288" s="1586" t="s">
        <v>540</v>
      </c>
      <c r="L288" s="1578">
        <v>42</v>
      </c>
      <c r="M288" s="1578"/>
      <c r="N288" s="1578">
        <v>280</v>
      </c>
      <c r="O288" s="1580">
        <v>125</v>
      </c>
      <c r="P288" s="1576">
        <v>1.1000000000000001</v>
      </c>
      <c r="Q288" s="1581">
        <v>20</v>
      </c>
      <c r="R288" s="1576">
        <v>1.6</v>
      </c>
      <c r="S288" s="1587">
        <v>0.1</v>
      </c>
      <c r="T288" s="1624">
        <v>15</v>
      </c>
      <c r="U288" s="1616" t="s">
        <v>645</v>
      </c>
      <c r="V288" s="1622">
        <f>IF(E288=1,IF(U288="N",LOOKUP(T288,'HS250-DATA'!C$7:C$10,'HS250-DATA'!D$7:D$10),IF(U288="Y",LOOKUP(T288,'HS250-DATA'!C$22:C$25,'HS250-DATA'!D$22:D$25),"FAN?")),IF(U288="N",LOOKUP(T288,'HS250-DATA'!C$14:C$17,'HS250-DATA'!D$14:D$17),IF(U288="Y",LOOKUP(T288,'HS250-DATA'!C$29:C$32,'HS250-DATA'!D$29:D$32),"FAN?")))</f>
        <v>0.106</v>
      </c>
      <c r="W288" s="1602">
        <f t="shared" si="149"/>
        <v>30.602636534839924</v>
      </c>
      <c r="X288" s="1602">
        <f t="shared" si="150"/>
        <v>122.4105461393597</v>
      </c>
      <c r="Y288" s="1602">
        <f t="shared" si="151"/>
        <v>122.4105461393597</v>
      </c>
      <c r="Z288" s="1579">
        <f t="shared" si="152"/>
        <v>120</v>
      </c>
      <c r="AA288" s="1602">
        <f t="shared" si="153"/>
        <v>67.975517890772124</v>
      </c>
      <c r="AB288" s="1588">
        <v>55</v>
      </c>
      <c r="AC288" s="1570"/>
      <c r="AD288" s="1754">
        <f t="shared" si="154"/>
        <v>4.0000000000000008E-2</v>
      </c>
      <c r="AE288" s="1634">
        <f t="shared" si="155"/>
        <v>1.1000000000000001</v>
      </c>
      <c r="AF288" s="1635">
        <f t="shared" si="156"/>
        <v>-30.602636534839924</v>
      </c>
      <c r="AG288" s="1646">
        <f t="shared" si="157"/>
        <v>6.1064218455743884</v>
      </c>
      <c r="AH288" s="1741">
        <f t="shared" si="158"/>
        <v>62.760000000000005</v>
      </c>
      <c r="AI288" s="1607"/>
      <c r="AJ288" s="1733">
        <f>C288*LOOKUP(T288,'HS250-DATA'!C$7:C$10,'HS250-DATA'!F$7:F$10)</f>
        <v>28.26</v>
      </c>
      <c r="AK288" s="1733">
        <f t="shared" si="159"/>
        <v>12</v>
      </c>
      <c r="AL288" s="1733">
        <f>C288*E288*VLOOKUP(K288,'SCR-Diode DATA'!D$7:M$43,10,FALSE)</f>
        <v>22.5</v>
      </c>
      <c r="AM288" s="507">
        <f t="shared" si="160"/>
        <v>1.8309152538916869</v>
      </c>
      <c r="AO288" s="24">
        <f t="shared" si="161"/>
        <v>13.711175296967134</v>
      </c>
      <c r="AP288" s="24">
        <f t="shared" ref="AP288:AP318" si="164">F288/3</f>
        <v>11.425979414139277</v>
      </c>
      <c r="AQ288" s="24">
        <f t="shared" ref="AQ288:AQ318" si="165">1.8*F288</f>
        <v>61.700288836352101</v>
      </c>
      <c r="AR288">
        <v>70</v>
      </c>
      <c r="AS288">
        <f>LOOKUP(AR288,'FUSE DATA'!X$8:X$43,'FUSE DATA'!Y$8:Y$43)</f>
        <v>260</v>
      </c>
      <c r="AT288" s="1795">
        <f t="shared" si="162"/>
        <v>2.0421298242896442</v>
      </c>
      <c r="AU288" s="1795" t="str">
        <f t="shared" si="163"/>
        <v>F1892Sxxxx</v>
      </c>
      <c r="AX288" s="1810" t="s">
        <v>334</v>
      </c>
      <c r="AY288" s="1807">
        <v>300</v>
      </c>
    </row>
    <row r="289" spans="1:51" ht="19.5" thickBot="1">
      <c r="A289" s="1598">
        <v>3</v>
      </c>
      <c r="B289" s="1533">
        <f t="shared" ref="B289:B318" si="166">IF(A289=3,6,IF(A289=1,4,IF(A289="bd",1,IF(A289="fwd",1,"Circuit Type"))))</f>
        <v>6</v>
      </c>
      <c r="C289" s="1600">
        <v>1</v>
      </c>
      <c r="D289" s="1575">
        <f t="shared" si="144"/>
        <v>6</v>
      </c>
      <c r="E289" s="1575">
        <v>1</v>
      </c>
      <c r="F289" s="1611">
        <f t="shared" si="145"/>
        <v>64.546562727476612</v>
      </c>
      <c r="G289" s="1582">
        <f t="shared" si="146"/>
        <v>21.515520909158873</v>
      </c>
      <c r="H289" s="1583">
        <f t="shared" si="147"/>
        <v>1.7320508075688772</v>
      </c>
      <c r="I289" s="1594">
        <f t="shared" si="148"/>
        <v>37.265975365973688</v>
      </c>
      <c r="J289" s="1681" t="s">
        <v>542</v>
      </c>
      <c r="K289" s="1417" t="s">
        <v>543</v>
      </c>
      <c r="L289" s="1414">
        <v>68</v>
      </c>
      <c r="M289" s="1414"/>
      <c r="N289" s="1414">
        <v>380</v>
      </c>
      <c r="O289" s="1413">
        <v>125</v>
      </c>
      <c r="P289" s="1413">
        <v>1</v>
      </c>
      <c r="Q289" s="1415">
        <v>10</v>
      </c>
      <c r="R289" s="1413">
        <v>1.1000000000000001</v>
      </c>
      <c r="S289" s="1688">
        <v>0.1</v>
      </c>
      <c r="T289" s="1624">
        <v>15</v>
      </c>
      <c r="U289" s="1616" t="s">
        <v>645</v>
      </c>
      <c r="V289" s="1622">
        <f>IF(E289=1,IF(U289="N",LOOKUP(T289,'HS250-DATA'!C$7:C$10,'HS250-DATA'!D$7:D$10),IF(U289="Y",LOOKUP(T289,'HS250-DATA'!C$22:C$25,'HS250-DATA'!D$22:D$25),"FAN?")),IF(U289="N",LOOKUP(T289,'HS250-DATA'!C$14:C$17,'HS250-DATA'!D$14:D$17),IF(U289="Y",LOOKUP(T289,'HS250-DATA'!C$29:C$32,'HS250-DATA'!D$29:D$32),"FAN?")))</f>
        <v>0.106</v>
      </c>
      <c r="W289" s="1602">
        <f t="shared" si="149"/>
        <v>35.403050108932447</v>
      </c>
      <c r="X289" s="1602">
        <f t="shared" si="150"/>
        <v>212.41830065359468</v>
      </c>
      <c r="Y289" s="1602">
        <f t="shared" si="151"/>
        <v>212.41830065359468</v>
      </c>
      <c r="Z289" s="1579">
        <f t="shared" si="152"/>
        <v>120</v>
      </c>
      <c r="AA289" s="1602">
        <f t="shared" si="153"/>
        <v>77.51633986928104</v>
      </c>
      <c r="AB289" s="1588">
        <v>55</v>
      </c>
      <c r="AC289" s="1570"/>
      <c r="AD289" s="1754">
        <f t="shared" si="154"/>
        <v>2.9999999999999995E-2</v>
      </c>
      <c r="AE289" s="1634">
        <f t="shared" si="155"/>
        <v>1</v>
      </c>
      <c r="AF289" s="1635">
        <f t="shared" si="156"/>
        <v>-35.403050108932455</v>
      </c>
      <c r="AG289" s="1646">
        <f t="shared" si="157"/>
        <v>5.2483660130718937</v>
      </c>
      <c r="AH289" s="1741">
        <f t="shared" si="158"/>
        <v>69.06</v>
      </c>
      <c r="AI289" s="1607"/>
      <c r="AJ289" s="1733">
        <f>C289*LOOKUP(T289,'HS250-DATA'!C$7:C$10,'HS250-DATA'!F$7:F$10)</f>
        <v>28.26</v>
      </c>
      <c r="AK289" s="1733">
        <f t="shared" si="159"/>
        <v>12</v>
      </c>
      <c r="AL289" s="1733">
        <f>C289*E289*VLOOKUP(K289,'SCR-Diode DATA'!D$7:M$43,10,FALSE)</f>
        <v>28.8</v>
      </c>
      <c r="AM289" s="507">
        <f t="shared" si="160"/>
        <v>1.0699252924060367</v>
      </c>
      <c r="AO289" s="24">
        <f t="shared" si="161"/>
        <v>25.818625090990647</v>
      </c>
      <c r="AP289" s="24">
        <f t="shared" si="164"/>
        <v>21.51552090915887</v>
      </c>
      <c r="AQ289" s="24">
        <f t="shared" si="165"/>
        <v>116.1838129094579</v>
      </c>
      <c r="AR289">
        <v>125</v>
      </c>
      <c r="AS289">
        <f>LOOKUP(AR289,'FUSE DATA'!X$8:X$43,'FUSE DATA'!Y$8:Y$43)</f>
        <v>510</v>
      </c>
      <c r="AT289" s="1795">
        <f t="shared" si="162"/>
        <v>1.9365864690233794</v>
      </c>
      <c r="AU289" s="1795" t="str">
        <f t="shared" si="163"/>
        <v>F1892Sxxxx</v>
      </c>
      <c r="AX289" s="1817"/>
      <c r="AY289" s="1816"/>
    </row>
    <row r="290" spans="1:51" ht="19.5" thickBot="1">
      <c r="A290" s="1598">
        <v>1</v>
      </c>
      <c r="B290" s="1533">
        <f t="shared" si="166"/>
        <v>4</v>
      </c>
      <c r="C290" s="1600">
        <v>1</v>
      </c>
      <c r="D290" s="1575">
        <f t="shared" si="144"/>
        <v>4</v>
      </c>
      <c r="E290" s="1575">
        <v>1</v>
      </c>
      <c r="F290" s="1611">
        <f t="shared" si="145"/>
        <v>52.493541788614088</v>
      </c>
      <c r="G290" s="1582">
        <f t="shared" si="146"/>
        <v>26.246770894307044</v>
      </c>
      <c r="H290" s="1583">
        <f t="shared" si="147"/>
        <v>1.4142135623730951</v>
      </c>
      <c r="I290" s="1594">
        <f t="shared" si="148"/>
        <v>37.118539367228436</v>
      </c>
      <c r="J290" s="1681" t="s">
        <v>542</v>
      </c>
      <c r="K290" s="1417" t="s">
        <v>543</v>
      </c>
      <c r="L290" s="1414">
        <v>68</v>
      </c>
      <c r="M290" s="1414"/>
      <c r="N290" s="1414">
        <v>380</v>
      </c>
      <c r="O290" s="1413">
        <v>125</v>
      </c>
      <c r="P290" s="1413">
        <v>1</v>
      </c>
      <c r="Q290" s="1415">
        <v>10</v>
      </c>
      <c r="R290" s="1413">
        <v>1.1000000000000001</v>
      </c>
      <c r="S290" s="1688">
        <v>0.1</v>
      </c>
      <c r="T290" s="1624">
        <v>15</v>
      </c>
      <c r="U290" s="1616" t="s">
        <v>645</v>
      </c>
      <c r="V290" s="1622">
        <f>IF(E290=1,IF(U290="N",LOOKUP(T290,'HS250-DATA'!C$7:C$10,'HS250-DATA'!D$7:D$10),IF(U290="Y",LOOKUP(T290,'HS250-DATA'!C$22:C$25,'HS250-DATA'!D$22:D$25),"FAN?")),IF(U290="N",LOOKUP(T290,'HS250-DATA'!C$14:C$17,'HS250-DATA'!D$14:D$17),IF(U290="Y",LOOKUP(T290,'HS250-DATA'!C$29:C$32,'HS250-DATA'!D$29:D$32),"FAN?")))</f>
        <v>0.106</v>
      </c>
      <c r="W290" s="1602">
        <f t="shared" si="149"/>
        <v>40.024630541871915</v>
      </c>
      <c r="X290" s="1602">
        <f t="shared" si="150"/>
        <v>160.09852216748766</v>
      </c>
      <c r="Y290" s="1602">
        <f t="shared" si="151"/>
        <v>160.09852216748766</v>
      </c>
      <c r="Z290" s="1579">
        <f t="shared" si="152"/>
        <v>120</v>
      </c>
      <c r="AA290" s="1602">
        <f t="shared" si="153"/>
        <v>71.970443349753694</v>
      </c>
      <c r="AB290" s="1588">
        <v>55</v>
      </c>
      <c r="AC290" s="1570"/>
      <c r="AD290" s="1754">
        <f t="shared" si="154"/>
        <v>2.0000000000000004E-2</v>
      </c>
      <c r="AE290" s="1634">
        <f t="shared" si="155"/>
        <v>1</v>
      </c>
      <c r="AF290" s="1635">
        <f t="shared" si="156"/>
        <v>-40.024630541871922</v>
      </c>
      <c r="AG290" s="1646">
        <f t="shared" si="157"/>
        <v>4.2019704433497544</v>
      </c>
      <c r="AH290" s="1741">
        <f t="shared" si="158"/>
        <v>69.06</v>
      </c>
      <c r="AI290" s="1607"/>
      <c r="AJ290" s="1733">
        <f>C290*LOOKUP(T290,'HS250-DATA'!C$7:C$10,'HS250-DATA'!F$7:F$10)</f>
        <v>28.26</v>
      </c>
      <c r="AK290" s="1733">
        <f t="shared" si="159"/>
        <v>12</v>
      </c>
      <c r="AL290" s="1733">
        <f>C290*E290*VLOOKUP(K290,'SCR-Diode DATA'!D$7:M$43,10,FALSE)</f>
        <v>28.8</v>
      </c>
      <c r="AM290" s="507">
        <f t="shared" si="160"/>
        <v>1.3155904068751405</v>
      </c>
      <c r="AO290" s="24">
        <f t="shared" si="161"/>
        <v>20.997416715445638</v>
      </c>
      <c r="AP290" s="24">
        <f t="shared" si="164"/>
        <v>17.497847262871364</v>
      </c>
      <c r="AQ290" s="24">
        <f t="shared" si="165"/>
        <v>94.488375219505357</v>
      </c>
      <c r="AR290">
        <v>100</v>
      </c>
      <c r="AS290">
        <f>LOOKUP(AR290,'FUSE DATA'!X$8:X$43,'FUSE DATA'!Y$8:Y$43)</f>
        <v>461</v>
      </c>
      <c r="AT290" s="1795">
        <f t="shared" si="162"/>
        <v>1.9049962451131488</v>
      </c>
      <c r="AU290" s="1795" t="str">
        <f t="shared" si="163"/>
        <v>F1892Sxxxx</v>
      </c>
      <c r="AX290" s="1814" t="s">
        <v>21</v>
      </c>
      <c r="AY290" s="1813" t="s">
        <v>5</v>
      </c>
    </row>
    <row r="291" spans="1:51" ht="19.5" thickBot="1">
      <c r="A291" s="1598">
        <v>1</v>
      </c>
      <c r="B291" s="1533">
        <f t="shared" si="166"/>
        <v>4</v>
      </c>
      <c r="C291" s="1600">
        <v>1</v>
      </c>
      <c r="D291" s="1575">
        <f t="shared" si="144"/>
        <v>4</v>
      </c>
      <c r="E291" s="1575">
        <v>1</v>
      </c>
      <c r="F291" s="1611">
        <f t="shared" si="145"/>
        <v>108.35853675485203</v>
      </c>
      <c r="G291" s="1582">
        <f t="shared" si="146"/>
        <v>54.179268377426013</v>
      </c>
      <c r="H291" s="1583">
        <f t="shared" si="147"/>
        <v>1.4142135623730951</v>
      </c>
      <c r="I291" s="1594">
        <f t="shared" si="148"/>
        <v>76.621056138807617</v>
      </c>
      <c r="J291" s="1680" t="s">
        <v>545</v>
      </c>
      <c r="K291" s="1417" t="s">
        <v>503</v>
      </c>
      <c r="L291" s="1414">
        <v>125</v>
      </c>
      <c r="M291" s="1414"/>
      <c r="N291" s="1414">
        <v>1950</v>
      </c>
      <c r="O291" s="1413">
        <v>125</v>
      </c>
      <c r="P291" s="1413">
        <v>0.86</v>
      </c>
      <c r="Q291" s="1415">
        <v>5.5</v>
      </c>
      <c r="R291" s="1413">
        <v>0.3</v>
      </c>
      <c r="S291" s="1688">
        <v>0.1</v>
      </c>
      <c r="T291" s="1624">
        <v>15</v>
      </c>
      <c r="U291" s="1616" t="s">
        <v>645</v>
      </c>
      <c r="V291" s="1622">
        <f>IF(E291=1,IF(U291="N",LOOKUP(T291,'HS250-DATA'!C$7:C$10,'HS250-DATA'!D$7:D$10),IF(U291="Y",LOOKUP(T291,'HS250-DATA'!C$22:C$25,'HS250-DATA'!D$22:D$25),"FAN?")),IF(U291="N",LOOKUP(T291,'HS250-DATA'!C$14:C$17,'HS250-DATA'!D$14:D$17),IF(U291="Y",LOOKUP(T291,'HS250-DATA'!C$29:C$32,'HS250-DATA'!D$29:D$32),"FAN?")))</f>
        <v>0.106</v>
      </c>
      <c r="W291" s="1602">
        <f t="shared" si="149"/>
        <v>78.883495145631059</v>
      </c>
      <c r="X291" s="1602">
        <f t="shared" si="150"/>
        <v>315.53398058252424</v>
      </c>
      <c r="Y291" s="1602">
        <f t="shared" si="151"/>
        <v>315.53398058252424</v>
      </c>
      <c r="Z291" s="1579">
        <f t="shared" si="152"/>
        <v>120</v>
      </c>
      <c r="AA291" s="1602">
        <f t="shared" si="153"/>
        <v>88.446601941747559</v>
      </c>
      <c r="AB291" s="1588">
        <v>55</v>
      </c>
      <c r="AC291" s="1570"/>
      <c r="AD291" s="1754">
        <f t="shared" si="154"/>
        <v>1.1000000000000001E-2</v>
      </c>
      <c r="AE291" s="1634">
        <f t="shared" si="155"/>
        <v>0.86</v>
      </c>
      <c r="AF291" s="1635">
        <f t="shared" si="156"/>
        <v>-78.883495145631059</v>
      </c>
      <c r="AG291" s="1646">
        <f t="shared" si="157"/>
        <v>4.2104737864077668</v>
      </c>
      <c r="AH291" s="1741">
        <f t="shared" si="158"/>
        <v>64.2</v>
      </c>
      <c r="AI291" s="1607"/>
      <c r="AJ291" s="1733">
        <f>C291*LOOKUP(T291,'HS250-DATA'!C$7:C$10,'HS250-DATA'!F$7:F$10)</f>
        <v>28.26</v>
      </c>
      <c r="AK291" s="1733">
        <f t="shared" si="159"/>
        <v>12</v>
      </c>
      <c r="AL291" s="1733">
        <f>C291*E291*VLOOKUP(K291,'SCR-Diode DATA'!D$7:M$43,10,FALSE)</f>
        <v>23.94</v>
      </c>
      <c r="AM291" s="507">
        <f t="shared" si="160"/>
        <v>0.59247754651066098</v>
      </c>
      <c r="AO291" s="24">
        <f t="shared" si="161"/>
        <v>43.343414701940816</v>
      </c>
      <c r="AP291" s="24">
        <f t="shared" si="164"/>
        <v>36.119512251617344</v>
      </c>
      <c r="AQ291" s="24">
        <f t="shared" si="165"/>
        <v>195.04536615873366</v>
      </c>
      <c r="AR291">
        <v>200</v>
      </c>
      <c r="AS291">
        <f>LOOKUP(AR291,'FUSE DATA'!X$8:X$43,'FUSE DATA'!Y$8:Y$43)</f>
        <v>949</v>
      </c>
      <c r="AT291" s="1795">
        <f t="shared" si="162"/>
        <v>1.8457244439584453</v>
      </c>
      <c r="AU291" s="1795" t="str">
        <f t="shared" si="163"/>
        <v>F1892Sxxxx</v>
      </c>
      <c r="AX291" s="1818" t="s">
        <v>22</v>
      </c>
      <c r="AY291" s="1815" t="s">
        <v>20</v>
      </c>
    </row>
    <row r="292" spans="1:51" ht="18.75">
      <c r="A292" s="1598">
        <v>3</v>
      </c>
      <c r="B292" s="1533">
        <f t="shared" si="166"/>
        <v>6</v>
      </c>
      <c r="C292" s="1600">
        <v>1</v>
      </c>
      <c r="D292" s="1575">
        <f t="shared" si="144"/>
        <v>6</v>
      </c>
      <c r="E292" s="1575">
        <v>1</v>
      </c>
      <c r="F292" s="1611">
        <f t="shared" si="145"/>
        <v>122.6537636176954</v>
      </c>
      <c r="G292" s="1582">
        <f t="shared" si="146"/>
        <v>40.884587872565135</v>
      </c>
      <c r="H292" s="1583">
        <f t="shared" si="147"/>
        <v>1.7320508075688772</v>
      </c>
      <c r="I292" s="1594">
        <f t="shared" si="148"/>
        <v>70.814183441797169</v>
      </c>
      <c r="J292" s="1680" t="s">
        <v>542</v>
      </c>
      <c r="K292" s="1417" t="s">
        <v>326</v>
      </c>
      <c r="L292" s="1414">
        <v>170</v>
      </c>
      <c r="M292" s="1423"/>
      <c r="N292" s="1414">
        <v>1950</v>
      </c>
      <c r="O292" s="1413">
        <v>125</v>
      </c>
      <c r="P292" s="1413">
        <v>0.86</v>
      </c>
      <c r="Q292" s="1415">
        <v>5.5</v>
      </c>
      <c r="R292" s="1413">
        <v>0.3</v>
      </c>
      <c r="S292" s="1688">
        <v>0.1</v>
      </c>
      <c r="T292" s="1624">
        <v>15</v>
      </c>
      <c r="U292" s="1616" t="s">
        <v>645</v>
      </c>
      <c r="V292" s="1622">
        <f>IF(E292=1,IF(U292="N",LOOKUP(T292,'HS250-DATA'!C$7:C$10,'HS250-DATA'!D$7:D$10),IF(U292="Y",LOOKUP(T292,'HS250-DATA'!C$22:C$25,'HS250-DATA'!D$22:D$25),"FAN?")),IF(U292="N",LOOKUP(T292,'HS250-DATA'!C$14:C$17,'HS250-DATA'!D$14:D$17),IF(U292="Y",LOOKUP(T292,'HS250-DATA'!C$29:C$32,'HS250-DATA'!D$29:D$32),"FAN?")))</f>
        <v>0.106</v>
      </c>
      <c r="W292" s="1602">
        <f t="shared" si="149"/>
        <v>62.741312741312768</v>
      </c>
      <c r="X292" s="1602">
        <f t="shared" si="150"/>
        <v>376.44787644787664</v>
      </c>
      <c r="Y292" s="1602">
        <f t="shared" si="151"/>
        <v>376.44787644787664</v>
      </c>
      <c r="Z292" s="1579">
        <f t="shared" si="152"/>
        <v>120</v>
      </c>
      <c r="AA292" s="1602">
        <f t="shared" si="153"/>
        <v>94.903474903474915</v>
      </c>
      <c r="AB292" s="1588">
        <v>55</v>
      </c>
      <c r="AC292" s="1570"/>
      <c r="AD292" s="1754">
        <f t="shared" si="154"/>
        <v>1.6499999999999997E-2</v>
      </c>
      <c r="AE292" s="1634">
        <f t="shared" si="155"/>
        <v>0.86</v>
      </c>
      <c r="AF292" s="1635">
        <f t="shared" si="156"/>
        <v>-62.74131274131274</v>
      </c>
      <c r="AG292" s="1646">
        <f t="shared" si="157"/>
        <v>4.8805266409266403</v>
      </c>
      <c r="AH292" s="1741">
        <f t="shared" si="158"/>
        <v>71.13000000000001</v>
      </c>
      <c r="AI292" s="1607"/>
      <c r="AJ292" s="1733">
        <f>C292*LOOKUP(T292,'HS250-DATA'!C$7:C$10,'HS250-DATA'!F$7:F$10)</f>
        <v>28.26</v>
      </c>
      <c r="AK292" s="1733">
        <f t="shared" si="159"/>
        <v>12</v>
      </c>
      <c r="AL292" s="1733">
        <f>C292*E292*VLOOKUP(K292,'SCR-Diode DATA'!D$7:M$43,10,FALSE)</f>
        <v>30.87</v>
      </c>
      <c r="AM292" s="507">
        <f t="shared" si="160"/>
        <v>0.57992513154107572</v>
      </c>
      <c r="AO292" s="24">
        <f t="shared" si="161"/>
        <v>49.061505447078162</v>
      </c>
      <c r="AP292" s="24">
        <f t="shared" si="164"/>
        <v>40.884587872565135</v>
      </c>
      <c r="AQ292" s="24">
        <f t="shared" si="165"/>
        <v>220.77677451185173</v>
      </c>
      <c r="AR292">
        <v>225</v>
      </c>
      <c r="AS292">
        <f>LOOKUP(AR292,'FUSE DATA'!X$8:X$43,'FUSE DATA'!Y$8:Y$43)</f>
        <v>860</v>
      </c>
      <c r="AT292" s="1795">
        <f t="shared" si="162"/>
        <v>1.8344320904926474</v>
      </c>
      <c r="AU292" s="1795" t="str">
        <f t="shared" si="163"/>
        <v>F1892Sxxxx</v>
      </c>
      <c r="AX292" s="1806">
        <v>40</v>
      </c>
      <c r="AY292" s="1805">
        <v>180</v>
      </c>
    </row>
    <row r="293" spans="1:51" ht="11.25" customHeight="1">
      <c r="A293" s="1598"/>
      <c r="B293" s="1533"/>
      <c r="C293" s="1600"/>
      <c r="D293" s="1575"/>
      <c r="E293" s="1575"/>
      <c r="F293" s="1611"/>
      <c r="G293" s="1582"/>
      <c r="H293" s="1583"/>
      <c r="I293" s="1594"/>
      <c r="J293" s="1680"/>
      <c r="K293" s="1417"/>
      <c r="L293" s="1414"/>
      <c r="M293" s="1423"/>
      <c r="N293" s="1414"/>
      <c r="O293" s="1413"/>
      <c r="P293" s="1413"/>
      <c r="Q293" s="1415"/>
      <c r="R293" s="1413"/>
      <c r="S293" s="1688"/>
      <c r="T293" s="1624"/>
      <c r="U293" s="1616"/>
      <c r="V293" s="1622"/>
      <c r="W293" s="1602"/>
      <c r="X293" s="1602"/>
      <c r="Y293" s="1602"/>
      <c r="Z293" s="1579"/>
      <c r="AA293" s="1602"/>
      <c r="AB293" s="1588"/>
      <c r="AC293" s="1570"/>
      <c r="AD293" s="1754"/>
      <c r="AE293" s="1634"/>
      <c r="AF293" s="1635"/>
      <c r="AG293" s="1646"/>
      <c r="AH293" s="1742"/>
      <c r="AI293" s="1607"/>
      <c r="AJ293" s="1607"/>
      <c r="AK293" s="1607"/>
      <c r="AL293" s="1733"/>
      <c r="AM293" s="494"/>
      <c r="AQ293" s="24"/>
      <c r="AX293" s="1804">
        <v>50</v>
      </c>
      <c r="AY293" s="1803">
        <v>235</v>
      </c>
    </row>
    <row r="294" spans="1:51" ht="18.75">
      <c r="A294" s="1598">
        <v>3</v>
      </c>
      <c r="B294" s="1533">
        <f t="shared" si="166"/>
        <v>6</v>
      </c>
      <c r="C294" s="1600">
        <v>1</v>
      </c>
      <c r="D294" s="1575">
        <f>B294/C294</f>
        <v>6</v>
      </c>
      <c r="E294" s="1575">
        <v>3</v>
      </c>
      <c r="F294" s="1611">
        <f>IF(A294=3,3*G294,IF(A294=1,2*G294,IF(A294="bd",1*G294,IF(A294="fwd",1,"Error"))))</f>
        <v>171.90413796890823</v>
      </c>
      <c r="G294" s="1582">
        <f>(-AE294+SQRT(AG294))/2/AD294</f>
        <v>57.30137932296941</v>
      </c>
      <c r="H294" s="1583">
        <f>IF(A294=3,SQRT(3),IF(A294=1,SQRT(2),1))</f>
        <v>1.7320508075688772</v>
      </c>
      <c r="I294" s="1594">
        <f>H294*G294</f>
        <v>99.248900331159732</v>
      </c>
      <c r="J294" s="1680" t="s">
        <v>548</v>
      </c>
      <c r="K294" s="1418" t="s">
        <v>549</v>
      </c>
      <c r="L294" s="1419">
        <v>90</v>
      </c>
      <c r="M294" s="1419">
        <v>150</v>
      </c>
      <c r="N294" s="1419">
        <v>1950</v>
      </c>
      <c r="O294" s="1412">
        <v>125</v>
      </c>
      <c r="P294" s="1416">
        <v>0.9</v>
      </c>
      <c r="Q294" s="1416">
        <v>2</v>
      </c>
      <c r="R294" s="1416">
        <v>0.28000000000000003</v>
      </c>
      <c r="S294" s="1687">
        <v>0.2</v>
      </c>
      <c r="T294" s="1624">
        <v>15</v>
      </c>
      <c r="U294" s="1616" t="s">
        <v>645</v>
      </c>
      <c r="V294" s="1622">
        <f>IF(E294=1,IF(U294="N",LOOKUP(T294,'HS250-DATA'!C$7:C$10,'HS250-DATA'!D$7:D$10),IF(U294="Y",LOOKUP(T294,'HS250-DATA'!C$22:C$25,'HS250-DATA'!D$22:D$25),"FAN?")),IF(U294="N",LOOKUP(T294,'HS250-DATA'!C$14:C$17,'HS250-DATA'!D$14:D$17),IF(U294="Y",LOOKUP(T294,'HS250-DATA'!C$29:C$32,'HS250-DATA'!D$29:D$32),"FAN?")))</f>
        <v>7.1999999999999995E-2</v>
      </c>
      <c r="W294" s="1602">
        <f>(G294*H294)^2*Q294*10^-3+G294*P294</f>
        <v>71.271929824561425</v>
      </c>
      <c r="X294" s="1602">
        <f>D294*W294</f>
        <v>427.63157894736855</v>
      </c>
      <c r="Y294" s="1602">
        <f>IF(A294=3,W294*6,IF(A294=1,W294*4,W294))</f>
        <v>427.63157894736855</v>
      </c>
      <c r="Z294" s="1579">
        <f>O294-5</f>
        <v>120</v>
      </c>
      <c r="AA294" s="1602">
        <f>D294*W294*V294+AB294</f>
        <v>85.789473684210535</v>
      </c>
      <c r="AB294" s="1588">
        <v>55</v>
      </c>
      <c r="AC294" s="1570"/>
      <c r="AD294" s="1754">
        <f>Q294*10^-3*H294^2</f>
        <v>5.9999999999999993E-3</v>
      </c>
      <c r="AE294" s="1634">
        <f>P294</f>
        <v>0.9</v>
      </c>
      <c r="AF294" s="1635">
        <f>(AB294-Z294)/(R294+S294+D294*V294)</f>
        <v>-71.271929824561411</v>
      </c>
      <c r="AG294" s="1646">
        <f>AE294^2-4*AD294*AF294</f>
        <v>2.5205263157894739</v>
      </c>
      <c r="AH294" s="1741">
        <f>SUM(AJ294:AL294)</f>
        <v>79.260000000000005</v>
      </c>
      <c r="AI294" s="1607"/>
      <c r="AJ294" s="1733">
        <f>C294*LOOKUP(T294,'HS250-DATA'!C$7:C$10,'HS250-DATA'!F$7:F$10)</f>
        <v>28.26</v>
      </c>
      <c r="AK294" s="1733">
        <f>IF(U294="Y",C294*12,0)</f>
        <v>12</v>
      </c>
      <c r="AL294" s="1733">
        <f>C294*E294*VLOOKUP(K294,'SCR-Diode DATA'!D$7:M$43,10,FALSE)</f>
        <v>39</v>
      </c>
      <c r="AM294" s="507">
        <f>AH294/F294</f>
        <v>0.46107092555465717</v>
      </c>
      <c r="AO294" s="24">
        <f>0.4*F294</f>
        <v>68.761655187563292</v>
      </c>
      <c r="AP294" s="1432" t="s">
        <v>569</v>
      </c>
      <c r="AQ294" s="24">
        <f t="shared" si="165"/>
        <v>309.42744834403481</v>
      </c>
      <c r="AR294">
        <v>350</v>
      </c>
      <c r="AS294">
        <f>LOOKUP(AR294,'FUSE DATA'!X$8:X$43,'FUSE DATA'!Y$8:Y$43)</f>
        <v>1724</v>
      </c>
      <c r="AT294" s="1795">
        <f>AR294/F294</f>
        <v>2.0360184701505175</v>
      </c>
      <c r="AU294" s="1795" t="str">
        <f>IF(AS294&lt;1950,"F1892Sxxxx",IF(AS294&lt;3350,"CS61xx16B",IF(A294&lt;7340,"ND41xx35",IF(A294&lt;19000,"LS41xx60","PS41xx25"))))</f>
        <v>F1892Sxxxx</v>
      </c>
      <c r="AX294" s="1804">
        <v>60</v>
      </c>
      <c r="AY294" s="1803">
        <v>269</v>
      </c>
    </row>
    <row r="295" spans="1:51" ht="18.75">
      <c r="A295" s="1598">
        <v>3</v>
      </c>
      <c r="B295" s="1533">
        <f t="shared" si="166"/>
        <v>6</v>
      </c>
      <c r="C295" s="1600">
        <v>3</v>
      </c>
      <c r="D295" s="1575">
        <f>B295/C295</f>
        <v>2</v>
      </c>
      <c r="E295" s="1575">
        <v>1</v>
      </c>
      <c r="F295" s="1611">
        <f>IF(A295=3,3*G295,IF(A295=1,2*G295,IF(A295="bd",1*G295,IF(A295="fwd",1,"Error"))))</f>
        <v>212.63107037460836</v>
      </c>
      <c r="G295" s="1582">
        <f>(-AE295+SQRT(AG295))/2/AD295</f>
        <v>70.877023458202785</v>
      </c>
      <c r="H295" s="1583">
        <f>IF(A295=3,SQRT(3),IF(A295=1,SQRT(2),1))</f>
        <v>1.7320508075688772</v>
      </c>
      <c r="I295" s="1594">
        <f>H295*G295</f>
        <v>122.76260571885838</v>
      </c>
      <c r="J295" s="1680" t="s">
        <v>548</v>
      </c>
      <c r="K295" s="1418" t="s">
        <v>549</v>
      </c>
      <c r="L295" s="1419">
        <v>90</v>
      </c>
      <c r="M295" s="1419">
        <v>150</v>
      </c>
      <c r="N295" s="1419">
        <v>1950</v>
      </c>
      <c r="O295" s="1412">
        <v>125</v>
      </c>
      <c r="P295" s="1416">
        <v>0.9</v>
      </c>
      <c r="Q295" s="1416">
        <v>2</v>
      </c>
      <c r="R295" s="1416">
        <v>0.28000000000000003</v>
      </c>
      <c r="S295" s="1687">
        <v>0.2</v>
      </c>
      <c r="T295" s="1624">
        <v>15</v>
      </c>
      <c r="U295" s="1616" t="s">
        <v>645</v>
      </c>
      <c r="V295" s="1622">
        <f>IF(E295=1,IF(U295="N",LOOKUP(T295,'HS250-DATA'!C$7:C$10,'HS250-DATA'!D$7:D$10),IF(U295="Y",LOOKUP(T295,'HS250-DATA'!C$22:C$25,'HS250-DATA'!D$22:D$25),"FAN?")),IF(U295="N",LOOKUP(T295,'HS250-DATA'!C$14:C$17,'HS250-DATA'!D$14:D$17),IF(U295="Y",LOOKUP(T295,'HS250-DATA'!C$29:C$32,'HS250-DATA'!D$29:D$32),"FAN?")))</f>
        <v>0.106</v>
      </c>
      <c r="W295" s="1602">
        <f>(G295*H295)^2*Q295*10^-3+G295*P295</f>
        <v>93.930635838150266</v>
      </c>
      <c r="X295" s="1602">
        <f>D295*W295</f>
        <v>187.86127167630053</v>
      </c>
      <c r="Y295" s="1602">
        <f>IF(A295=3,W295*6,IF(A295=1,W295*4,W295))</f>
        <v>563.58381502890165</v>
      </c>
      <c r="Z295" s="1579">
        <f>O295-5</f>
        <v>120</v>
      </c>
      <c r="AA295" s="1602">
        <f>D295*W295*V295+AB295</f>
        <v>74.913294797687854</v>
      </c>
      <c r="AB295" s="1588">
        <v>55</v>
      </c>
      <c r="AC295" s="1570"/>
      <c r="AD295" s="1754">
        <f>Q295*10^-3*H295^2</f>
        <v>5.9999999999999993E-3</v>
      </c>
      <c r="AE295" s="1634">
        <f>P295</f>
        <v>0.9</v>
      </c>
      <c r="AF295" s="1635">
        <f>(AB295-Z295)/(R295+S295+D295*V295)</f>
        <v>-93.93063583815028</v>
      </c>
      <c r="AG295" s="1646">
        <f>AE295^2-4*AD295*AF295</f>
        <v>3.0643352601156066</v>
      </c>
      <c r="AH295" s="1741">
        <f>SUM(AJ295:AL295)</f>
        <v>159.78</v>
      </c>
      <c r="AI295" s="1607"/>
      <c r="AJ295" s="1733">
        <f>C295*LOOKUP(T295,'HS250-DATA'!C$7:C$10,'HS250-DATA'!F$7:F$10)</f>
        <v>84.78</v>
      </c>
      <c r="AK295" s="1733">
        <f>IF(U295="Y",C295*12,0)</f>
        <v>36</v>
      </c>
      <c r="AL295" s="1733">
        <f>C295*E295*VLOOKUP(K295,'SCR-Diode DATA'!D$7:M$43,10,FALSE)</f>
        <v>39</v>
      </c>
      <c r="AM295" s="507">
        <f>AH295/F295</f>
        <v>0.75144239136125968</v>
      </c>
      <c r="AO295" s="24">
        <f>0.4*F295</f>
        <v>85.052428149843351</v>
      </c>
      <c r="AP295" s="1432" t="s">
        <v>569</v>
      </c>
      <c r="AQ295" s="24">
        <f t="shared" si="165"/>
        <v>382.73592667429506</v>
      </c>
      <c r="AR295">
        <v>400</v>
      </c>
      <c r="AS295">
        <f>LOOKUP(AR295,'FUSE DATA'!X$8:X$43,'FUSE DATA'!Y$8:Y$43)</f>
        <v>1984</v>
      </c>
      <c r="AT295" s="1795">
        <f>AR295/F295</f>
        <v>1.8811926182532475</v>
      </c>
      <c r="AU295" s="1795" t="str">
        <f>IF(AS295&lt;1950,"F1892Sxxxx",IF(AS295&lt;3350,"CS61xx16B",IF(A295&lt;7340,"ND41xx35",IF(A295&lt;19000,"LS41xx60","PS41xx25"))))</f>
        <v>CS61xx16B</v>
      </c>
      <c r="AX295" s="1804">
        <v>70</v>
      </c>
      <c r="AY295" s="1802">
        <v>260</v>
      </c>
    </row>
    <row r="296" spans="1:51" ht="18.75">
      <c r="A296" s="1598">
        <v>1</v>
      </c>
      <c r="B296" s="1533">
        <f t="shared" si="166"/>
        <v>4</v>
      </c>
      <c r="C296" s="1600">
        <v>1</v>
      </c>
      <c r="D296" s="1575">
        <f>B296/C296</f>
        <v>4</v>
      </c>
      <c r="E296" s="1575">
        <v>2</v>
      </c>
      <c r="F296" s="1611">
        <f>IF(A296=3,3*G296,IF(A296=1,2*G296,IF(A296="bd",1*G296,IF(A296="fwd",1,"Error"))))</f>
        <v>142.77767287678932</v>
      </c>
      <c r="G296" s="1582">
        <f>(-AE296+SQRT(AG296))/2/AD296</f>
        <v>71.388836438394662</v>
      </c>
      <c r="H296" s="1583">
        <f>IF(A296=3,SQRT(3),IF(A296=1,SQRT(2),1))</f>
        <v>1.4142135623730951</v>
      </c>
      <c r="I296" s="1594">
        <f>H296*G296</f>
        <v>100.95906069321234</v>
      </c>
      <c r="J296" s="1680" t="s">
        <v>552</v>
      </c>
      <c r="K296" s="1418" t="s">
        <v>553</v>
      </c>
      <c r="L296" s="1419">
        <v>90</v>
      </c>
      <c r="M296" s="1419">
        <v>150</v>
      </c>
      <c r="N296" s="1419">
        <v>1950</v>
      </c>
      <c r="O296" s="1412">
        <v>125</v>
      </c>
      <c r="P296" s="1416">
        <v>0.9</v>
      </c>
      <c r="Q296" s="1416">
        <v>2</v>
      </c>
      <c r="R296" s="1416">
        <v>0.28000000000000003</v>
      </c>
      <c r="S296" s="1687">
        <v>0.2</v>
      </c>
      <c r="T296" s="1624">
        <v>15</v>
      </c>
      <c r="U296" s="1616" t="s">
        <v>645</v>
      </c>
      <c r="V296" s="1622">
        <f>IF(E296=1,IF(U296="N",LOOKUP(T296,'HS250-DATA'!C$7:C$10,'HS250-DATA'!D$7:D$10),IF(U296="Y",LOOKUP(T296,'HS250-DATA'!C$22:C$25,'HS250-DATA'!D$22:D$25),"FAN?")),IF(U296="N",LOOKUP(T296,'HS250-DATA'!C$14:C$17,'HS250-DATA'!D$14:D$17),IF(U296="Y",LOOKUP(T296,'HS250-DATA'!C$29:C$32,'HS250-DATA'!D$29:D$32),"FAN?")))</f>
        <v>7.1999999999999995E-2</v>
      </c>
      <c r="W296" s="1602">
        <f>(G296*H296)^2*Q296*10^-3+G296*P296</f>
        <v>84.635416666666657</v>
      </c>
      <c r="X296" s="1602">
        <f>D296*W296</f>
        <v>338.54166666666663</v>
      </c>
      <c r="Y296" s="1602">
        <f>IF(A296=3,W296*6,IF(A296=1,W296*4,W296))</f>
        <v>338.54166666666663</v>
      </c>
      <c r="Z296" s="1579">
        <f>O296-5</f>
        <v>120</v>
      </c>
      <c r="AA296" s="1602">
        <f>D296*W296*V296+AB296</f>
        <v>79.375</v>
      </c>
      <c r="AB296" s="1588">
        <v>55</v>
      </c>
      <c r="AC296" s="1570"/>
      <c r="AD296" s="1754">
        <f>Q296*10^-3*H296^2</f>
        <v>4.000000000000001E-3</v>
      </c>
      <c r="AE296" s="1634">
        <f>P296</f>
        <v>0.9</v>
      </c>
      <c r="AF296" s="1635">
        <f>(AB296-Z296)/(R296+S296+D296*V296)</f>
        <v>-84.635416666666671</v>
      </c>
      <c r="AG296" s="1646">
        <f>AE296^2-4*AD296*AF296</f>
        <v>2.164166666666667</v>
      </c>
      <c r="AH296" s="1741">
        <f>SUM(AJ296:AL296)</f>
        <v>66.260000000000005</v>
      </c>
      <c r="AI296" s="1607"/>
      <c r="AJ296" s="1733">
        <f>C296*LOOKUP(T296,'HS250-DATA'!C$7:C$10,'HS250-DATA'!F$7:F$10)</f>
        <v>28.26</v>
      </c>
      <c r="AK296" s="1733">
        <f>IF(U296="Y",C296*12,0)</f>
        <v>12</v>
      </c>
      <c r="AL296" s="1733">
        <f>C296*E296*VLOOKUP(K296,'SCR-Diode DATA'!D$7:M$43,10,FALSE)</f>
        <v>26</v>
      </c>
      <c r="AM296" s="507">
        <f>AH296/F296</f>
        <v>0.46407816197690371</v>
      </c>
      <c r="AO296" s="24">
        <f>0.4*F296</f>
        <v>57.111069150715736</v>
      </c>
      <c r="AP296" s="1432" t="s">
        <v>569</v>
      </c>
      <c r="AQ296" s="24">
        <f t="shared" si="165"/>
        <v>256.9998111782208</v>
      </c>
      <c r="AR296">
        <v>275</v>
      </c>
      <c r="AS296">
        <f>LOOKUP(AR296,'FUSE DATA'!X$8:X$43,'FUSE DATA'!Y$8:Y$43)</f>
        <v>1196</v>
      </c>
      <c r="AT296" s="1795">
        <f>AR296/F296</f>
        <v>1.9260714540242756</v>
      </c>
      <c r="AU296" s="1795" t="str">
        <f>IF(AS296&lt;1950,"F1892Sxxxx",IF(AS296&lt;3350,"CS61xx16B",IF(A296&lt;7340,"ND41xx35",IF(A296&lt;19000,"LS41xx60","PS41xx25"))))</f>
        <v>F1892Sxxxx</v>
      </c>
      <c r="AX296" s="1804">
        <v>80</v>
      </c>
      <c r="AY296" s="1802">
        <v>349</v>
      </c>
    </row>
    <row r="297" spans="1:51" ht="18.75">
      <c r="A297" s="1598">
        <v>1</v>
      </c>
      <c r="B297" s="1533">
        <f t="shared" si="166"/>
        <v>4</v>
      </c>
      <c r="C297" s="1600">
        <v>2</v>
      </c>
      <c r="D297" s="1575">
        <f>B297/C297</f>
        <v>2</v>
      </c>
      <c r="E297" s="1575">
        <v>1</v>
      </c>
      <c r="F297" s="1611">
        <f>IF(A297=3,3*G297,IF(A297=1,2*G297,IF(A297="bd",1*G297,IF(A297="fwd",1,"Error"))))</f>
        <v>155.20472884769632</v>
      </c>
      <c r="G297" s="1582">
        <f>(-AE297+SQRT(AG297))/2/AD297</f>
        <v>77.602364423848158</v>
      </c>
      <c r="H297" s="1583">
        <f>IF(A297=3,SQRT(3),IF(A297=1,SQRT(2),1))</f>
        <v>1.4142135623730951</v>
      </c>
      <c r="I297" s="1594">
        <f>H297*G297</f>
        <v>109.74631624042544</v>
      </c>
      <c r="J297" s="1680" t="s">
        <v>552</v>
      </c>
      <c r="K297" s="1418" t="s">
        <v>553</v>
      </c>
      <c r="L297" s="1419">
        <v>90</v>
      </c>
      <c r="M297" s="1419">
        <v>150</v>
      </c>
      <c r="N297" s="1419">
        <v>1950</v>
      </c>
      <c r="O297" s="1412">
        <v>125</v>
      </c>
      <c r="P297" s="1416">
        <v>0.9</v>
      </c>
      <c r="Q297" s="1416">
        <v>2</v>
      </c>
      <c r="R297" s="1416">
        <v>0.28000000000000003</v>
      </c>
      <c r="S297" s="1687">
        <v>0.2</v>
      </c>
      <c r="T297" s="1624">
        <v>15</v>
      </c>
      <c r="U297" s="1616" t="s">
        <v>645</v>
      </c>
      <c r="V297" s="1622">
        <f>IF(E297=1,IF(U297="N",LOOKUP(T297,'HS250-DATA'!C$7:C$10,'HS250-DATA'!D$7:D$10),IF(U297="Y",LOOKUP(T297,'HS250-DATA'!C$22:C$25,'HS250-DATA'!D$22:D$25),"FAN?")),IF(U297="N",LOOKUP(T297,'HS250-DATA'!C$14:C$17,'HS250-DATA'!D$14:D$17),IF(U297="Y",LOOKUP(T297,'HS250-DATA'!C$29:C$32,'HS250-DATA'!D$29:D$32),"FAN?")))</f>
        <v>0.106</v>
      </c>
      <c r="W297" s="1602">
        <f>(G297*H297)^2*Q297*10^-3+G297*P297</f>
        <v>93.930635838150295</v>
      </c>
      <c r="X297" s="1602">
        <f>D297*W297</f>
        <v>187.86127167630059</v>
      </c>
      <c r="Y297" s="1602">
        <f>IF(A297=3,W297*6,IF(A297=1,W297*4,W297))</f>
        <v>375.72254335260118</v>
      </c>
      <c r="Z297" s="1579">
        <f>O297-5</f>
        <v>120</v>
      </c>
      <c r="AA297" s="1602">
        <f>D297*W297*V297+AB297</f>
        <v>74.913294797687854</v>
      </c>
      <c r="AB297" s="1588">
        <v>55</v>
      </c>
      <c r="AC297" s="1570"/>
      <c r="AD297" s="1754">
        <f>Q297*10^-3*H297^2</f>
        <v>4.000000000000001E-3</v>
      </c>
      <c r="AE297" s="1634">
        <f>P297</f>
        <v>0.9</v>
      </c>
      <c r="AF297" s="1635">
        <f>(AB297-Z297)/(R297+S297+D297*V297)</f>
        <v>-93.93063583815028</v>
      </c>
      <c r="AG297" s="1646">
        <f>AE297^2-4*AD297*AF297</f>
        <v>2.3128901734104046</v>
      </c>
      <c r="AH297" s="1741">
        <f>SUM(AJ297:AL297)</f>
        <v>106.52000000000001</v>
      </c>
      <c r="AI297" s="1607"/>
      <c r="AJ297" s="1733">
        <f>C297*LOOKUP(T297,'HS250-DATA'!C$7:C$10,'HS250-DATA'!F$7:F$10)</f>
        <v>56.52</v>
      </c>
      <c r="AK297" s="1733">
        <f>IF(U297="Y",C297*12,0)</f>
        <v>24</v>
      </c>
      <c r="AL297" s="1733">
        <f>C297*E297*VLOOKUP(K297,'SCR-Diode DATA'!D$7:M$43,10,FALSE)</f>
        <v>26</v>
      </c>
      <c r="AM297" s="507">
        <f>AH297/F297</f>
        <v>0.68631929446253515</v>
      </c>
      <c r="AO297" s="24">
        <f>0.4*F297</f>
        <v>62.081891539078526</v>
      </c>
      <c r="AP297" s="1432" t="s">
        <v>569</v>
      </c>
      <c r="AQ297" s="24">
        <f t="shared" si="165"/>
        <v>279.3685119258534</v>
      </c>
      <c r="AR297">
        <v>300</v>
      </c>
      <c r="AS297">
        <f>LOOKUP(AR297,'FUSE DATA'!X$8:X$43,'FUSE DATA'!Y$8:Y$43)</f>
        <v>1324</v>
      </c>
      <c r="AT297" s="1795">
        <f>AR297/F297</f>
        <v>1.9329307955197195</v>
      </c>
      <c r="AU297" s="1795" t="str">
        <f>IF(AS297&lt;1950,"F1892Sxxxx",IF(AS297&lt;3350,"CS61xx16B",IF(A297&lt;7340,"ND41xx35",IF(A297&lt;19000,"LS41xx60","PS41xx25"))))</f>
        <v>F1892Sxxxx</v>
      </c>
      <c r="AX297" s="1804">
        <v>90</v>
      </c>
      <c r="AY297" s="1802">
        <v>391</v>
      </c>
    </row>
    <row r="298" spans="1:51" ht="18.75">
      <c r="A298" s="1598"/>
      <c r="B298" s="1533"/>
      <c r="C298" s="1600"/>
      <c r="D298" s="1575"/>
      <c r="E298" s="1575"/>
      <c r="F298" s="1611"/>
      <c r="G298" s="1582"/>
      <c r="H298" s="1583"/>
      <c r="I298" s="1594"/>
      <c r="J298" s="1680"/>
      <c r="K298" s="1418"/>
      <c r="L298" s="1419"/>
      <c r="M298" s="1419"/>
      <c r="N298" s="1419"/>
      <c r="O298" s="1412"/>
      <c r="P298" s="1416"/>
      <c r="Q298" s="1416"/>
      <c r="R298" s="1416"/>
      <c r="S298" s="1687"/>
      <c r="T298" s="1624"/>
      <c r="U298" s="1616"/>
      <c r="V298" s="1622"/>
      <c r="W298" s="1602"/>
      <c r="X298" s="1602"/>
      <c r="Y298" s="1602"/>
      <c r="Z298" s="1579"/>
      <c r="AA298" s="1602"/>
      <c r="AB298" s="1588"/>
      <c r="AC298" s="1570"/>
      <c r="AD298" s="1754"/>
      <c r="AE298" s="1634"/>
      <c r="AF298" s="1635"/>
      <c r="AG298" s="1646"/>
      <c r="AH298" s="1742"/>
      <c r="AI298" s="1607"/>
      <c r="AJ298" s="1607"/>
      <c r="AK298" s="1607"/>
      <c r="AL298" s="1733"/>
      <c r="AM298" s="1743"/>
      <c r="AQ298" s="24"/>
      <c r="AX298" s="1804">
        <v>100</v>
      </c>
      <c r="AY298" s="1802">
        <v>461</v>
      </c>
    </row>
    <row r="299" spans="1:51" s="330" customFormat="1" ht="18.75">
      <c r="A299" s="1598">
        <v>3</v>
      </c>
      <c r="B299" s="1776">
        <f t="shared" si="166"/>
        <v>6</v>
      </c>
      <c r="C299" s="1600">
        <v>1</v>
      </c>
      <c r="D299" s="1600">
        <f>B299/C299</f>
        <v>6</v>
      </c>
      <c r="E299" s="1600">
        <v>3</v>
      </c>
      <c r="F299" s="1611">
        <f>IF(A299=3,3*G299,IF(A299=1,2*G299,IF(A299="bd",1*G299,IF(A299="fwd",1,"Error"))))</f>
        <v>231.89764687162577</v>
      </c>
      <c r="G299" s="1777">
        <f>(-AE299+SQRT(AG299))/2/AD299</f>
        <v>77.299215623875256</v>
      </c>
      <c r="H299" s="1778">
        <f>IF(A299=3,SQRT(3),IF(A299=1,SQRT(2),1))</f>
        <v>1.7320508075688772</v>
      </c>
      <c r="I299" s="1779">
        <f>H299*G299</f>
        <v>133.88616884577391</v>
      </c>
      <c r="J299" s="1780" t="s">
        <v>548</v>
      </c>
      <c r="K299" s="1781" t="s">
        <v>554</v>
      </c>
      <c r="L299" s="1782">
        <v>160</v>
      </c>
      <c r="M299" s="1782">
        <v>250</v>
      </c>
      <c r="N299" s="1782">
        <v>4100</v>
      </c>
      <c r="O299" s="1783">
        <v>125</v>
      </c>
      <c r="P299" s="1784">
        <v>0.85</v>
      </c>
      <c r="Q299" s="1784">
        <v>1.5</v>
      </c>
      <c r="R299" s="1784">
        <v>0.17</v>
      </c>
      <c r="S299" s="1785">
        <v>0.1</v>
      </c>
      <c r="T299" s="1624">
        <v>15</v>
      </c>
      <c r="U299" s="1616" t="s">
        <v>681</v>
      </c>
      <c r="V299" s="1622">
        <f>IF(E299=1,IF(U299="N",LOOKUP(T299,'HS250-DATA'!C$7:C$10,'HS250-DATA'!D$7:D$10),IF(U299="Y",LOOKUP(T299,'HS250-DATA'!C$22:C$25,'HS250-DATA'!D$22:D$25),"FAN?")),IF(U299="N",LOOKUP(T299,'HS250-DATA'!C$14:C$17,'HS250-DATA'!D$14:D$17),IF(U299="Y",LOOKUP(T299,'HS250-DATA'!C$29:C$32,'HS250-DATA'!D$29:D$32),"FAN?")))</f>
        <v>7.1999999999999995E-2</v>
      </c>
      <c r="W299" s="1786">
        <f>(G299*H299)^2*Q299*10^-3+G299*P299</f>
        <v>92.592592592592581</v>
      </c>
      <c r="X299" s="1786">
        <f>D299*W299</f>
        <v>555.55555555555543</v>
      </c>
      <c r="Y299" s="1786">
        <f>IF(A299=3,W299*6,IF(A299=1,W299*4,W299))</f>
        <v>555.55555555555543</v>
      </c>
      <c r="Z299" s="1579">
        <f>O299-5</f>
        <v>120</v>
      </c>
      <c r="AA299" s="1786">
        <f>D299*W299*V299+AB299</f>
        <v>94.999999999999986</v>
      </c>
      <c r="AB299" s="1787">
        <v>55</v>
      </c>
      <c r="AC299" s="1788"/>
      <c r="AD299" s="1754">
        <f>Q299*10^-3*H299^2</f>
        <v>4.4999999999999997E-3</v>
      </c>
      <c r="AE299" s="1634">
        <f>P299</f>
        <v>0.85</v>
      </c>
      <c r="AF299" s="1635">
        <f>(AB299-Z299)/(R299+S299+D299*V299)</f>
        <v>-92.592592592592595</v>
      </c>
      <c r="AG299" s="1789">
        <f>AE299^2-4*AD299*AF299</f>
        <v>2.3891666666666662</v>
      </c>
      <c r="AH299" s="1790">
        <f>SUM(AJ299:AL299)</f>
        <v>148.26</v>
      </c>
      <c r="AI299" s="1791"/>
      <c r="AJ299" s="1792">
        <f>C299*LOOKUP(T299,'HS250-DATA'!C$7:C$10,'HS250-DATA'!F$7:F$10)</f>
        <v>28.26</v>
      </c>
      <c r="AK299" s="1792">
        <f>IF(U299="Y",C299*12,0)</f>
        <v>12</v>
      </c>
      <c r="AL299" s="1792">
        <f>C299*E299*VLOOKUP(K299,'SCR-Diode DATA'!D$7:M$43,10,FALSE)</f>
        <v>108</v>
      </c>
      <c r="AM299" s="1793">
        <f>AH299/F299</f>
        <v>0.63933378367601101</v>
      </c>
      <c r="AO299" s="24">
        <f>0.4*F299</f>
        <v>92.759058748650318</v>
      </c>
      <c r="AP299" s="1432" t="s">
        <v>569</v>
      </c>
      <c r="AQ299" s="24">
        <f t="shared" si="165"/>
        <v>417.41576436892638</v>
      </c>
      <c r="AR299">
        <v>450</v>
      </c>
      <c r="AS299">
        <f>LOOKUP(AR299,'FUSE DATA'!X$8:X$43,'FUSE DATA'!Y$8:Y$43)</f>
        <v>2578</v>
      </c>
      <c r="AT299" s="1795">
        <f>AR299/F299</f>
        <v>1.9405112818980508</v>
      </c>
      <c r="AU299" s="1795" t="str">
        <f>IF(AS299&lt;1950,"F1892Sxxxx",IF(AS299&lt;3350,"CS61xx16B",IF(A299&lt;7340,"ND41xx35",IF(A299&lt;19000,"LS41xx60","PS41xx25"))))</f>
        <v>CS61xx16B</v>
      </c>
      <c r="AX299" s="1804">
        <v>125</v>
      </c>
      <c r="AY299" s="1802">
        <v>510</v>
      </c>
    </row>
    <row r="300" spans="1:51" ht="18.75">
      <c r="A300" s="1598">
        <v>3</v>
      </c>
      <c r="B300" s="1533">
        <f t="shared" si="166"/>
        <v>6</v>
      </c>
      <c r="C300" s="1600">
        <v>3</v>
      </c>
      <c r="D300" s="1575">
        <f>B300/C300</f>
        <v>2</v>
      </c>
      <c r="E300" s="1575">
        <v>1</v>
      </c>
      <c r="F300" s="1611">
        <f>IF(A300=3,3*G300,IF(A300=1,2*G300,IF(A300="bd",1*G300,IF(A300="fwd",1,"Error"))))</f>
        <v>308.26392946141846</v>
      </c>
      <c r="G300" s="1582">
        <f>(-AE300+SQRT(AG300))/2/AD300</f>
        <v>102.75464315380614</v>
      </c>
      <c r="H300" s="1583">
        <f>IF(A300=3,SQRT(3),IF(A300=1,SQRT(2),1))</f>
        <v>1.7320508075688772</v>
      </c>
      <c r="I300" s="1594">
        <f>H300*G300</f>
        <v>177.97626265600172</v>
      </c>
      <c r="J300" s="1680" t="s">
        <v>548</v>
      </c>
      <c r="K300" s="1418" t="s">
        <v>554</v>
      </c>
      <c r="L300" s="1419">
        <v>160</v>
      </c>
      <c r="M300" s="1419">
        <v>250</v>
      </c>
      <c r="N300" s="1419">
        <v>4100</v>
      </c>
      <c r="O300" s="1412">
        <v>125</v>
      </c>
      <c r="P300" s="1416">
        <v>0.85</v>
      </c>
      <c r="Q300" s="1416">
        <v>1.5</v>
      </c>
      <c r="R300" s="1416">
        <v>0.17</v>
      </c>
      <c r="S300" s="1687">
        <v>0.1</v>
      </c>
      <c r="T300" s="1624">
        <v>15</v>
      </c>
      <c r="U300" s="1616" t="s">
        <v>645</v>
      </c>
      <c r="V300" s="1622">
        <f>IF(E300=1,IF(U300="N",LOOKUP(T300,'HS250-DATA'!C$7:C$10,'HS250-DATA'!D$7:D$10),IF(U300="Y",LOOKUP(T300,'HS250-DATA'!C$22:C$25,'HS250-DATA'!D$22:D$25),"FAN?")),IF(U300="N",LOOKUP(T300,'HS250-DATA'!C$14:C$17,'HS250-DATA'!D$14:D$17),IF(U300="Y",LOOKUP(T300,'HS250-DATA'!C$29:C$32,'HS250-DATA'!D$29:D$32),"FAN?")))</f>
        <v>0.106</v>
      </c>
      <c r="W300" s="1602">
        <f>(G300*H300)^2*Q300*10^-3+G300*P300</f>
        <v>134.85477178423238</v>
      </c>
      <c r="X300" s="1602">
        <f>D300*W300</f>
        <v>269.70954356846477</v>
      </c>
      <c r="Y300" s="1602">
        <f>IF(A300=3,W300*6,IF(A300=1,W300*4,W300))</f>
        <v>809.12863070539424</v>
      </c>
      <c r="Z300" s="1579">
        <f>O300-5</f>
        <v>120</v>
      </c>
      <c r="AA300" s="1602">
        <f>D300*W300*V300+AB300</f>
        <v>83.589211618257266</v>
      </c>
      <c r="AB300" s="1588">
        <v>55</v>
      </c>
      <c r="AC300" s="1570"/>
      <c r="AD300" s="1754">
        <f>Q300*10^-3*H300^2</f>
        <v>4.4999999999999997E-3</v>
      </c>
      <c r="AE300" s="1634">
        <f>P300</f>
        <v>0.85</v>
      </c>
      <c r="AF300" s="1635">
        <f>(AB300-Z300)/(R300+S300+D300*V300)</f>
        <v>-134.85477178423238</v>
      </c>
      <c r="AG300" s="1646">
        <f>AE300^2-4*AD300*AF300</f>
        <v>3.149885892116183</v>
      </c>
      <c r="AH300" s="1741">
        <f>SUM(AJ300:AL300)</f>
        <v>228.78</v>
      </c>
      <c r="AI300" s="1607"/>
      <c r="AJ300" s="1733">
        <f>C300*LOOKUP(T300,'HS250-DATA'!C$7:C$10,'HS250-DATA'!F$7:F$10)</f>
        <v>84.78</v>
      </c>
      <c r="AK300" s="1733">
        <f>IF(U300="Y",C300*12,0)</f>
        <v>36</v>
      </c>
      <c r="AL300" s="1733">
        <f>C300*E300*VLOOKUP(K300,'SCR-Diode DATA'!D$7:M$43,10,FALSE)</f>
        <v>108</v>
      </c>
      <c r="AM300" s="507">
        <f>AH300/F300</f>
        <v>0.74215624383855627</v>
      </c>
      <c r="AO300" s="24">
        <f>0.4*F300</f>
        <v>123.30557178456739</v>
      </c>
      <c r="AP300" s="1432" t="s">
        <v>569</v>
      </c>
      <c r="AQ300" s="24">
        <f t="shared" si="165"/>
        <v>554.87507303055327</v>
      </c>
      <c r="AR300">
        <v>600</v>
      </c>
      <c r="AS300">
        <f>LOOKUP(AR300,'FUSE DATA'!X$8:X$43,'FUSE DATA'!Y$8:Y$43)</f>
        <v>3532</v>
      </c>
      <c r="AT300" s="1795">
        <f>AR300/F300</f>
        <v>1.946384064617247</v>
      </c>
      <c r="AU300" s="1795" t="str">
        <f>IF(AS300&lt;1950,"F1892Sxxxx",IF(AS300&lt;3350,"CS61xx16B",IF(A300&lt;7340,"ND41xx35",IF(A300&lt;19000,"LS41xx60","PS41xx25"))))</f>
        <v>ND41xx35</v>
      </c>
      <c r="AX300" s="1804">
        <v>150</v>
      </c>
      <c r="AY300" s="1802">
        <v>700</v>
      </c>
    </row>
    <row r="301" spans="1:51" s="330" customFormat="1" ht="18.75">
      <c r="A301" s="1598">
        <v>1</v>
      </c>
      <c r="B301" s="1776">
        <f t="shared" si="166"/>
        <v>4</v>
      </c>
      <c r="C301" s="1600">
        <v>1</v>
      </c>
      <c r="D301" s="1600">
        <f>B301/C301</f>
        <v>4</v>
      </c>
      <c r="E301" s="1600">
        <v>2</v>
      </c>
      <c r="F301" s="1611">
        <f>IF(A301=3,3*G301,IF(A301=1,2*G301,IF(A301="bd",1*G301,IF(A301="fwd",1,"Error"))))</f>
        <v>202.04732626002942</v>
      </c>
      <c r="G301" s="1777">
        <f>(-AE301+SQRT(AG301))/2/AD301</f>
        <v>101.02366313001471</v>
      </c>
      <c r="H301" s="1778">
        <f>IF(A301=3,SQRT(3),IF(A301=1,SQRT(2),1))</f>
        <v>1.4142135623730951</v>
      </c>
      <c r="I301" s="1779">
        <f>H301*G301</f>
        <v>142.86903451907762</v>
      </c>
      <c r="J301" s="1780" t="s">
        <v>552</v>
      </c>
      <c r="K301" s="1781" t="s">
        <v>555</v>
      </c>
      <c r="L301" s="1782">
        <v>160</v>
      </c>
      <c r="M301" s="1782">
        <v>250</v>
      </c>
      <c r="N301" s="1782">
        <v>4100</v>
      </c>
      <c r="O301" s="1783">
        <v>125</v>
      </c>
      <c r="P301" s="1784">
        <v>0.85</v>
      </c>
      <c r="Q301" s="1784">
        <v>1.5</v>
      </c>
      <c r="R301" s="1784">
        <v>0.17</v>
      </c>
      <c r="S301" s="1785">
        <v>0.1</v>
      </c>
      <c r="T301" s="1624">
        <v>15</v>
      </c>
      <c r="U301" s="1616" t="s">
        <v>645</v>
      </c>
      <c r="V301" s="1622">
        <f>IF(E301=1,IF(U301="N",LOOKUP(T301,'HS250-DATA'!C$7:C$10,'HS250-DATA'!D$7:D$10),IF(U301="Y",LOOKUP(T301,'HS250-DATA'!C$22:C$25,'HS250-DATA'!D$22:D$25),"FAN?")),IF(U301="N",LOOKUP(T301,'HS250-DATA'!C$14:C$17,'HS250-DATA'!D$14:D$17),IF(U301="Y",LOOKUP(T301,'HS250-DATA'!C$29:C$32,'HS250-DATA'!D$29:D$32),"FAN?")))</f>
        <v>7.1999999999999995E-2</v>
      </c>
      <c r="W301" s="1786">
        <f>(G301*H301)^2*Q301*10^-3+G301*P301</f>
        <v>116.48745519713259</v>
      </c>
      <c r="X301" s="1786">
        <f>D301*W301</f>
        <v>465.94982078853036</v>
      </c>
      <c r="Y301" s="1786">
        <f>IF(A301=3,W301*6,IF(A301=1,W301*4,W301))</f>
        <v>465.94982078853036</v>
      </c>
      <c r="Z301" s="1579">
        <f>O301-5</f>
        <v>120</v>
      </c>
      <c r="AA301" s="1786">
        <f>D301*W301*V301+AB301</f>
        <v>88.548387096774178</v>
      </c>
      <c r="AB301" s="1787">
        <v>55</v>
      </c>
      <c r="AC301" s="1788"/>
      <c r="AD301" s="1754">
        <f>Q301*10^-3*H301^2</f>
        <v>3.0000000000000009E-3</v>
      </c>
      <c r="AE301" s="1634">
        <f>P301</f>
        <v>0.85</v>
      </c>
      <c r="AF301" s="1635">
        <f>(AB301-Z301)/(R301+S301+D301*V301)</f>
        <v>-116.4874551971326</v>
      </c>
      <c r="AG301" s="1789">
        <f>AE301^2-4*AD301*AF301</f>
        <v>2.1203494623655916</v>
      </c>
      <c r="AH301" s="1790">
        <f>SUM(AJ301:AL301)</f>
        <v>112.26</v>
      </c>
      <c r="AI301" s="1791"/>
      <c r="AJ301" s="1792">
        <f>C301*LOOKUP(T301,'HS250-DATA'!C$7:C$10,'HS250-DATA'!F$7:F$10)</f>
        <v>28.26</v>
      </c>
      <c r="AK301" s="1792">
        <f>IF(U301="Y",C301*12,0)</f>
        <v>12</v>
      </c>
      <c r="AL301" s="1792">
        <f>C301*E301*VLOOKUP(K301,'SCR-Diode DATA'!D$7:M$43,10,FALSE)</f>
        <v>72</v>
      </c>
      <c r="AM301" s="1793">
        <f>AH301/F301</f>
        <v>0.55561240070816098</v>
      </c>
      <c r="AO301" s="24">
        <f>0.4*F301</f>
        <v>80.818930504011774</v>
      </c>
      <c r="AP301" s="1432" t="s">
        <v>569</v>
      </c>
      <c r="AQ301" s="24">
        <f t="shared" si="165"/>
        <v>363.68518726805297</v>
      </c>
      <c r="AR301">
        <v>400</v>
      </c>
      <c r="AS301">
        <f>LOOKUP(AR301,'FUSE DATA'!X$8:X$43,'FUSE DATA'!Y$8:Y$43)</f>
        <v>1984</v>
      </c>
      <c r="AT301" s="1795">
        <f>AR301/F301</f>
        <v>1.9797341910142916</v>
      </c>
      <c r="AU301" s="1795" t="str">
        <f>IF(AS301&lt;1950,"F1892Sxxxx",IF(AS301&lt;3350,"CS61xx16B",IF(A301&lt;7340,"ND41xx35",IF(A301&lt;19000,"LS41xx60","PS41xx25"))))</f>
        <v>CS61xx16B</v>
      </c>
      <c r="AX301" s="1804">
        <v>175</v>
      </c>
      <c r="AY301" s="1802">
        <v>775</v>
      </c>
    </row>
    <row r="302" spans="1:51" ht="18.75">
      <c r="A302" s="1598">
        <v>1</v>
      </c>
      <c r="B302" s="1533">
        <f t="shared" si="166"/>
        <v>4</v>
      </c>
      <c r="C302" s="1600">
        <v>2</v>
      </c>
      <c r="D302" s="1575">
        <f>B302/C302</f>
        <v>2</v>
      </c>
      <c r="E302" s="1575">
        <v>1</v>
      </c>
      <c r="F302" s="1611">
        <f>IF(A302=3,3*G302,IF(A302=1,2*G302,IF(A302="bd",1*G302,IF(A302="fwd",1,"Error"))))</f>
        <v>226.65111756370555</v>
      </c>
      <c r="G302" s="1582">
        <f>(-AE302+SQRT(AG302))/2/AD302</f>
        <v>113.32555878185278</v>
      </c>
      <c r="H302" s="1583">
        <f>IF(A302=3,SQRT(3),IF(A302=1,SQRT(2),1))</f>
        <v>1.4142135623730951</v>
      </c>
      <c r="I302" s="1594">
        <f>H302*G302</f>
        <v>160.26654219280562</v>
      </c>
      <c r="J302" s="1680" t="s">
        <v>552</v>
      </c>
      <c r="K302" s="1418" t="s">
        <v>555</v>
      </c>
      <c r="L302" s="1419">
        <v>160</v>
      </c>
      <c r="M302" s="1419">
        <v>250</v>
      </c>
      <c r="N302" s="1419">
        <v>4100</v>
      </c>
      <c r="O302" s="1412">
        <v>125</v>
      </c>
      <c r="P302" s="1416">
        <v>0.85</v>
      </c>
      <c r="Q302" s="1416">
        <v>1.5</v>
      </c>
      <c r="R302" s="1416">
        <v>0.17</v>
      </c>
      <c r="S302" s="1687">
        <v>0.1</v>
      </c>
      <c r="T302" s="1624">
        <v>15</v>
      </c>
      <c r="U302" s="1616" t="s">
        <v>645</v>
      </c>
      <c r="V302" s="1622">
        <f>IF(E302=1,IF(U302="N",LOOKUP(T302,'HS250-DATA'!C$7:C$10,'HS250-DATA'!D$7:D$10),IF(U302="Y",LOOKUP(T302,'HS250-DATA'!C$22:C$25,'HS250-DATA'!D$22:D$25),"FAN?")),IF(U302="N",LOOKUP(T302,'HS250-DATA'!C$14:C$17,'HS250-DATA'!D$14:D$17),IF(U302="Y",LOOKUP(T302,'HS250-DATA'!C$29:C$32,'HS250-DATA'!D$29:D$32),"FAN?")))</f>
        <v>0.106</v>
      </c>
      <c r="W302" s="1602">
        <f>(G302*H302)^2*Q302*10^-3+G302*P302</f>
        <v>134.85477178423238</v>
      </c>
      <c r="X302" s="1602">
        <f>D302*W302</f>
        <v>269.70954356846477</v>
      </c>
      <c r="Y302" s="1602">
        <f>IF(A302=3,W302*6,IF(A302=1,W302*4,W302))</f>
        <v>539.41908713692953</v>
      </c>
      <c r="Z302" s="1579">
        <f>O302-5</f>
        <v>120</v>
      </c>
      <c r="AA302" s="1602">
        <f>D302*W302*V302+AB302</f>
        <v>83.589211618257266</v>
      </c>
      <c r="AB302" s="1588">
        <v>55</v>
      </c>
      <c r="AC302" s="1570"/>
      <c r="AD302" s="1754">
        <f>Q302*10^-3*H302^2</f>
        <v>3.0000000000000009E-3</v>
      </c>
      <c r="AE302" s="1634">
        <f>P302</f>
        <v>0.85</v>
      </c>
      <c r="AF302" s="1635">
        <f>(AB302-Z302)/(R302+S302+D302*V302)</f>
        <v>-134.85477178423238</v>
      </c>
      <c r="AG302" s="1646">
        <f>AE302^2-4*AD302*AF302</f>
        <v>2.340757261410789</v>
      </c>
      <c r="AH302" s="1741">
        <f>SUM(AJ302:AL302)</f>
        <v>152.52000000000001</v>
      </c>
      <c r="AI302" s="1607"/>
      <c r="AJ302" s="1733">
        <f>C302*LOOKUP(T302,'HS250-DATA'!C$7:C$10,'HS250-DATA'!F$7:F$10)</f>
        <v>56.52</v>
      </c>
      <c r="AK302" s="1733">
        <f>IF(U302="Y",C302*12,0)</f>
        <v>24</v>
      </c>
      <c r="AL302" s="1733">
        <f>C302*E302*VLOOKUP(K302,'SCR-Diode DATA'!D$7:M$43,10,FALSE)</f>
        <v>72</v>
      </c>
      <c r="AM302" s="507">
        <f>AH302/F302</f>
        <v>0.67292851515338648</v>
      </c>
      <c r="AO302" s="24">
        <f>0.4*F302</f>
        <v>90.660447025482227</v>
      </c>
      <c r="AP302" s="1432" t="s">
        <v>569</v>
      </c>
      <c r="AQ302" s="24">
        <f t="shared" si="165"/>
        <v>407.97201161467001</v>
      </c>
      <c r="AR302">
        <v>450</v>
      </c>
      <c r="AS302">
        <f>LOOKUP(AR302,'FUSE DATA'!X$8:X$43,'FUSE DATA'!Y$8:Y$43)</f>
        <v>2578</v>
      </c>
      <c r="AT302" s="1795">
        <f>AR302/F302</f>
        <v>1.9854303161488585</v>
      </c>
      <c r="AU302" s="1795" t="str">
        <f>IF(AS302&lt;1950,"F1892Sxxxx",IF(AS302&lt;3350,"CS61xx16B",IF(A302&lt;7340,"ND41xx35",IF(A302&lt;19000,"LS41xx60","PS41xx25"))))</f>
        <v>CS61xx16B</v>
      </c>
      <c r="AX302" s="1804">
        <v>200</v>
      </c>
      <c r="AY302" s="1802">
        <v>949</v>
      </c>
    </row>
    <row r="303" spans="1:51" ht="18.75">
      <c r="A303" s="1598"/>
      <c r="B303" s="1533"/>
      <c r="C303" s="1600"/>
      <c r="D303" s="1575"/>
      <c r="E303" s="1575"/>
      <c r="F303" s="1611"/>
      <c r="G303" s="1582"/>
      <c r="H303" s="1583"/>
      <c r="I303" s="1594"/>
      <c r="J303" s="1680"/>
      <c r="K303" s="1418"/>
      <c r="L303" s="1419"/>
      <c r="M303" s="1419"/>
      <c r="N303" s="1419"/>
      <c r="O303" s="1412"/>
      <c r="P303" s="1416"/>
      <c r="Q303" s="1416"/>
      <c r="R303" s="1416"/>
      <c r="S303" s="1687"/>
      <c r="T303" s="1624"/>
      <c r="U303" s="1616"/>
      <c r="V303" s="1622"/>
      <c r="W303" s="1602"/>
      <c r="X303" s="1602"/>
      <c r="Y303" s="1602"/>
      <c r="Z303" s="1579"/>
      <c r="AA303" s="1602"/>
      <c r="AB303" s="1588"/>
      <c r="AC303" s="1570"/>
      <c r="AD303" s="1754"/>
      <c r="AE303" s="1634"/>
      <c r="AF303" s="1635"/>
      <c r="AG303" s="1646"/>
      <c r="AH303" s="1742"/>
      <c r="AI303" s="1607"/>
      <c r="AJ303" s="1607"/>
      <c r="AK303" s="1607"/>
      <c r="AL303" s="1733"/>
      <c r="AM303" s="1743"/>
      <c r="AQ303" s="24"/>
      <c r="AX303" s="1804">
        <v>225</v>
      </c>
      <c r="AY303" s="1802">
        <v>860</v>
      </c>
    </row>
    <row r="304" spans="1:51" ht="18.75">
      <c r="A304" s="1598">
        <v>3</v>
      </c>
      <c r="B304" s="1533">
        <f t="shared" si="166"/>
        <v>6</v>
      </c>
      <c r="C304" s="1600">
        <v>1</v>
      </c>
      <c r="D304" s="1575">
        <f>B304/C304</f>
        <v>6</v>
      </c>
      <c r="E304" s="1575">
        <v>3</v>
      </c>
      <c r="F304" s="1611">
        <f>IF(A304=3,3*G304,IF(A304=1,2*G304,IF(A304="bd",1*G304,IF(A304="fwd",1,"Error"))))</f>
        <v>308.35312732675175</v>
      </c>
      <c r="G304" s="1582">
        <f>(-AE304+SQRT(AG304))/2/AD304</f>
        <v>102.78437577558392</v>
      </c>
      <c r="H304" s="1583">
        <f>IF(A304=3,SQRT(3),IF(A304=1,SQRT(2),1))</f>
        <v>1.7320508075688772</v>
      </c>
      <c r="I304" s="1594">
        <f>H304*G304</f>
        <v>178.02776106756306</v>
      </c>
      <c r="J304" s="1680" t="s">
        <v>548</v>
      </c>
      <c r="K304" s="1418" t="s">
        <v>469</v>
      </c>
      <c r="L304" s="1419">
        <v>250</v>
      </c>
      <c r="M304" s="1419">
        <v>393</v>
      </c>
      <c r="N304" s="1419">
        <v>8800</v>
      </c>
      <c r="O304" s="1412">
        <v>125</v>
      </c>
      <c r="P304" s="1416">
        <v>0.81899999999999995</v>
      </c>
      <c r="Q304" s="1416">
        <v>0.58899999999999997</v>
      </c>
      <c r="R304" s="1416">
        <v>0.14000000000000001</v>
      </c>
      <c r="S304" s="1687">
        <v>0.06</v>
      </c>
      <c r="T304" s="1624">
        <v>15</v>
      </c>
      <c r="U304" s="1616" t="s">
        <v>645</v>
      </c>
      <c r="V304" s="1622">
        <f>IF(E304=1,IF(U304="N",LOOKUP(T304,'HS250-DATA'!C$7:C$10,'HS250-DATA'!D$7:D$10),IF(U304="Y",LOOKUP(T304,'HS250-DATA'!C$22:C$25,'HS250-DATA'!D$22:D$25),"FAN?")),IF(U304="N",LOOKUP(T304,'HS250-DATA'!C$14:C$17,'HS250-DATA'!D$14:D$17),IF(U304="Y",LOOKUP(T304,'HS250-DATA'!C$29:C$32,'HS250-DATA'!D$29:D$32),"FAN?")))</f>
        <v>7.1999999999999995E-2</v>
      </c>
      <c r="W304" s="1602">
        <f>(G304*H304)^2*Q304*10^-3+G304*P304</f>
        <v>102.84810126582281</v>
      </c>
      <c r="X304" s="1602">
        <f>D304*W304</f>
        <v>617.08860759493678</v>
      </c>
      <c r="Y304" s="1602">
        <f>IF(A304=3,W304*6,IF(A304=1,W304*4,W304))</f>
        <v>617.08860759493678</v>
      </c>
      <c r="Z304" s="1579">
        <f>O304-5</f>
        <v>120</v>
      </c>
      <c r="AA304" s="1602">
        <f>D304*W304*V304+AB304</f>
        <v>99.430379746835442</v>
      </c>
      <c r="AB304" s="1588">
        <v>55</v>
      </c>
      <c r="AC304" s="1570"/>
      <c r="AD304" s="1754">
        <f>Q304*10^-3*H304^2</f>
        <v>1.7669999999999997E-3</v>
      </c>
      <c r="AE304" s="1634">
        <f>P304</f>
        <v>0.81899999999999995</v>
      </c>
      <c r="AF304" s="1635">
        <f>(AB304-Z304)/(R304+S304+D304*V304)</f>
        <v>-102.84810126582281</v>
      </c>
      <c r="AG304" s="1646">
        <f>AE304^2-4*AD304*AF304</f>
        <v>1.3976913797468353</v>
      </c>
      <c r="AH304" s="1741">
        <f>SUM(AJ304:AL304)</f>
        <v>265.26</v>
      </c>
      <c r="AI304" s="1607"/>
      <c r="AJ304" s="1733">
        <f>C304*LOOKUP(T304,'HS250-DATA'!C$7:C$10,'HS250-DATA'!F$7:F$10)</f>
        <v>28.26</v>
      </c>
      <c r="AK304" s="1733">
        <f>IF(U304="Y",C304*12,0)</f>
        <v>12</v>
      </c>
      <c r="AL304" s="1733">
        <f>C304*E304*VLOOKUP(K304,'SCR-Diode DATA'!D$7:M$43,10,FALSE)</f>
        <v>225</v>
      </c>
      <c r="AM304" s="507">
        <f>AH304/F304</f>
        <v>0.86024747762299369</v>
      </c>
      <c r="AO304" s="24">
        <f>0.4*F304</f>
        <v>123.34125093070071</v>
      </c>
      <c r="AP304" s="24">
        <f t="shared" si="164"/>
        <v>102.78437577558391</v>
      </c>
      <c r="AQ304" s="24">
        <f t="shared" si="165"/>
        <v>555.03562918815317</v>
      </c>
      <c r="AR304">
        <v>600</v>
      </c>
      <c r="AS304">
        <f>LOOKUP(AR304,'FUSE DATA'!X$8:X$43,'FUSE DATA'!Y$8:Y$43)</f>
        <v>3532</v>
      </c>
      <c r="AT304" s="1795">
        <f>AR304/F304</f>
        <v>1.9458210305880881</v>
      </c>
      <c r="AU304" s="1795" t="str">
        <f>IF(AS304&lt;1950,"F1892Sxxxx",IF(AS304&lt;3350,"CS61xx16B",IF(A304&lt;7340,"ND41xx35",IF(A304&lt;19000,"LS41xx60","PS41xx25"))))</f>
        <v>ND41xx35</v>
      </c>
      <c r="AX304" s="1804">
        <v>250</v>
      </c>
      <c r="AY304" s="1802">
        <v>1058</v>
      </c>
    </row>
    <row r="305" spans="1:51" s="330" customFormat="1" ht="18.75">
      <c r="A305" s="1598">
        <v>3</v>
      </c>
      <c r="B305" s="1776">
        <f t="shared" si="166"/>
        <v>6</v>
      </c>
      <c r="C305" s="1600">
        <v>3</v>
      </c>
      <c r="D305" s="1600">
        <f>B305/C305</f>
        <v>2</v>
      </c>
      <c r="E305" s="1600">
        <v>1</v>
      </c>
      <c r="F305" s="1611">
        <f>IF(A305=3,3*G305,IF(A305=1,2*G305,IF(A305="bd",1*G305,IF(A305="fwd",1,"Error"))))</f>
        <v>439.18507142182011</v>
      </c>
      <c r="G305" s="1777">
        <f>(-AE305+SQRT(AG305))/2/AD305</f>
        <v>146.39502380727336</v>
      </c>
      <c r="H305" s="1778">
        <f>IF(A305=3,SQRT(3),IF(A305=1,SQRT(2),1))</f>
        <v>1.7320508075688772</v>
      </c>
      <c r="I305" s="1779">
        <f>H305*G305</f>
        <v>253.56361920945284</v>
      </c>
      <c r="J305" s="1780" t="s">
        <v>548</v>
      </c>
      <c r="K305" s="1781" t="s">
        <v>469</v>
      </c>
      <c r="L305" s="1782">
        <v>250</v>
      </c>
      <c r="M305" s="1782">
        <v>393</v>
      </c>
      <c r="N305" s="1782">
        <v>8800</v>
      </c>
      <c r="O305" s="1783">
        <v>125</v>
      </c>
      <c r="P305" s="1784">
        <v>0.81899999999999995</v>
      </c>
      <c r="Q305" s="1784">
        <v>0.58899999999999997</v>
      </c>
      <c r="R305" s="1784">
        <v>0.14000000000000001</v>
      </c>
      <c r="S305" s="1785">
        <v>0.06</v>
      </c>
      <c r="T305" s="1624">
        <v>15</v>
      </c>
      <c r="U305" s="1616" t="s">
        <v>645</v>
      </c>
      <c r="V305" s="1622">
        <f>IF(E305=1,IF(U305="N",LOOKUP(T305,'HS250-DATA'!C$7:C$10,'HS250-DATA'!D$7:D$10),IF(U305="Y",LOOKUP(T305,'HS250-DATA'!C$22:C$25,'HS250-DATA'!D$22:D$25),"FAN?")),IF(U305="N",LOOKUP(T305,'HS250-DATA'!C$14:C$17,'HS250-DATA'!D$14:D$17),IF(U305="Y",LOOKUP(T305,'HS250-DATA'!C$29:C$32,'HS250-DATA'!D$29:D$32),"FAN?")))</f>
        <v>0.106</v>
      </c>
      <c r="W305" s="1786">
        <f>(G305*H305)^2*Q305*10^-3+G305*P305</f>
        <v>157.76699029126215</v>
      </c>
      <c r="X305" s="1786">
        <f>D305*W305</f>
        <v>315.53398058252429</v>
      </c>
      <c r="Y305" s="1786">
        <f>IF(A305=3,W305*6,IF(A305=1,W305*4,W305))</f>
        <v>946.60194174757294</v>
      </c>
      <c r="Z305" s="1579">
        <f>O305-5</f>
        <v>120</v>
      </c>
      <c r="AA305" s="1786">
        <f>D305*W305*V305+AB305</f>
        <v>88.446601941747574</v>
      </c>
      <c r="AB305" s="1787">
        <v>55</v>
      </c>
      <c r="AC305" s="1788"/>
      <c r="AD305" s="1754">
        <f>Q305*10^-3*H305^2</f>
        <v>1.7669999999999997E-3</v>
      </c>
      <c r="AE305" s="1634">
        <f>P305</f>
        <v>0.81899999999999995</v>
      </c>
      <c r="AF305" s="1635">
        <f>(AB305-Z305)/(R305+S305+D305*V305)</f>
        <v>-157.76699029126212</v>
      </c>
      <c r="AG305" s="1789">
        <f>AE305^2-4*AD305*AF305</f>
        <v>1.7858580873786405</v>
      </c>
      <c r="AH305" s="1790">
        <f>SUM(AJ305:AL305)</f>
        <v>345.78</v>
      </c>
      <c r="AI305" s="1791"/>
      <c r="AJ305" s="1792">
        <f>C305*LOOKUP(T305,'HS250-DATA'!C$7:C$10,'HS250-DATA'!F$7:F$10)</f>
        <v>84.78</v>
      </c>
      <c r="AK305" s="1792">
        <f>IF(U305="Y",C305*12,0)</f>
        <v>36</v>
      </c>
      <c r="AL305" s="1792">
        <f>C305*E305*VLOOKUP(K305,'SCR-Diode DATA'!D$7:M$43,10,FALSE)</f>
        <v>225</v>
      </c>
      <c r="AM305" s="1793">
        <f>AH305/F305</f>
        <v>0.78732184334173727</v>
      </c>
      <c r="AO305" s="24">
        <f>0.4*F305</f>
        <v>175.67402856872806</v>
      </c>
      <c r="AP305" s="24">
        <f t="shared" si="164"/>
        <v>146.39502380727336</v>
      </c>
      <c r="AQ305" s="24">
        <f t="shared" si="165"/>
        <v>790.53312855927618</v>
      </c>
      <c r="AR305">
        <v>800</v>
      </c>
      <c r="AS305">
        <f>LOOKUP(AR305,'FUSE DATA'!X$8:X$43,'FUSE DATA'!Y$8:Y$43)</f>
        <v>4196</v>
      </c>
      <c r="AT305" s="1795">
        <f>AR305/F305</f>
        <v>1.8215555401509338</v>
      </c>
      <c r="AU305" s="1795" t="str">
        <f>IF(AS305&lt;1950,"F1892Sxxxx",IF(AS305&lt;3350,"CS61xx16B",IF(A305&lt;7340,"ND41xx35",IF(A305&lt;19000,"LS41xx60","PS41xx25"))))</f>
        <v>ND41xx35</v>
      </c>
      <c r="AX305" s="1804">
        <v>275</v>
      </c>
      <c r="AY305" s="1802">
        <v>1196</v>
      </c>
    </row>
    <row r="306" spans="1:51" ht="18.75">
      <c r="A306" s="1598">
        <v>1</v>
      </c>
      <c r="B306" s="1533">
        <f t="shared" si="166"/>
        <v>4</v>
      </c>
      <c r="C306" s="1600">
        <v>1</v>
      </c>
      <c r="D306" s="1575">
        <f>B306/C306</f>
        <v>4</v>
      </c>
      <c r="E306" s="1575">
        <v>2</v>
      </c>
      <c r="F306" s="1611">
        <f>IF(A306=3,3*G306,IF(A306=1,2*G306,IF(A306="bd",1*G306,IF(A306="fwd",1,"Error"))))</f>
        <v>272.04288647836478</v>
      </c>
      <c r="G306" s="1582">
        <f>(-AE306+SQRT(AG306))/2/AD306</f>
        <v>136.02144323918239</v>
      </c>
      <c r="H306" s="1583">
        <f>IF(A306=3,SQRT(3),IF(A306=1,SQRT(2),1))</f>
        <v>1.4142135623730951</v>
      </c>
      <c r="I306" s="1594">
        <f>H306*G306</f>
        <v>192.36336980241387</v>
      </c>
      <c r="J306" s="1680" t="s">
        <v>552</v>
      </c>
      <c r="K306" s="1418" t="s">
        <v>556</v>
      </c>
      <c r="L306" s="1419">
        <v>250</v>
      </c>
      <c r="M306" s="1419">
        <v>393</v>
      </c>
      <c r="N306" s="1419">
        <v>8800</v>
      </c>
      <c r="O306" s="1412">
        <v>125</v>
      </c>
      <c r="P306" s="1416">
        <v>0.81899999999999995</v>
      </c>
      <c r="Q306" s="1416">
        <v>0.58899999999999997</v>
      </c>
      <c r="R306" s="1416">
        <v>0.14000000000000001</v>
      </c>
      <c r="S306" s="1687">
        <v>0.06</v>
      </c>
      <c r="T306" s="1624">
        <v>15</v>
      </c>
      <c r="U306" s="1616" t="s">
        <v>645</v>
      </c>
      <c r="V306" s="1622">
        <f>IF(E306=1,IF(U306="N",LOOKUP(T306,'HS250-DATA'!C$7:C$10,'HS250-DATA'!D$7:D$10),IF(U306="Y",LOOKUP(T306,'HS250-DATA'!C$22:C$25,'HS250-DATA'!D$22:D$25),"FAN?")),IF(U306="N",LOOKUP(T306,'HS250-DATA'!C$14:C$17,'HS250-DATA'!D$14:D$17),IF(U306="Y",LOOKUP(T306,'HS250-DATA'!C$29:C$32,'HS250-DATA'!D$29:D$32),"FAN?")))</f>
        <v>7.1999999999999995E-2</v>
      </c>
      <c r="W306" s="1602">
        <f>(G306*H306)^2*Q306*10^-3+G306*P306</f>
        <v>133.19672131147536</v>
      </c>
      <c r="X306" s="1602">
        <f>D306*W306</f>
        <v>532.78688524590143</v>
      </c>
      <c r="Y306" s="1602">
        <f>IF(A306=3,W306*6,IF(A306=1,W306*4,W306))</f>
        <v>532.78688524590143</v>
      </c>
      <c r="Z306" s="1579">
        <f>O306-5</f>
        <v>120</v>
      </c>
      <c r="AA306" s="1602">
        <f>D306*W306*V306+AB306</f>
        <v>93.360655737704903</v>
      </c>
      <c r="AB306" s="1588">
        <v>55</v>
      </c>
      <c r="AC306" s="1570"/>
      <c r="AD306" s="1754">
        <f>Q306*10^-3*H306^2</f>
        <v>1.1780000000000002E-3</v>
      </c>
      <c r="AE306" s="1634">
        <f>P306</f>
        <v>0.81899999999999995</v>
      </c>
      <c r="AF306" s="1635">
        <f>(AB306-Z306)/(R306+S306+D306*V306)</f>
        <v>-133.19672131147541</v>
      </c>
      <c r="AG306" s="1646">
        <f>AE306^2-4*AD306*AF306</f>
        <v>1.2983839508196722</v>
      </c>
      <c r="AH306" s="1741">
        <f>SUM(AJ306:AL306)</f>
        <v>190.26</v>
      </c>
      <c r="AI306" s="1607"/>
      <c r="AJ306" s="1733">
        <f>C306*LOOKUP(T306,'HS250-DATA'!C$7:C$10,'HS250-DATA'!F$7:F$10)</f>
        <v>28.26</v>
      </c>
      <c r="AK306" s="1733">
        <f>IF(U306="Y",C306*12,0)</f>
        <v>12</v>
      </c>
      <c r="AL306" s="1733">
        <f>C306*E306*VLOOKUP(K306,'SCR-Diode DATA'!D$7:M$43,10,FALSE)</f>
        <v>150</v>
      </c>
      <c r="AM306" s="507">
        <f>AH306/F306</f>
        <v>0.69937502304487242</v>
      </c>
      <c r="AO306" s="24">
        <f>0.4*F306</f>
        <v>108.81715459134591</v>
      </c>
      <c r="AP306" s="24">
        <f t="shared" si="164"/>
        <v>90.680962159454921</v>
      </c>
      <c r="AQ306" s="24">
        <f t="shared" si="165"/>
        <v>489.6771956610566</v>
      </c>
      <c r="AR306">
        <v>500</v>
      </c>
      <c r="AS306">
        <f>LOOKUP(AR306,'FUSE DATA'!X$8:X$43,'FUSE DATA'!Y$8:Y$43)</f>
        <v>2839</v>
      </c>
      <c r="AT306" s="1795">
        <f>AR306/F306</f>
        <v>1.837945503639421</v>
      </c>
      <c r="AU306" s="1795" t="str">
        <f>IF(AS306&lt;1950,"F1892Sxxxx",IF(AS306&lt;3350,"CS61xx16B",IF(A306&lt;7340,"ND41xx35",IF(A306&lt;19000,"LS41xx60","PS41xx25"))))</f>
        <v>CS61xx16B</v>
      </c>
      <c r="AX306" s="1804">
        <v>300</v>
      </c>
      <c r="AY306" s="1802">
        <v>1324</v>
      </c>
    </row>
    <row r="307" spans="1:51" s="330" customFormat="1" ht="18.75">
      <c r="A307" s="1598">
        <v>1</v>
      </c>
      <c r="B307" s="1776">
        <f t="shared" si="166"/>
        <v>4</v>
      </c>
      <c r="C307" s="1600">
        <v>2</v>
      </c>
      <c r="D307" s="1600">
        <f>B307/C307</f>
        <v>2</v>
      </c>
      <c r="E307" s="1600">
        <v>1</v>
      </c>
      <c r="F307" s="1611">
        <f>IF(A307=3,3*G307,IF(A307=1,2*G307,IF(A307="bd",1*G307,IF(A307="fwd",1,"Error"))))</f>
        <v>314.24804636848472</v>
      </c>
      <c r="G307" s="1777">
        <f>(-AE307+SQRT(AG307))/2/AD307</f>
        <v>157.12402318424236</v>
      </c>
      <c r="H307" s="1778">
        <f>IF(A307=3,SQRT(3),IF(A307=1,SQRT(2),1))</f>
        <v>1.4142135623730951</v>
      </c>
      <c r="I307" s="1779">
        <f>H307*G307</f>
        <v>222.20692456178017</v>
      </c>
      <c r="J307" s="1780" t="s">
        <v>552</v>
      </c>
      <c r="K307" s="1781" t="s">
        <v>556</v>
      </c>
      <c r="L307" s="1782">
        <v>250</v>
      </c>
      <c r="M307" s="1782">
        <v>393</v>
      </c>
      <c r="N307" s="1782">
        <v>8800</v>
      </c>
      <c r="O307" s="1783">
        <v>125</v>
      </c>
      <c r="P307" s="1784">
        <v>0.81899999999999995</v>
      </c>
      <c r="Q307" s="1784">
        <v>0.58899999999999997</v>
      </c>
      <c r="R307" s="1784">
        <v>0.14000000000000001</v>
      </c>
      <c r="S307" s="1785">
        <v>0.06</v>
      </c>
      <c r="T307" s="1624">
        <v>15</v>
      </c>
      <c r="U307" s="1616" t="s">
        <v>645</v>
      </c>
      <c r="V307" s="1622">
        <f>IF(E307=1,IF(U307="N",LOOKUP(T307,'HS250-DATA'!C$7:C$10,'HS250-DATA'!D$7:D$10),IF(U307="Y",LOOKUP(T307,'HS250-DATA'!C$22:C$25,'HS250-DATA'!D$22:D$25),"FAN?")),IF(U307="N",LOOKUP(T307,'HS250-DATA'!C$14:C$17,'HS250-DATA'!D$14:D$17),IF(U307="Y",LOOKUP(T307,'HS250-DATA'!C$29:C$32,'HS250-DATA'!D$29:D$32),"FAN?")))</f>
        <v>0.106</v>
      </c>
      <c r="W307" s="1786">
        <f>(G307*H307)^2*Q307*10^-3+G307*P307</f>
        <v>157.76699029126203</v>
      </c>
      <c r="X307" s="1786">
        <f>D307*W307</f>
        <v>315.53398058252407</v>
      </c>
      <c r="Y307" s="1786">
        <f>IF(A307=3,W307*6,IF(A307=1,W307*4,W307))</f>
        <v>631.06796116504813</v>
      </c>
      <c r="Z307" s="1579">
        <f>O307-5</f>
        <v>120</v>
      </c>
      <c r="AA307" s="1786">
        <f>D307*W307*V307+AB307</f>
        <v>88.446601941747559</v>
      </c>
      <c r="AB307" s="1787">
        <v>55</v>
      </c>
      <c r="AC307" s="1788"/>
      <c r="AD307" s="1754">
        <f>Q307*10^-3*H307^2</f>
        <v>1.1780000000000002E-3</v>
      </c>
      <c r="AE307" s="1634">
        <f>P307</f>
        <v>0.81899999999999995</v>
      </c>
      <c r="AF307" s="1635">
        <f>(AB307-Z307)/(R307+S307+D307*V307)</f>
        <v>-157.76699029126212</v>
      </c>
      <c r="AG307" s="1789">
        <f>AE307^2-4*AD307*AF307</f>
        <v>1.414159058252427</v>
      </c>
      <c r="AH307" s="1790">
        <f>SUM(AJ307:AL307)</f>
        <v>230.52</v>
      </c>
      <c r="AI307" s="1791"/>
      <c r="AJ307" s="1792">
        <f>C307*LOOKUP(T307,'HS250-DATA'!C$7:C$10,'HS250-DATA'!F$7:F$10)</f>
        <v>56.52</v>
      </c>
      <c r="AK307" s="1792">
        <f>IF(U307="Y",C307*12,0)</f>
        <v>24</v>
      </c>
      <c r="AL307" s="1792">
        <f>C307*E307*VLOOKUP(K307,'SCR-Diode DATA'!D$7:M$43,10,FALSE)</f>
        <v>150</v>
      </c>
      <c r="AM307" s="1793">
        <f>AH307/F307</f>
        <v>0.73356064632361828</v>
      </c>
      <c r="AO307" s="24">
        <f>0.4*F307</f>
        <v>125.6992185473939</v>
      </c>
      <c r="AP307" s="24">
        <f t="shared" si="164"/>
        <v>104.7493487894949</v>
      </c>
      <c r="AQ307" s="24">
        <f t="shared" si="165"/>
        <v>565.64648346327249</v>
      </c>
      <c r="AR307">
        <v>600</v>
      </c>
      <c r="AS307">
        <f>LOOKUP(AR307,'FUSE DATA'!X$8:X$43,'FUSE DATA'!Y$8:Y$43)</f>
        <v>3532</v>
      </c>
      <c r="AT307" s="1795">
        <f>AR307/F307</f>
        <v>1.9093197457668356</v>
      </c>
      <c r="AU307" s="1795" t="str">
        <f>IF(AS307&lt;1950,"F1892Sxxxx",IF(AS307&lt;3350,"CS61xx16B",IF(A307&lt;7340,"ND41xx35",IF(A307&lt;19000,"LS41xx60","PS41xx25"))))</f>
        <v>ND41xx35</v>
      </c>
      <c r="AX307" s="1804">
        <v>350</v>
      </c>
      <c r="AY307" s="1802">
        <v>1724</v>
      </c>
    </row>
    <row r="308" spans="1:51" ht="18.75">
      <c r="A308" s="1598"/>
      <c r="B308" s="1533"/>
      <c r="C308" s="1600"/>
      <c r="D308" s="1575"/>
      <c r="E308" s="1575"/>
      <c r="F308" s="1611"/>
      <c r="G308" s="1582"/>
      <c r="H308" s="1583"/>
      <c r="I308" s="1594"/>
      <c r="J308" s="1680"/>
      <c r="K308" s="1418"/>
      <c r="L308" s="1419"/>
      <c r="M308" s="1419"/>
      <c r="N308" s="1419"/>
      <c r="O308" s="1412"/>
      <c r="P308" s="1416"/>
      <c r="Q308" s="1416"/>
      <c r="R308" s="1416"/>
      <c r="S308" s="1687"/>
      <c r="T308" s="1624"/>
      <c r="U308" s="1616"/>
      <c r="V308" s="1622"/>
      <c r="W308" s="1602"/>
      <c r="X308" s="1602"/>
      <c r="Y308" s="1602"/>
      <c r="Z308" s="1579"/>
      <c r="AA308" s="1602"/>
      <c r="AB308" s="1588"/>
      <c r="AC308" s="1570"/>
      <c r="AD308" s="1754"/>
      <c r="AE308" s="1634"/>
      <c r="AF308" s="1635"/>
      <c r="AG308" s="1646"/>
      <c r="AH308" s="1742"/>
      <c r="AI308" s="1607"/>
      <c r="AJ308" s="1607"/>
      <c r="AK308" s="1607"/>
      <c r="AL308" s="1733"/>
      <c r="AM308" s="1743"/>
      <c r="AQ308" s="24"/>
      <c r="AX308" s="1804">
        <v>400</v>
      </c>
      <c r="AY308" s="1802">
        <v>1984</v>
      </c>
    </row>
    <row r="309" spans="1:51" ht="18.75">
      <c r="A309" s="1598">
        <v>3</v>
      </c>
      <c r="B309" s="1533">
        <f t="shared" si="166"/>
        <v>6</v>
      </c>
      <c r="C309" s="1600">
        <v>1</v>
      </c>
      <c r="D309" s="1575">
        <f>B309/C309</f>
        <v>6</v>
      </c>
      <c r="E309" s="1575">
        <v>3</v>
      </c>
      <c r="F309" s="1611">
        <f>IF(A309=3,3*G309,IF(A309=1,2*G309,IF(A309="bd",1*G309,IF(A309="fwd",1,"Error"))))</f>
        <v>401.85264272295422</v>
      </c>
      <c r="G309" s="1582">
        <f>(-AE309+SQRT(AG309))/2/AD309</f>
        <v>133.9508809076514</v>
      </c>
      <c r="H309" s="1583">
        <f>IF(A309=3,SQRT(3),IF(A309=1,SQRT(2),1))</f>
        <v>1.7320508075688772</v>
      </c>
      <c r="I309" s="1594">
        <f>H309*G309</f>
        <v>232.0097314506601</v>
      </c>
      <c r="J309" s="1680" t="s">
        <v>548</v>
      </c>
      <c r="K309" s="1418" t="s">
        <v>470</v>
      </c>
      <c r="L309" s="1419">
        <v>500</v>
      </c>
      <c r="M309" s="1419">
        <v>900</v>
      </c>
      <c r="N309" s="1419">
        <v>16300</v>
      </c>
      <c r="O309" s="1412">
        <v>125</v>
      </c>
      <c r="P309" s="1416">
        <v>0.81</v>
      </c>
      <c r="Q309" s="1416">
        <v>0.32</v>
      </c>
      <c r="R309" s="1416">
        <v>6.5000000000000002E-2</v>
      </c>
      <c r="S309" s="1687">
        <v>0.02</v>
      </c>
      <c r="T309" s="1624">
        <v>15</v>
      </c>
      <c r="U309" s="1616" t="s">
        <v>645</v>
      </c>
      <c r="V309" s="1622">
        <f>IF(E309=1,IF(U309="N",LOOKUP(T309,'HS250-DATA'!C$7:C$10,'HS250-DATA'!D$7:D$10),IF(U309="Y",LOOKUP(T309,'HS250-DATA'!C$22:C$25,'HS250-DATA'!D$22:D$25),"FAN?")),IF(U309="N",LOOKUP(T309,'HS250-DATA'!C$14:C$17,'HS250-DATA'!D$14:D$17),IF(U309="Y",LOOKUP(T309,'HS250-DATA'!C$29:C$32,'HS250-DATA'!D$29:D$32),"FAN?")))</f>
        <v>7.1999999999999995E-2</v>
      </c>
      <c r="W309" s="1602">
        <f>(G309*H309)^2*Q309*10^-3+G309*P309</f>
        <v>125.725338491296</v>
      </c>
      <c r="X309" s="1602">
        <f>D309*W309</f>
        <v>754.35203094777603</v>
      </c>
      <c r="Y309" s="1602">
        <f>IF(A309=3,W309*6,IF(A309=1,W309*4,W309))</f>
        <v>754.35203094777603</v>
      </c>
      <c r="Z309" s="1579">
        <f>O309-5</f>
        <v>120</v>
      </c>
      <c r="AA309" s="1602">
        <f>D309*W309*V309+AB309</f>
        <v>109.31334622823988</v>
      </c>
      <c r="AB309" s="1588">
        <v>55</v>
      </c>
      <c r="AC309" s="1570"/>
      <c r="AD309" s="1754">
        <f>Q309*10^-3*H309^2</f>
        <v>9.5999999999999992E-4</v>
      </c>
      <c r="AE309" s="1634">
        <f>P309</f>
        <v>0.81</v>
      </c>
      <c r="AF309" s="1635">
        <f>(AB309-Z309)/(R309+S309+D309*V309)</f>
        <v>-125.72533849129596</v>
      </c>
      <c r="AG309" s="1646">
        <f>AE309^2-4*AD309*AF309</f>
        <v>1.1388852998065766</v>
      </c>
      <c r="AH309" s="1741">
        <f>SUM(AJ309:AL309)</f>
        <v>445.26</v>
      </c>
      <c r="AI309" s="1607"/>
      <c r="AJ309" s="1733">
        <f>C309*LOOKUP(T309,'HS250-DATA'!C$7:C$10,'HS250-DATA'!F$7:F$10)</f>
        <v>28.26</v>
      </c>
      <c r="AK309" s="1733">
        <f>IF(U309="Y",C309*12,0)</f>
        <v>12</v>
      </c>
      <c r="AL309" s="1733">
        <f>C309*E309*VLOOKUP(K309,'SCR-Diode DATA'!D$7:M$43,10,FALSE)</f>
        <v>405</v>
      </c>
      <c r="AM309" s="507">
        <f>AH309/F309</f>
        <v>1.1080180958445798</v>
      </c>
      <c r="AO309" s="24">
        <f>0.4*F309</f>
        <v>160.74105708918171</v>
      </c>
      <c r="AP309" s="24">
        <f t="shared" si="164"/>
        <v>133.9508809076514</v>
      </c>
      <c r="AQ309" s="24">
        <f t="shared" si="165"/>
        <v>723.33475690131763</v>
      </c>
      <c r="AR309">
        <v>800</v>
      </c>
      <c r="AS309">
        <f>LOOKUP(AR309,'FUSE DATA'!X$8:X$43,'FUSE DATA'!Y$8:Y$43)</f>
        <v>4196</v>
      </c>
      <c r="AT309" s="1795">
        <f>AR309/F309</f>
        <v>1.9907794921521447</v>
      </c>
      <c r="AU309" s="1795" t="str">
        <f>IF(AS309&lt;1950,"F1892Sxxxx",IF(AS309&lt;3350,"CS61xx16B",IF(A309&lt;7340,"ND41xx35",IF(A309&lt;19000,"LS41xx60","PS41xx25"))))</f>
        <v>ND41xx35</v>
      </c>
      <c r="AX309" s="1804">
        <v>450</v>
      </c>
      <c r="AY309" s="1802">
        <v>2578</v>
      </c>
    </row>
    <row r="310" spans="1:51" s="330" customFormat="1" ht="18.75">
      <c r="A310" s="1598">
        <v>3</v>
      </c>
      <c r="B310" s="1776">
        <f t="shared" si="166"/>
        <v>6</v>
      </c>
      <c r="C310" s="1600">
        <v>3</v>
      </c>
      <c r="D310" s="1600">
        <f>B310/C310</f>
        <v>2</v>
      </c>
      <c r="E310" s="1600">
        <v>1</v>
      </c>
      <c r="F310" s="1611">
        <f>IF(A310=3,3*G310,IF(A310=1,2*G310,IF(A310="bd",1*G310,IF(A310="fwd",1,"Error"))))</f>
        <v>645.807530170154</v>
      </c>
      <c r="G310" s="1777">
        <f>(-AE310+SQRT(AG310))/2/AD310</f>
        <v>215.26917672338467</v>
      </c>
      <c r="H310" s="1778">
        <f>IF(A310=3,SQRT(3),IF(A310=1,SQRT(2),1))</f>
        <v>1.7320508075688772</v>
      </c>
      <c r="I310" s="1779">
        <f>H310*G310</f>
        <v>372.85715138842579</v>
      </c>
      <c r="J310" s="1780" t="s">
        <v>548</v>
      </c>
      <c r="K310" s="1781" t="s">
        <v>470</v>
      </c>
      <c r="L310" s="1782">
        <v>500</v>
      </c>
      <c r="M310" s="1782">
        <v>900</v>
      </c>
      <c r="N310" s="1782">
        <v>16300</v>
      </c>
      <c r="O310" s="1783">
        <v>125</v>
      </c>
      <c r="P310" s="1784">
        <v>0.81</v>
      </c>
      <c r="Q310" s="1784">
        <v>0.32</v>
      </c>
      <c r="R310" s="1784">
        <v>6.5000000000000002E-2</v>
      </c>
      <c r="S310" s="1785">
        <v>0.02</v>
      </c>
      <c r="T310" s="1624">
        <v>15</v>
      </c>
      <c r="U310" s="1616" t="s">
        <v>645</v>
      </c>
      <c r="V310" s="1622">
        <f>IF(E310=1,IF(U310="N",LOOKUP(T310,'HS250-DATA'!C$7:C$10,'HS250-DATA'!D$7:D$10),IF(U310="Y",LOOKUP(T310,'HS250-DATA'!C$22:C$25,'HS250-DATA'!D$22:D$25),"FAN?")),IF(U310="N",LOOKUP(T310,'HS250-DATA'!C$14:C$17,'HS250-DATA'!D$14:D$17),IF(U310="Y",LOOKUP(T310,'HS250-DATA'!C$29:C$32,'HS250-DATA'!D$29:D$32),"FAN?")))</f>
        <v>0.106</v>
      </c>
      <c r="W310" s="1786">
        <f>(G310*H310)^2*Q310*10^-3+G310*P310</f>
        <v>218.85521885521888</v>
      </c>
      <c r="X310" s="1786">
        <f>D310*W310</f>
        <v>437.71043771043776</v>
      </c>
      <c r="Y310" s="1786">
        <f>IF(A310=3,W310*6,IF(A310=1,W310*4,W310))</f>
        <v>1313.1313131313132</v>
      </c>
      <c r="Z310" s="1579">
        <f>O310-5</f>
        <v>120</v>
      </c>
      <c r="AA310" s="1786">
        <f>D310*W310*V310+AB310</f>
        <v>101.39730639730641</v>
      </c>
      <c r="AB310" s="1787">
        <v>55</v>
      </c>
      <c r="AC310" s="1788"/>
      <c r="AD310" s="1754">
        <f>Q310*10^-3*H310^2</f>
        <v>9.5999999999999992E-4</v>
      </c>
      <c r="AE310" s="1634">
        <f>P310</f>
        <v>0.81</v>
      </c>
      <c r="AF310" s="1635">
        <f>(AB310-Z310)/(R310+S310+D310*V310)</f>
        <v>-218.85521885521888</v>
      </c>
      <c r="AG310" s="1789">
        <f>AE310^2-4*AD310*AF310</f>
        <v>1.4965040404040404</v>
      </c>
      <c r="AH310" s="1790">
        <f>SUM(AJ310:AL310)</f>
        <v>525.78</v>
      </c>
      <c r="AI310" s="1791"/>
      <c r="AJ310" s="1792">
        <f>C310*LOOKUP(T310,'HS250-DATA'!C$7:C$10,'HS250-DATA'!F$7:F$10)</f>
        <v>84.78</v>
      </c>
      <c r="AK310" s="1792">
        <f>IF(U310="Y",C310*12,0)</f>
        <v>36</v>
      </c>
      <c r="AL310" s="1792">
        <f>C310*E310*VLOOKUP(K310,'SCR-Diode DATA'!D$7:M$43,10,FALSE)</f>
        <v>405</v>
      </c>
      <c r="AM310" s="1793">
        <f>AH310/F310</f>
        <v>0.81414349544897724</v>
      </c>
      <c r="AO310" s="24">
        <f>0.4*F310</f>
        <v>258.32301206806159</v>
      </c>
      <c r="AP310" s="24">
        <f t="shared" si="164"/>
        <v>215.26917672338467</v>
      </c>
      <c r="AQ310" s="24">
        <f t="shared" si="165"/>
        <v>1162.4535543062773</v>
      </c>
      <c r="AR310">
        <v>1200</v>
      </c>
      <c r="AS310">
        <f>LOOKUP(AR310,'FUSE DATA'!X$8:X$43,'FUSE DATA'!Y$8:Y$43)</f>
        <v>7286</v>
      </c>
      <c r="AT310" s="1795">
        <f>AR310/F310</f>
        <v>1.8581387548761321</v>
      </c>
      <c r="AU310" s="1795" t="str">
        <f>IF(AS310&lt;1950,"F1892Sxxxx",IF(AS310&lt;3350,"CS61xx16B",IF(A310&lt;7340,"ND41xx35",IF(A310&lt;19000,"LS41xx60","PS41xx25"))))</f>
        <v>ND41xx35</v>
      </c>
      <c r="AX310" s="1804">
        <v>500</v>
      </c>
      <c r="AY310" s="1802">
        <v>2839</v>
      </c>
    </row>
    <row r="311" spans="1:51" ht="18.75">
      <c r="A311" s="1598"/>
      <c r="B311" s="1533"/>
      <c r="C311" s="1600"/>
      <c r="D311" s="1575"/>
      <c r="E311" s="1575"/>
      <c r="F311" s="1611"/>
      <c r="G311" s="1582"/>
      <c r="H311" s="1583"/>
      <c r="I311" s="1594"/>
      <c r="J311" s="1680"/>
      <c r="K311" s="1418"/>
      <c r="L311" s="1419"/>
      <c r="M311" s="1419"/>
      <c r="N311" s="1419"/>
      <c r="O311" s="1412"/>
      <c r="P311" s="1416"/>
      <c r="Q311" s="1416"/>
      <c r="R311" s="1416"/>
      <c r="S311" s="1687"/>
      <c r="T311" s="1624"/>
      <c r="U311" s="1616"/>
      <c r="V311" s="1622"/>
      <c r="W311" s="1602"/>
      <c r="X311" s="1602"/>
      <c r="Y311" s="1602"/>
      <c r="Z311" s="1579"/>
      <c r="AA311" s="1602"/>
      <c r="AB311" s="1588"/>
      <c r="AC311" s="1570"/>
      <c r="AD311" s="1754"/>
      <c r="AE311" s="1634"/>
      <c r="AF311" s="1635"/>
      <c r="AG311" s="1646"/>
      <c r="AH311" s="1742"/>
      <c r="AI311" s="1607"/>
      <c r="AJ311" s="1607"/>
      <c r="AK311" s="1607"/>
      <c r="AL311" s="1733"/>
      <c r="AM311" s="1743"/>
      <c r="AQ311" s="24"/>
      <c r="AX311" s="1804">
        <v>550</v>
      </c>
      <c r="AY311" s="1802">
        <v>3110</v>
      </c>
    </row>
    <row r="312" spans="1:51" ht="18.75">
      <c r="A312" s="1598">
        <v>3</v>
      </c>
      <c r="B312" s="1533">
        <f t="shared" si="166"/>
        <v>6</v>
      </c>
      <c r="C312" s="1600">
        <v>1</v>
      </c>
      <c r="D312" s="1575">
        <f>B312/C312</f>
        <v>6</v>
      </c>
      <c r="E312" s="1575">
        <v>3</v>
      </c>
      <c r="F312" s="1611">
        <f>IF(A312=3,3*G312,IF(A312=1,2*G312,IF(A312="bd",1*G312,IF(A312="fwd",1,"Error"))))</f>
        <v>484.57098726117476</v>
      </c>
      <c r="G312" s="1582">
        <f>(-AE312+SQRT(AG312))/2/AD312</f>
        <v>161.52366242039159</v>
      </c>
      <c r="H312" s="1583">
        <f>IF(A312=3,SQRT(3),IF(A312=1,SQRT(2),1))</f>
        <v>1.7320508075688772</v>
      </c>
      <c r="I312" s="1594">
        <f>H312*G312</f>
        <v>279.76718993672193</v>
      </c>
      <c r="J312" s="1680" t="s">
        <v>548</v>
      </c>
      <c r="K312" s="1418" t="s">
        <v>471</v>
      </c>
      <c r="L312" s="1419">
        <v>700</v>
      </c>
      <c r="M312" s="1419">
        <v>1100</v>
      </c>
      <c r="N312" s="1419">
        <v>36500</v>
      </c>
      <c r="O312" s="1412">
        <v>125</v>
      </c>
      <c r="P312" s="1416">
        <v>0.70299999999999996</v>
      </c>
      <c r="Q312" s="1416">
        <v>0.184</v>
      </c>
      <c r="R312" s="1416">
        <v>5.8000000000000003E-2</v>
      </c>
      <c r="S312" s="1687">
        <v>1.7999999999999999E-2</v>
      </c>
      <c r="T312" s="1624">
        <v>15</v>
      </c>
      <c r="U312" s="1616" t="s">
        <v>645</v>
      </c>
      <c r="V312" s="1622">
        <f>IF(E312=1,IF(U312="N",LOOKUP(T312,'HS250-DATA'!C$7:C$10,'HS250-DATA'!D$7:D$10),IF(U312="Y",LOOKUP(T312,'HS250-DATA'!C$22:C$25,'HS250-DATA'!D$22:D$25),"FAN?")),IF(U312="N",LOOKUP(T312,'HS250-DATA'!C$14:C$17,'HS250-DATA'!D$14:D$17),IF(U312="Y",LOOKUP(T312,'HS250-DATA'!C$29:C$32,'HS250-DATA'!D$29:D$32),"FAN?")))</f>
        <v>7.1999999999999995E-2</v>
      </c>
      <c r="W312" s="1602">
        <f>(G312*H312)^2*Q312*10^-3+G312*P312</f>
        <v>127.95275590551181</v>
      </c>
      <c r="X312" s="1602">
        <f>D312*W312</f>
        <v>767.71653543307082</v>
      </c>
      <c r="Y312" s="1602">
        <f>IF(A312=3,W312*6,IF(A312=1,W312*4,W312))</f>
        <v>767.71653543307082</v>
      </c>
      <c r="Z312" s="1579">
        <f>O312-5</f>
        <v>120</v>
      </c>
      <c r="AA312" s="1602">
        <f>D312*W312*V312+AB312</f>
        <v>110.2755905511811</v>
      </c>
      <c r="AB312" s="1588">
        <v>55</v>
      </c>
      <c r="AC312" s="1570"/>
      <c r="AD312" s="1754">
        <f>Q312*10^-3*H312^2</f>
        <v>5.5199999999999986E-4</v>
      </c>
      <c r="AE312" s="1634">
        <f>P312</f>
        <v>0.70299999999999996</v>
      </c>
      <c r="AF312" s="1635">
        <f>(AB312-Z312)/(R312+S312+D312*V312)</f>
        <v>-127.95275590551184</v>
      </c>
      <c r="AG312" s="1646">
        <f>AE312^2-4*AD312*AF312</f>
        <v>0.77672868503936998</v>
      </c>
      <c r="AH312" s="1741">
        <f>SUM(AJ312:AL312)</f>
        <v>1015.26</v>
      </c>
      <c r="AI312" s="1607"/>
      <c r="AJ312" s="1733">
        <f>C312*LOOKUP(T312,'HS250-DATA'!C$7:C$10,'HS250-DATA'!F$7:F$10)</f>
        <v>28.26</v>
      </c>
      <c r="AK312" s="1733">
        <f>IF(U312="Y",C312*12,0)</f>
        <v>12</v>
      </c>
      <c r="AL312" s="1733">
        <f>C312*E312*VLOOKUP(K312,'SCR-Diode DATA'!D$7:M$43,10,FALSE)</f>
        <v>975</v>
      </c>
      <c r="AM312" s="507">
        <f>AH312/F312</f>
        <v>2.0951728986877907</v>
      </c>
      <c r="AO312" s="24">
        <f>0.4*F312</f>
        <v>193.82839490446992</v>
      </c>
      <c r="AP312" s="24">
        <f t="shared" si="164"/>
        <v>161.52366242039159</v>
      </c>
      <c r="AQ312" s="24">
        <f t="shared" si="165"/>
        <v>872.2277770701146</v>
      </c>
      <c r="AR312">
        <v>900</v>
      </c>
      <c r="AS312">
        <f>LOOKUP(AR312,'FUSE DATA'!X$8:X$43,'FUSE DATA'!Y$8:Y$43)</f>
        <v>4708</v>
      </c>
      <c r="AT312" s="1795">
        <f>AR312/F312</f>
        <v>1.8573130122520454</v>
      </c>
      <c r="AU312" s="1795" t="str">
        <f>IF(AS312&lt;1950,"F1892Sxxxx",IF(AS312&lt;3350,"CS61xx16B",IF(A312&lt;7340,"ND41xx35",IF(A312&lt;19000,"LS41xx60","PS41xx25"))))</f>
        <v>ND41xx35</v>
      </c>
      <c r="AX312" s="1804">
        <v>600</v>
      </c>
      <c r="AY312" s="1802">
        <v>3532</v>
      </c>
    </row>
    <row r="313" spans="1:51" s="330" customFormat="1" ht="18.75">
      <c r="A313" s="1598">
        <v>3</v>
      </c>
      <c r="B313" s="1776">
        <f t="shared" si="166"/>
        <v>6</v>
      </c>
      <c r="C313" s="1600">
        <v>3</v>
      </c>
      <c r="D313" s="1600">
        <f>B313/C313</f>
        <v>2</v>
      </c>
      <c r="E313" s="1600">
        <v>1</v>
      </c>
      <c r="F313" s="1611">
        <f>IF(A313=3,3*G313,IF(A313=1,2*G313,IF(A313="bd",1*G313,IF(A313="fwd",1,"Error"))))</f>
        <v>796.91355576894216</v>
      </c>
      <c r="G313" s="1777">
        <f>(-AE313+SQRT(AG313))/2/AD313</f>
        <v>265.6378519229807</v>
      </c>
      <c r="H313" s="1778">
        <f>IF(A313=3,SQRT(3),IF(A313=1,SQRT(2),1))</f>
        <v>1.7320508075688772</v>
      </c>
      <c r="I313" s="1779">
        <f>H313*G313</f>
        <v>460.09825594406055</v>
      </c>
      <c r="J313" s="1780" t="s">
        <v>548</v>
      </c>
      <c r="K313" s="1781" t="s">
        <v>471</v>
      </c>
      <c r="L313" s="1782">
        <v>700</v>
      </c>
      <c r="M313" s="1782">
        <v>1100</v>
      </c>
      <c r="N313" s="1782">
        <v>36500</v>
      </c>
      <c r="O313" s="1783">
        <v>125</v>
      </c>
      <c r="P313" s="1784">
        <v>0.70299999999999996</v>
      </c>
      <c r="Q313" s="1784">
        <v>0.184</v>
      </c>
      <c r="R313" s="1784">
        <v>5.8000000000000003E-2</v>
      </c>
      <c r="S313" s="1785">
        <v>1.7999999999999999E-2</v>
      </c>
      <c r="T313" s="1624">
        <v>15</v>
      </c>
      <c r="U313" s="1616" t="s">
        <v>645</v>
      </c>
      <c r="V313" s="1622">
        <f>IF(E313=1,IF(U313="N",LOOKUP(T313,'HS250-DATA'!C$7:C$10,'HS250-DATA'!D$7:D$10),IF(U313="Y",LOOKUP(T313,'HS250-DATA'!C$22:C$25,'HS250-DATA'!D$22:D$25),"FAN?")),IF(U313="N",LOOKUP(T313,'HS250-DATA'!C$14:C$17,'HS250-DATA'!D$14:D$17),IF(U313="Y",LOOKUP(T313,'HS250-DATA'!C$29:C$32,'HS250-DATA'!D$29:D$32),"FAN?")))</f>
        <v>0.106</v>
      </c>
      <c r="W313" s="1786">
        <f>(G313*H313)^2*Q313*10^-3+G313*P313</f>
        <v>225.6944444444444</v>
      </c>
      <c r="X313" s="1786">
        <f>D313*W313</f>
        <v>451.3888888888888</v>
      </c>
      <c r="Y313" s="1786">
        <f>IF(A313=3,W313*6,IF(A313=1,W313*4,W313))</f>
        <v>1354.1666666666665</v>
      </c>
      <c r="Z313" s="1579">
        <f>O313-5</f>
        <v>120</v>
      </c>
      <c r="AA313" s="1786">
        <f>D313*W313*V313+AB313</f>
        <v>102.84722222222221</v>
      </c>
      <c r="AB313" s="1787">
        <v>55</v>
      </c>
      <c r="AC313" s="1788"/>
      <c r="AD313" s="1754">
        <f>Q313*10^-3*H313^2</f>
        <v>5.5199999999999986E-4</v>
      </c>
      <c r="AE313" s="1634">
        <f>P313</f>
        <v>0.70299999999999996</v>
      </c>
      <c r="AF313" s="1635">
        <f>(AB313-Z313)/(R313+S313+D313*V313)</f>
        <v>-225.69444444444446</v>
      </c>
      <c r="AG313" s="1789">
        <f>AE313^2-4*AD313*AF313</f>
        <v>0.99254233333333319</v>
      </c>
      <c r="AH313" s="1790">
        <f>SUM(AJ313:AL313)</f>
        <v>1095.78</v>
      </c>
      <c r="AI313" s="1791"/>
      <c r="AJ313" s="1792">
        <f>C313*LOOKUP(T313,'HS250-DATA'!C$7:C$10,'HS250-DATA'!F$7:F$10)</f>
        <v>84.78</v>
      </c>
      <c r="AK313" s="1792">
        <f>IF(U313="Y",C313*12,0)</f>
        <v>36</v>
      </c>
      <c r="AL313" s="1792">
        <f>C313*E313*VLOOKUP(K313,'SCR-Diode DATA'!D$7:M$43,10,FALSE)</f>
        <v>975</v>
      </c>
      <c r="AM313" s="1793">
        <f>AH313/F313</f>
        <v>1.3750299415382405</v>
      </c>
      <c r="AO313" s="24">
        <f>0.4*F313</f>
        <v>318.7654223075769</v>
      </c>
      <c r="AP313" s="24">
        <f t="shared" si="164"/>
        <v>265.6378519229807</v>
      </c>
      <c r="AQ313" s="24">
        <f t="shared" si="165"/>
        <v>1434.4444003840958</v>
      </c>
      <c r="AR313">
        <v>1500</v>
      </c>
      <c r="AS313">
        <f>LOOKUP(AR313,'FUSE DATA'!X$8:X$43,'FUSE DATA'!Y$8:Y$43)</f>
        <v>10000</v>
      </c>
      <c r="AT313" s="1795">
        <f>AR313/F313</f>
        <v>1.882261870363906</v>
      </c>
      <c r="AU313" s="1795" t="str">
        <f>IF(AS313&lt;1950,"F1892Sxxxx",IF(AS313&lt;3350,"CS61xx16B",IF(A313&lt;7340,"ND41xx35",IF(A313&lt;19000,"LS41xx60","PS41xx25"))))</f>
        <v>ND41xx35</v>
      </c>
      <c r="AX313" s="1804">
        <v>700</v>
      </c>
      <c r="AY313" s="1802">
        <v>3677</v>
      </c>
    </row>
    <row r="314" spans="1:51" ht="18.75">
      <c r="A314" s="1598"/>
      <c r="B314" s="1533"/>
      <c r="C314" s="1600"/>
      <c r="D314" s="1575"/>
      <c r="E314" s="1575"/>
      <c r="F314" s="1611"/>
      <c r="G314" s="1582"/>
      <c r="H314" s="1583"/>
      <c r="I314" s="1594"/>
      <c r="J314" s="1680"/>
      <c r="K314" s="1418"/>
      <c r="L314" s="1419"/>
      <c r="M314" s="1419"/>
      <c r="N314" s="1419"/>
      <c r="O314" s="1412"/>
      <c r="P314" s="1416"/>
      <c r="Q314" s="1416"/>
      <c r="R314" s="1416"/>
      <c r="S314" s="1687"/>
      <c r="T314" s="1624"/>
      <c r="U314" s="1616"/>
      <c r="V314" s="1622"/>
      <c r="W314" s="1602"/>
      <c r="X314" s="1602"/>
      <c r="Y314" s="1602"/>
      <c r="Z314" s="1579"/>
      <c r="AA314" s="1602"/>
      <c r="AB314" s="1588"/>
      <c r="AC314" s="1570"/>
      <c r="AD314" s="1754"/>
      <c r="AE314" s="1634"/>
      <c r="AF314" s="1635"/>
      <c r="AG314" s="1646"/>
      <c r="AH314" s="1742"/>
      <c r="AI314" s="1607"/>
      <c r="AJ314" s="1607"/>
      <c r="AK314" s="1607"/>
      <c r="AL314" s="1733"/>
      <c r="AM314" s="1743"/>
      <c r="AQ314" s="24"/>
      <c r="AX314" s="1804">
        <v>800</v>
      </c>
      <c r="AY314" s="1802">
        <v>4196</v>
      </c>
    </row>
    <row r="315" spans="1:51" ht="18.75">
      <c r="A315" s="1598">
        <v>3</v>
      </c>
      <c r="B315" s="1533">
        <f t="shared" si="166"/>
        <v>6</v>
      </c>
      <c r="C315" s="1600">
        <v>1</v>
      </c>
      <c r="D315" s="1575">
        <f>B315/C315</f>
        <v>6</v>
      </c>
      <c r="E315" s="1575">
        <v>6</v>
      </c>
      <c r="F315" s="1611">
        <f>IF(A315=3,3*G315,IF(A315=1,2*G315,IF(A315="bd",1*G315,IF(A315="fwd",1,"Error"))))</f>
        <v>560.50620010598777</v>
      </c>
      <c r="G315" s="1582">
        <f>(-AE315+SQRT(AG315))/2/AD315</f>
        <v>186.83540003532926</v>
      </c>
      <c r="H315" s="1583">
        <f>IF(A315=3,SQRT(3),IF(A315=1,SQRT(2),1))</f>
        <v>1.7320508075688772</v>
      </c>
      <c r="I315" s="1594">
        <f>H315*G315</f>
        <v>323.60840551364629</v>
      </c>
      <c r="J315" s="1680" t="s">
        <v>558</v>
      </c>
      <c r="K315" s="1418" t="s">
        <v>472</v>
      </c>
      <c r="L315" s="1419">
        <v>1500</v>
      </c>
      <c r="M315" s="1419">
        <v>2355</v>
      </c>
      <c r="N315" s="1419">
        <v>62000</v>
      </c>
      <c r="O315" s="1412">
        <v>125</v>
      </c>
      <c r="P315" s="1416">
        <v>0.69099999999999995</v>
      </c>
      <c r="Q315" s="1412">
        <v>0.10199999999999999</v>
      </c>
      <c r="R315" s="1412">
        <v>2.4E-2</v>
      </c>
      <c r="S315" s="1687">
        <v>8.9999999999999993E-3</v>
      </c>
      <c r="T315" s="1624">
        <v>15</v>
      </c>
      <c r="U315" s="1616" t="s">
        <v>645</v>
      </c>
      <c r="V315" s="1622">
        <f>IF(E315=1,IF(U315="N",LOOKUP(T315,'HS250-DATA'!C$7:C$10,'HS250-DATA'!D$7:D$10),IF(U315="Y",LOOKUP(T315,'HS250-DATA'!C$22:C$25,'HS250-DATA'!D$22:D$25),"FAN?")),IF(U315="N",LOOKUP(T315,'HS250-DATA'!C$14:C$17,'HS250-DATA'!D$14:D$17),IF(U315="Y",LOOKUP(T315,'HS250-DATA'!C$29:C$32,'HS250-DATA'!D$29:D$32),"FAN?")))</f>
        <v>7.1999999999999995E-2</v>
      </c>
      <c r="W315" s="1602">
        <f>(G315*H315)^2*Q315*10^-3+G315*P315</f>
        <v>139.78494623655911</v>
      </c>
      <c r="X315" s="1602">
        <f>D315*W315</f>
        <v>838.70967741935465</v>
      </c>
      <c r="Y315" s="1602">
        <f>IF(A315=3,W315*6,IF(A315=1,W315*4,W315))</f>
        <v>838.70967741935465</v>
      </c>
      <c r="Z315" s="1579">
        <f>O315-5</f>
        <v>120</v>
      </c>
      <c r="AA315" s="1602">
        <f>D315*W315*V315+AB315</f>
        <v>115.38709677419354</v>
      </c>
      <c r="AB315" s="1588">
        <v>55</v>
      </c>
      <c r="AC315" s="1570"/>
      <c r="AD315" s="1754">
        <f>Q315*10^-3*H315^2</f>
        <v>3.0599999999999996E-4</v>
      </c>
      <c r="AE315" s="1634">
        <f>P315</f>
        <v>0.69099999999999995</v>
      </c>
      <c r="AF315" s="1635">
        <f>(AB315-Z315)/(R315+S315+D315*V315)</f>
        <v>-139.78494623655914</v>
      </c>
      <c r="AG315" s="1646">
        <f>AE315^2-4*AD315*AF315</f>
        <v>0.64857777419354834</v>
      </c>
      <c r="AH315" s="1741">
        <f>SUM(AJ315:AL315)</f>
        <v>1180.26</v>
      </c>
      <c r="AI315" s="1607"/>
      <c r="AJ315" s="1733">
        <f>C315*LOOKUP(T315,'HS250-DATA'!C$7:C$10,'HS250-DATA'!F$7:F$10)</f>
        <v>28.26</v>
      </c>
      <c r="AK315" s="1733">
        <f>IF(U315="Y",C315*12,0)</f>
        <v>12</v>
      </c>
      <c r="AL315" s="1733">
        <f>C315*E315*VLOOKUP(K315,'SCR-Diode DATA'!D$7:M$43,10,FALSE)</f>
        <v>1140</v>
      </c>
      <c r="AM315" s="507">
        <f>AH315/F315</f>
        <v>2.1057037366880529</v>
      </c>
      <c r="AO315" s="24">
        <f>0.4*F315</f>
        <v>224.20248004239511</v>
      </c>
      <c r="AP315" s="24">
        <f t="shared" si="164"/>
        <v>186.83540003532926</v>
      </c>
      <c r="AQ315" s="24">
        <f t="shared" si="165"/>
        <v>1008.911160190778</v>
      </c>
      <c r="AR315">
        <v>1200</v>
      </c>
      <c r="AS315">
        <f>LOOKUP(AR315,'FUSE DATA'!X$8:X$43,'FUSE DATA'!Y$8:Y$43)</f>
        <v>7286</v>
      </c>
      <c r="AT315" s="1795">
        <f>AR315/F315</f>
        <v>2.1409219019755508</v>
      </c>
      <c r="AU315" s="1795" t="str">
        <f>IF(AS315&lt;1950,"F1892Sxxxx",IF(AS315&lt;3350,"CS61xx16B",IF(A315&lt;7340,"ND41xx35",IF(A315&lt;19000,"LS41xx60","PS41xx25"))))</f>
        <v>ND41xx35</v>
      </c>
      <c r="AX315" s="1804">
        <v>900</v>
      </c>
      <c r="AY315" s="1802">
        <v>4708</v>
      </c>
    </row>
    <row r="316" spans="1:51" ht="18.75">
      <c r="A316" s="1598">
        <v>3</v>
      </c>
      <c r="B316" s="1533">
        <f t="shared" si="166"/>
        <v>6</v>
      </c>
      <c r="C316" s="1600">
        <v>2</v>
      </c>
      <c r="D316" s="1575">
        <f>B316/C316</f>
        <v>3</v>
      </c>
      <c r="E316" s="1575">
        <v>3</v>
      </c>
      <c r="F316" s="1611">
        <f>IF(A316=3,3*G316,IF(A316=1,2*G316,IF(A316="bd",1*G316,IF(A316="fwd",1,"Error"))))</f>
        <v>988.96100610400708</v>
      </c>
      <c r="G316" s="1582">
        <f>(-AE316+SQRT(AG316))/2/AD316</f>
        <v>329.65366870133568</v>
      </c>
      <c r="H316" s="1583">
        <f>IF(A316=3,SQRT(3),IF(A316=1,SQRT(2),1))</f>
        <v>1.7320508075688772</v>
      </c>
      <c r="I316" s="1594">
        <f>H316*G316</f>
        <v>570.97690309219161</v>
      </c>
      <c r="J316" s="1680" t="s">
        <v>558</v>
      </c>
      <c r="K316" s="1418" t="s">
        <v>472</v>
      </c>
      <c r="L316" s="1419">
        <v>1500</v>
      </c>
      <c r="M316" s="1419">
        <v>2355</v>
      </c>
      <c r="N316" s="1419">
        <v>62000</v>
      </c>
      <c r="O316" s="1412">
        <v>125</v>
      </c>
      <c r="P316" s="1416">
        <v>0.69099999999999995</v>
      </c>
      <c r="Q316" s="1412">
        <v>0.10199999999999999</v>
      </c>
      <c r="R316" s="1412">
        <v>2.4E-2</v>
      </c>
      <c r="S316" s="1687">
        <v>8.9999999999999993E-3</v>
      </c>
      <c r="T316" s="1624">
        <v>15</v>
      </c>
      <c r="U316" s="1616" t="s">
        <v>645</v>
      </c>
      <c r="V316" s="1622">
        <f>IF(E316=1,IF(U316="N",LOOKUP(T316,'HS250-DATA'!C$7:C$10,'HS250-DATA'!D$7:D$10),IF(U316="Y",LOOKUP(T316,'HS250-DATA'!C$22:C$25,'HS250-DATA'!D$22:D$25),"FAN?")),IF(U316="N",LOOKUP(T316,'HS250-DATA'!C$14:C$17,'HS250-DATA'!D$14:D$17),IF(U316="Y",LOOKUP(T316,'HS250-DATA'!C$29:C$32,'HS250-DATA'!D$29:D$32),"FAN?")))</f>
        <v>7.1999999999999995E-2</v>
      </c>
      <c r="W316" s="1602">
        <f>(G316*H316)^2*Q316*10^-3+G316*P316</f>
        <v>261.04417670682744</v>
      </c>
      <c r="X316" s="1602">
        <f>D316*W316</f>
        <v>783.13253012048233</v>
      </c>
      <c r="Y316" s="1602">
        <f>IF(A316=3,W316*6,IF(A316=1,W316*4,W316))</f>
        <v>1566.2650602409647</v>
      </c>
      <c r="Z316" s="1579">
        <f>O316-5</f>
        <v>120</v>
      </c>
      <c r="AA316" s="1602">
        <f>D316*W316*V316+AB316</f>
        <v>111.38554216867473</v>
      </c>
      <c r="AB316" s="1588">
        <v>55</v>
      </c>
      <c r="AC316" s="1570"/>
      <c r="AD316" s="1754">
        <f>Q316*10^-3*H316^2</f>
        <v>3.0599999999999996E-4</v>
      </c>
      <c r="AE316" s="1634">
        <f>P316</f>
        <v>0.69099999999999995</v>
      </c>
      <c r="AF316" s="1635">
        <f>(AB316-Z316)/(R316+S316+D316*V316)</f>
        <v>-261.04417670682733</v>
      </c>
      <c r="AG316" s="1646">
        <f>AE316^2-4*AD316*AF316</f>
        <v>0.79699907228915656</v>
      </c>
      <c r="AH316" s="1741">
        <f>SUM(AJ316:AL316)</f>
        <v>1220.52</v>
      </c>
      <c r="AI316" s="1607"/>
      <c r="AJ316" s="1733">
        <f>C316*LOOKUP(T316,'HS250-DATA'!C$7:C$10,'HS250-DATA'!F$7:F$10)</f>
        <v>56.52</v>
      </c>
      <c r="AK316" s="1733">
        <f>IF(U316="Y",C316*12,0)</f>
        <v>24</v>
      </c>
      <c r="AL316" s="1733">
        <f>C316*E316*VLOOKUP(K316,'SCR-Diode DATA'!D$7:M$43,10,FALSE)</f>
        <v>1140</v>
      </c>
      <c r="AM316" s="507">
        <f>AH316/F316</f>
        <v>1.234143704824334</v>
      </c>
      <c r="AO316" s="24">
        <f>0.4*F316</f>
        <v>395.58440244160283</v>
      </c>
      <c r="AP316" s="24">
        <f t="shared" si="164"/>
        <v>329.65366870133568</v>
      </c>
      <c r="AQ316" s="24">
        <f t="shared" si="165"/>
        <v>1780.1298109872127</v>
      </c>
      <c r="AR316">
        <v>1800</v>
      </c>
      <c r="AS316">
        <f>LOOKUP(AR316,'FUSE DATA'!X$8:X$43,'FUSE DATA'!Y$8:Y$43)</f>
        <v>11777</v>
      </c>
      <c r="AT316" s="1795">
        <f>AR316/F316</f>
        <v>1.8200919843048873</v>
      </c>
      <c r="AU316" s="1795" t="str">
        <f>IF(AS316&lt;1950,"F1892Sxxxx",IF(AS316&lt;3350,"CS61xx16B",IF(A316&lt;7340,"ND41xx35",IF(A316&lt;19000,"LS41xx60","PS41xx25"))))</f>
        <v>ND41xx35</v>
      </c>
      <c r="AX316" s="1804">
        <v>1000</v>
      </c>
      <c r="AY316" s="1802">
        <v>5564</v>
      </c>
    </row>
    <row r="317" spans="1:51" ht="18.75">
      <c r="A317" s="1598">
        <v>3</v>
      </c>
      <c r="B317" s="1533">
        <f t="shared" si="166"/>
        <v>6</v>
      </c>
      <c r="C317" s="1600">
        <v>3</v>
      </c>
      <c r="D317" s="1575">
        <f>B317/C317</f>
        <v>2</v>
      </c>
      <c r="E317" s="1575">
        <v>2</v>
      </c>
      <c r="F317" s="1611">
        <f>IF(A317=3,3*G317,IF(A317=1,2*G317,IF(A317="bd",1*G317,IF(A317="fwd",1,"Error"))))</f>
        <v>1332.324137801721</v>
      </c>
      <c r="G317" s="1582">
        <f>(-AE317+SQRT(AG317))/2/AD317</f>
        <v>444.10804593390696</v>
      </c>
      <c r="H317" s="1583">
        <f>IF(A317=3,SQRT(3),IF(A317=1,SQRT(2),1))</f>
        <v>1.7320508075688772</v>
      </c>
      <c r="I317" s="1594">
        <f>H317*G317</f>
        <v>769.2176996076596</v>
      </c>
      <c r="J317" s="1680" t="s">
        <v>558</v>
      </c>
      <c r="K317" s="1418" t="s">
        <v>472</v>
      </c>
      <c r="L317" s="1419">
        <v>1500</v>
      </c>
      <c r="M317" s="1419">
        <v>2355</v>
      </c>
      <c r="N317" s="1419">
        <v>62000</v>
      </c>
      <c r="O317" s="1412">
        <v>125</v>
      </c>
      <c r="P317" s="1416">
        <v>0.69099999999999995</v>
      </c>
      <c r="Q317" s="1412">
        <v>0.10199999999999999</v>
      </c>
      <c r="R317" s="1412">
        <v>2.4E-2</v>
      </c>
      <c r="S317" s="1687">
        <v>8.9999999999999993E-3</v>
      </c>
      <c r="T317" s="1624">
        <v>15</v>
      </c>
      <c r="U317" s="1616" t="s">
        <v>645</v>
      </c>
      <c r="V317" s="1622">
        <f>IF(E317=1,IF(U317="N",LOOKUP(T317,'HS250-DATA'!C$7:C$10,'HS250-DATA'!D$7:D$10),IF(U317="Y",LOOKUP(T317,'HS250-DATA'!C$22:C$25,'HS250-DATA'!D$22:D$25),"FAN?")),IF(U317="N",LOOKUP(T317,'HS250-DATA'!C$14:C$17,'HS250-DATA'!D$14:D$17),IF(U317="Y",LOOKUP(T317,'HS250-DATA'!C$29:C$32,'HS250-DATA'!D$29:D$32),"FAN?")))</f>
        <v>7.1999999999999995E-2</v>
      </c>
      <c r="W317" s="1602">
        <f>(G317*H317)^2*Q317*10^-3+G317*P317</f>
        <v>367.23163841807906</v>
      </c>
      <c r="X317" s="1602">
        <f>D317*W317</f>
        <v>734.46327683615812</v>
      </c>
      <c r="Y317" s="1602">
        <f>IF(A317=3,W317*6,IF(A317=1,W317*4,W317))</f>
        <v>2203.3898305084745</v>
      </c>
      <c r="Z317" s="1579">
        <f>O317-5</f>
        <v>120</v>
      </c>
      <c r="AA317" s="1602">
        <f>D317*W317*V317+AB317</f>
        <v>107.88135593220338</v>
      </c>
      <c r="AB317" s="1588">
        <v>55</v>
      </c>
      <c r="AC317" s="1570"/>
      <c r="AD317" s="1754">
        <f>Q317*10^-3*H317^2</f>
        <v>3.0599999999999996E-4</v>
      </c>
      <c r="AE317" s="1634">
        <f>P317</f>
        <v>0.69099999999999995</v>
      </c>
      <c r="AF317" s="1635">
        <f>(AB317-Z317)/(R317+S317+D317*V317)</f>
        <v>-367.23163841807911</v>
      </c>
      <c r="AG317" s="1646">
        <f>AE317^2-4*AD317*AF317</f>
        <v>0.92697252542372865</v>
      </c>
      <c r="AH317" s="1741">
        <f>SUM(AJ317:AL317)</f>
        <v>1260.78</v>
      </c>
      <c r="AI317" s="1607"/>
      <c r="AJ317" s="1733">
        <f>C317*LOOKUP(T317,'HS250-DATA'!C$7:C$10,'HS250-DATA'!F$7:F$10)</f>
        <v>84.78</v>
      </c>
      <c r="AK317" s="1733">
        <f>IF(U317="Y",C317*12,0)</f>
        <v>36</v>
      </c>
      <c r="AL317" s="1733">
        <f>C317*E317*VLOOKUP(K317,'SCR-Diode DATA'!D$7:M$43,10,FALSE)</f>
        <v>1140</v>
      </c>
      <c r="AM317" s="507">
        <f>AH317/F317</f>
        <v>0.94630125224649475</v>
      </c>
      <c r="AO317" s="24">
        <f>0.4*F317</f>
        <v>532.92965512068838</v>
      </c>
      <c r="AP317" s="24">
        <f t="shared" si="164"/>
        <v>444.10804593390702</v>
      </c>
      <c r="AQ317" s="24">
        <f t="shared" si="165"/>
        <v>2398.183448043098</v>
      </c>
      <c r="AR317">
        <v>2500</v>
      </c>
      <c r="AS317">
        <f>LOOKUP(AR317,'FUSE DATA'!X$8:X$43,'FUSE DATA'!Y$8:Y$43)</f>
        <v>16826</v>
      </c>
      <c r="AT317" s="1795">
        <f>AR317/F317</f>
        <v>1.8764202562034906</v>
      </c>
      <c r="AU317" s="1795" t="str">
        <f>IF(AS317&lt;1950,"F1892Sxxxx",IF(AS317&lt;3350,"CS61xx16B",IF(A317&lt;7340,"ND41xx35",IF(A317&lt;19000,"LS41xx60","PS41xx25"))))</f>
        <v>ND41xx35</v>
      </c>
      <c r="AX317" s="1804">
        <v>1200</v>
      </c>
      <c r="AY317" s="1802">
        <v>7286</v>
      </c>
    </row>
    <row r="318" spans="1:51" s="330" customFormat="1" ht="18.75">
      <c r="A318" s="1598">
        <v>3</v>
      </c>
      <c r="B318" s="1776">
        <f t="shared" si="166"/>
        <v>6</v>
      </c>
      <c r="C318" s="1600">
        <v>6</v>
      </c>
      <c r="D318" s="1600">
        <f>B318/C318</f>
        <v>1</v>
      </c>
      <c r="E318" s="1600">
        <v>1</v>
      </c>
      <c r="F318" s="1611">
        <f>IF(A318=3,3*G318,IF(A318=1,2*G318,IF(A318="bd",1*G318,IF(A318="fwd",1,"Error"))))</f>
        <v>1635.4135811141527</v>
      </c>
      <c r="G318" s="1777">
        <f>(-AE318+SQRT(AG318))/2/AD318</f>
        <v>545.13786037138425</v>
      </c>
      <c r="H318" s="1778">
        <f>IF(A318=3,SQRT(3),IF(A318=1,SQRT(2),1))</f>
        <v>1.7320508075688772</v>
      </c>
      <c r="I318" s="1779">
        <f>H318*G318</f>
        <v>944.20647129262591</v>
      </c>
      <c r="J318" s="1780" t="s">
        <v>558</v>
      </c>
      <c r="K318" s="1781" t="s">
        <v>472</v>
      </c>
      <c r="L318" s="1782">
        <v>1500</v>
      </c>
      <c r="M318" s="1782">
        <v>2355</v>
      </c>
      <c r="N318" s="1782">
        <v>62000</v>
      </c>
      <c r="O318" s="1783">
        <v>125</v>
      </c>
      <c r="P318" s="1784">
        <v>0.69099999999999995</v>
      </c>
      <c r="Q318" s="1783">
        <v>0.10199999999999999</v>
      </c>
      <c r="R318" s="1783">
        <v>2.4E-2</v>
      </c>
      <c r="S318" s="1785">
        <v>8.9999999999999993E-3</v>
      </c>
      <c r="T318" s="1624">
        <v>15</v>
      </c>
      <c r="U318" s="1616" t="s">
        <v>645</v>
      </c>
      <c r="V318" s="1622">
        <f>IF(E318=1,IF(U318="N",LOOKUP(T318,'HS250-DATA'!C$7:C$10,'HS250-DATA'!D$7:D$10),IF(U318="Y",LOOKUP(T318,'HS250-DATA'!C$22:C$25,'HS250-DATA'!D$22:D$25),"FAN?")),IF(U318="N",LOOKUP(T318,'HS250-DATA'!C$14:C$17,'HS250-DATA'!D$14:D$17),IF(U318="Y",LOOKUP(T318,'HS250-DATA'!C$29:C$32,'HS250-DATA'!D$29:D$32),"FAN?")))</f>
        <v>0.106</v>
      </c>
      <c r="W318" s="1786">
        <f>(G318*H318)^2*Q318*10^-3+G318*P318</f>
        <v>467.62589928057548</v>
      </c>
      <c r="X318" s="1786">
        <f>D318*W318</f>
        <v>467.62589928057548</v>
      </c>
      <c r="Y318" s="1786">
        <f>IF(A318=3,W318*6,IF(A318=1,W318*4,W318))</f>
        <v>2805.7553956834527</v>
      </c>
      <c r="Z318" s="1579">
        <f>O318-5</f>
        <v>120</v>
      </c>
      <c r="AA318" s="1786">
        <f>D318*W318*V318+AB318</f>
        <v>104.568345323741</v>
      </c>
      <c r="AB318" s="1787">
        <v>55</v>
      </c>
      <c r="AC318" s="1788"/>
      <c r="AD318" s="1754">
        <f>Q318*10^-3*H318^2</f>
        <v>3.0599999999999996E-4</v>
      </c>
      <c r="AE318" s="1634">
        <f>P318</f>
        <v>0.69099999999999995</v>
      </c>
      <c r="AF318" s="1635">
        <f>(AB318-Z318)/(R318+S318+D318*V318)</f>
        <v>-467.62589928057548</v>
      </c>
      <c r="AG318" s="1789">
        <f>AE318^2-4*AD318*AF318</f>
        <v>1.0498551007194243</v>
      </c>
      <c r="AH318" s="1790">
        <f>SUM(AJ318:AL318)</f>
        <v>1381.56</v>
      </c>
      <c r="AI318" s="1791"/>
      <c r="AJ318" s="1792">
        <f>C318*LOOKUP(T318,'HS250-DATA'!C$7:C$10,'HS250-DATA'!F$7:F$10)</f>
        <v>169.56</v>
      </c>
      <c r="AK318" s="1792">
        <f>IF(U318="Y",C318*12,0)</f>
        <v>72</v>
      </c>
      <c r="AL318" s="1792">
        <f>C318*E318*VLOOKUP(K318,'SCR-Diode DATA'!D$7:M$43,10,FALSE)</f>
        <v>1140</v>
      </c>
      <c r="AM318" s="1793">
        <f>AH318/F318</f>
        <v>0.84477713524843612</v>
      </c>
      <c r="AO318" s="24">
        <f>0.4*F318</f>
        <v>654.16543244566117</v>
      </c>
      <c r="AP318" s="24">
        <f t="shared" si="164"/>
        <v>545.13786037138425</v>
      </c>
      <c r="AQ318" s="24">
        <f t="shared" si="165"/>
        <v>2943.7444460054749</v>
      </c>
      <c r="AR318">
        <v>3000</v>
      </c>
      <c r="AS318">
        <f>LOOKUP(AR318,'FUSE DATA'!X$8:X$43,'FUSE DATA'!Y$8:Y$43)</f>
        <v>19339</v>
      </c>
      <c r="AT318" s="1795">
        <f>AR318/F318</f>
        <v>1.8343983654313303</v>
      </c>
      <c r="AU318" s="1795" t="str">
        <f>IF(AS318&lt;1950,"F1892Sxxxx",IF(AS318&lt;3350,"CS61xx16B",IF(A318&lt;7340,"ND41xx35",IF(A318&lt;19000,"LS41xx60","PS41xx25"))))</f>
        <v>ND41xx35</v>
      </c>
      <c r="AX318" s="1804">
        <v>1500</v>
      </c>
      <c r="AY318" s="1802">
        <v>10000</v>
      </c>
    </row>
    <row r="319" spans="1:51" ht="19.5" thickBot="1">
      <c r="A319" s="1599"/>
      <c r="B319" s="1692"/>
      <c r="C319" s="1601"/>
      <c r="D319" s="1591"/>
      <c r="E319" s="1591"/>
      <c r="F319" s="1662"/>
      <c r="G319" s="1589"/>
      <c r="H319" s="1590"/>
      <c r="I319" s="1595"/>
      <c r="J319" s="1693"/>
      <c r="K319" s="1686"/>
      <c r="L319" s="1685"/>
      <c r="M319" s="1685"/>
      <c r="N319" s="1685"/>
      <c r="O319" s="1684"/>
      <c r="P319" s="1683"/>
      <c r="Q319" s="1683"/>
      <c r="R319" s="1683"/>
      <c r="S319" s="1682"/>
      <c r="T319" s="1569"/>
      <c r="U319" s="1568"/>
      <c r="V319" s="1567"/>
      <c r="W319" s="1605"/>
      <c r="X319" s="1605"/>
      <c r="Y319" s="1605"/>
      <c r="Z319" s="1566"/>
      <c r="AA319" s="1605"/>
      <c r="AB319" s="1592"/>
      <c r="AC319" s="1570"/>
      <c r="AD319" s="1755"/>
      <c r="AE319" s="1756"/>
      <c r="AF319" s="1757"/>
      <c r="AG319" s="1758"/>
      <c r="AH319" s="1744"/>
      <c r="AI319" s="1608"/>
      <c r="AJ319" s="1608"/>
      <c r="AK319" s="1608"/>
      <c r="AL319" s="1745"/>
      <c r="AM319" s="1746"/>
      <c r="AX319" s="1804">
        <v>1600</v>
      </c>
      <c r="AY319" s="1802">
        <v>10900</v>
      </c>
    </row>
    <row r="320" spans="1:51" ht="15.75">
      <c r="AX320" s="1804">
        <v>1800</v>
      </c>
      <c r="AY320" s="1802">
        <v>11777</v>
      </c>
    </row>
    <row r="321" spans="1:51" ht="15.75">
      <c r="AX321" s="1804">
        <v>2000</v>
      </c>
      <c r="AY321" s="1802">
        <v>13464</v>
      </c>
    </row>
    <row r="322" spans="1:51" ht="18.75">
      <c r="A322" s="1598"/>
      <c r="B322" s="1533"/>
      <c r="C322" s="1600"/>
      <c r="D322" s="1575"/>
      <c r="E322" s="1575"/>
      <c r="F322" s="1611"/>
      <c r="G322" s="1582"/>
      <c r="H322" s="1583"/>
      <c r="I322" s="1594"/>
      <c r="J322" s="1680"/>
      <c r="K322" s="1418"/>
      <c r="L322" s="1419"/>
      <c r="M322" s="1419"/>
      <c r="N322" s="1419"/>
      <c r="O322" s="1412"/>
      <c r="P322" s="1416"/>
      <c r="Q322" s="1416"/>
      <c r="R322" s="1416"/>
      <c r="S322" s="1687"/>
      <c r="T322" s="1624"/>
      <c r="U322" s="1616"/>
      <c r="V322" s="1622"/>
      <c r="W322" s="1602"/>
      <c r="X322" s="1602"/>
      <c r="Y322" s="1602"/>
      <c r="Z322" s="1579"/>
      <c r="AA322" s="1602"/>
      <c r="AB322" s="1588"/>
      <c r="AC322" s="1570"/>
      <c r="AD322" s="1754"/>
      <c r="AE322" s="1634"/>
      <c r="AF322" s="1635"/>
      <c r="AG322" s="1646"/>
      <c r="AH322" s="1742"/>
      <c r="AI322" s="1607"/>
      <c r="AJ322" s="1607"/>
      <c r="AK322" s="1607"/>
      <c r="AL322" s="1733"/>
      <c r="AM322" s="1743"/>
      <c r="AX322" s="1804">
        <v>2500</v>
      </c>
      <c r="AY322" s="1802">
        <v>16826</v>
      </c>
    </row>
    <row r="323" spans="1:51" ht="18.75">
      <c r="A323" s="1598" t="s">
        <v>501</v>
      </c>
      <c r="B323" s="1533">
        <f t="shared" ref="B323:B328" si="167">IF(A323=3,6,IF(A323=1,4,IF(A323="bd",1,IF(A323="fwd",1,"Circuit Type"))))</f>
        <v>1</v>
      </c>
      <c r="C323" s="1600">
        <v>1</v>
      </c>
      <c r="D323" s="1575">
        <f t="shared" ref="D323:D328" si="168">B323/C323</f>
        <v>1</v>
      </c>
      <c r="E323" s="1575">
        <v>1</v>
      </c>
      <c r="F323" s="1611">
        <f t="shared" ref="F323:F328" si="169">IF(A323=3,3*G323,IF(A323=1,2*G323,IF(A323="bd",1*G323,IF(A323="fwd",1,"Error"))))</f>
        <v>107.03920052779203</v>
      </c>
      <c r="G323" s="1582">
        <f t="shared" ref="G323:G328" si="170">(-AE323+SQRT(AG323))/2/AD323</f>
        <v>107.03920052779203</v>
      </c>
      <c r="H323" s="1583">
        <f t="shared" ref="H323:H328" si="171">IF(A323=3,SQRT(3),IF(A323=1,SQRT(2),1))</f>
        <v>1</v>
      </c>
      <c r="I323" s="1594">
        <f t="shared" ref="I323:I328" si="172">H323*G323</f>
        <v>107.03920052779203</v>
      </c>
      <c r="J323" s="1680" t="s">
        <v>548</v>
      </c>
      <c r="K323" s="1429" t="s">
        <v>502</v>
      </c>
      <c r="L323" s="1414">
        <v>100</v>
      </c>
      <c r="M323" s="1414"/>
      <c r="N323" s="1414">
        <v>1500</v>
      </c>
      <c r="O323" s="1414">
        <v>125</v>
      </c>
      <c r="P323" s="1425">
        <v>1.2</v>
      </c>
      <c r="Q323" s="1427">
        <v>1E-3</v>
      </c>
      <c r="R323" s="1450">
        <v>0.3</v>
      </c>
      <c r="S323" s="1456">
        <v>0.1</v>
      </c>
      <c r="T323" s="1624">
        <v>15</v>
      </c>
      <c r="U323" s="1616" t="s">
        <v>645</v>
      </c>
      <c r="V323" s="1622">
        <f>IF(E323=1,IF(U323="N",LOOKUP(T323,'HS250-DATA'!C$7:C$10,'HS250-DATA'!D$7:D$10),IF(U323="Y",LOOKUP(T323,'HS250-DATA'!C$22:C$25,'HS250-DATA'!D$22:D$25),"FAN?")),IF(U323="N",LOOKUP(T323,'HS250-DATA'!C$14:C$17,'HS250-DATA'!D$14:D$17),IF(U323="Y",LOOKUP(T323,'HS250-DATA'!C$29:C$32,'HS250-DATA'!D$29:D$32),"FAN?")))</f>
        <v>0.106</v>
      </c>
      <c r="W323" s="1602">
        <f t="shared" ref="W323:W328" si="173">(G323*H323)^2*Q323*10^-3+G323*P323</f>
        <v>128.45849802380008</v>
      </c>
      <c r="X323" s="1602">
        <f t="shared" ref="X323:X328" si="174">D323*W323</f>
        <v>128.45849802380008</v>
      </c>
      <c r="Y323" s="1602">
        <f t="shared" ref="Y323:Y328" si="175">IF(A323=3,W323*6,IF(A323=1,W323*4,W323))</f>
        <v>128.45849802380008</v>
      </c>
      <c r="Z323" s="1579">
        <f t="shared" ref="Z323:Z328" si="176">O323-5</f>
        <v>120</v>
      </c>
      <c r="AA323" s="1602">
        <f t="shared" ref="AA323:AA328" si="177">D323*W323*V323+AB323</f>
        <v>68.61660079052281</v>
      </c>
      <c r="AB323" s="1588">
        <v>55</v>
      </c>
      <c r="AC323" s="1570"/>
      <c r="AD323" s="1754">
        <f t="shared" ref="AD323:AD328" si="178">Q323*10^-3*H323^2</f>
        <v>9.9999999999999995E-7</v>
      </c>
      <c r="AE323" s="1634">
        <f t="shared" ref="AE323:AE328" si="179">P323</f>
        <v>1.2</v>
      </c>
      <c r="AF323" s="1635">
        <f t="shared" ref="AF323:AF328" si="180">(AB323-Z323)/(R323+S323+D323*V323)</f>
        <v>-128.45849802371541</v>
      </c>
      <c r="AG323" s="1646">
        <f t="shared" ref="AG323:AG328" si="181">AE323^2-4*AD323*AF323</f>
        <v>1.4405138339920949</v>
      </c>
      <c r="AH323" s="1741">
        <f t="shared" ref="AH323:AH328" si="182">SUM(AJ323:AL323)</f>
        <v>55.260000000000005</v>
      </c>
      <c r="AI323" s="1607"/>
      <c r="AJ323" s="1733">
        <f>C323*LOOKUP(T323,'HS250-DATA'!C$7:C$10,'HS250-DATA'!F$7:F$10)</f>
        <v>28.26</v>
      </c>
      <c r="AK323" s="1733">
        <f t="shared" ref="AK323:AK328" si="183">IF(U323="Y",C323*12,0)</f>
        <v>12</v>
      </c>
      <c r="AL323" s="1733">
        <f>C323*E323*VLOOKUP(K323,'SCR-Diode DATA'!D$7:M$43,10,FALSE)</f>
        <v>15</v>
      </c>
      <c r="AM323" s="507">
        <f t="shared" ref="AM323:AM328" si="184">AH323/F323</f>
        <v>0.51625946127701228</v>
      </c>
      <c r="AX323" s="1804">
        <v>3000</v>
      </c>
      <c r="AY323" s="1802">
        <v>19339</v>
      </c>
    </row>
    <row r="324" spans="1:51" ht="18.75">
      <c r="A324" s="1598" t="s">
        <v>501</v>
      </c>
      <c r="B324" s="1533">
        <f t="shared" si="167"/>
        <v>1</v>
      </c>
      <c r="C324" s="1600">
        <v>1</v>
      </c>
      <c r="D324" s="1575">
        <f t="shared" si="168"/>
        <v>1</v>
      </c>
      <c r="E324" s="1575">
        <v>1</v>
      </c>
      <c r="F324" s="1611">
        <f t="shared" si="169"/>
        <v>100.70807612529705</v>
      </c>
      <c r="G324" s="1582">
        <f t="shared" si="170"/>
        <v>100.70807612529705</v>
      </c>
      <c r="H324" s="1583">
        <f t="shared" si="171"/>
        <v>1</v>
      </c>
      <c r="I324" s="1594">
        <f t="shared" si="172"/>
        <v>100.70807612529705</v>
      </c>
      <c r="J324" s="1680" t="s">
        <v>548</v>
      </c>
      <c r="K324" s="1432" t="s">
        <v>569</v>
      </c>
      <c r="L324" s="1426">
        <v>90</v>
      </c>
      <c r="M324" s="1426">
        <v>150</v>
      </c>
      <c r="N324" s="1426">
        <v>1950</v>
      </c>
      <c r="O324" s="1425">
        <v>125</v>
      </c>
      <c r="P324" s="1425">
        <v>0.9</v>
      </c>
      <c r="Q324" s="1427">
        <v>2</v>
      </c>
      <c r="R324" s="1428">
        <v>0.28000000000000003</v>
      </c>
      <c r="S324" s="1457">
        <v>0.2</v>
      </c>
      <c r="T324" s="1624">
        <v>15</v>
      </c>
      <c r="U324" s="1616" t="s">
        <v>645</v>
      </c>
      <c r="V324" s="1622">
        <f>IF(E324=1,IF(U324="N",LOOKUP(T324,'HS250-DATA'!C$7:C$10,'HS250-DATA'!D$7:D$10),IF(U324="Y",LOOKUP(T324,'HS250-DATA'!C$22:C$25,'HS250-DATA'!D$22:D$25),"FAN?")),IF(U324="N",LOOKUP(T324,'HS250-DATA'!C$14:C$17,'HS250-DATA'!D$14:D$17),IF(U324="Y",LOOKUP(T324,'HS250-DATA'!C$29:C$32,'HS250-DATA'!D$29:D$32),"FAN?")))</f>
        <v>0.106</v>
      </c>
      <c r="W324" s="1602">
        <f t="shared" si="173"/>
        <v>110.92150170648461</v>
      </c>
      <c r="X324" s="1602">
        <f t="shared" si="174"/>
        <v>110.92150170648461</v>
      </c>
      <c r="Y324" s="1602">
        <f t="shared" si="175"/>
        <v>110.92150170648461</v>
      </c>
      <c r="Z324" s="1579">
        <f t="shared" si="176"/>
        <v>120</v>
      </c>
      <c r="AA324" s="1602">
        <f t="shared" si="177"/>
        <v>66.757679180887365</v>
      </c>
      <c r="AB324" s="1588">
        <v>55</v>
      </c>
      <c r="AC324" s="1570"/>
      <c r="AD324" s="1754">
        <f t="shared" si="178"/>
        <v>2E-3</v>
      </c>
      <c r="AE324" s="1634">
        <f t="shared" si="179"/>
        <v>0.9</v>
      </c>
      <c r="AF324" s="1635">
        <f t="shared" si="180"/>
        <v>-110.92150170648463</v>
      </c>
      <c r="AG324" s="1646">
        <f t="shared" si="181"/>
        <v>1.6973720136518771</v>
      </c>
      <c r="AH324" s="1741">
        <f t="shared" si="182"/>
        <v>53.260000000000005</v>
      </c>
      <c r="AI324" s="1607"/>
      <c r="AJ324" s="1733">
        <f>C324*LOOKUP(T324,'HS250-DATA'!C$7:C$10,'HS250-DATA'!F$7:F$10)</f>
        <v>28.26</v>
      </c>
      <c r="AK324" s="1733">
        <f t="shared" si="183"/>
        <v>12</v>
      </c>
      <c r="AL324" s="1733">
        <f>C324*E324*VLOOKUP(K324,'SCR-Diode DATA'!D$7:M$43,10,FALSE)</f>
        <v>13</v>
      </c>
      <c r="AM324" s="507">
        <f t="shared" si="184"/>
        <v>0.52885530187009022</v>
      </c>
      <c r="AX324" s="1804">
        <v>3500</v>
      </c>
      <c r="AY324" s="1802">
        <v>23280</v>
      </c>
    </row>
    <row r="325" spans="1:51" ht="18.75">
      <c r="A325" s="1598" t="s">
        <v>501</v>
      </c>
      <c r="B325" s="1533">
        <f t="shared" si="167"/>
        <v>1</v>
      </c>
      <c r="C325" s="1600">
        <v>1</v>
      </c>
      <c r="D325" s="1575">
        <f t="shared" si="168"/>
        <v>1</v>
      </c>
      <c r="E325" s="1575">
        <v>1</v>
      </c>
      <c r="F325" s="1611">
        <f t="shared" si="169"/>
        <v>211.2840791215875</v>
      </c>
      <c r="G325" s="1582">
        <f t="shared" si="170"/>
        <v>211.2840791215875</v>
      </c>
      <c r="H325" s="1583">
        <f t="shared" si="171"/>
        <v>1</v>
      </c>
      <c r="I325" s="1594">
        <f t="shared" si="172"/>
        <v>211.2840791215875</v>
      </c>
      <c r="J325" s="1680" t="s">
        <v>548</v>
      </c>
      <c r="K325" s="1432" t="s">
        <v>505</v>
      </c>
      <c r="L325" s="1426">
        <v>160</v>
      </c>
      <c r="M325" s="1426">
        <v>250</v>
      </c>
      <c r="N325" s="1426">
        <v>3350</v>
      </c>
      <c r="O325" s="1425">
        <v>150</v>
      </c>
      <c r="P325" s="1425">
        <v>0.85</v>
      </c>
      <c r="Q325" s="1427">
        <v>1.2</v>
      </c>
      <c r="R325" s="1428">
        <v>0.18</v>
      </c>
      <c r="S325" s="1457">
        <v>0.1</v>
      </c>
      <c r="T325" s="1624">
        <v>15</v>
      </c>
      <c r="U325" s="1616" t="s">
        <v>645</v>
      </c>
      <c r="V325" s="1622">
        <f>IF(E325=1,IF(U325="N",LOOKUP(T325,'HS250-DATA'!C$7:C$10,'HS250-DATA'!D$7:D$10),IF(U325="Y",LOOKUP(T325,'HS250-DATA'!C$22:C$25,'HS250-DATA'!D$22:D$25),"FAN?")),IF(U325="N",LOOKUP(T325,'HS250-DATA'!C$14:C$17,'HS250-DATA'!D$14:D$17),IF(U325="Y",LOOKUP(T325,'HS250-DATA'!C$29:C$32,'HS250-DATA'!D$29:D$32),"FAN?")))</f>
        <v>0.106</v>
      </c>
      <c r="W325" s="1602">
        <f t="shared" si="173"/>
        <v>233.16062176165806</v>
      </c>
      <c r="X325" s="1602">
        <f t="shared" si="174"/>
        <v>233.16062176165806</v>
      </c>
      <c r="Y325" s="1602">
        <f t="shared" si="175"/>
        <v>233.16062176165806</v>
      </c>
      <c r="Z325" s="1579">
        <f t="shared" si="176"/>
        <v>145</v>
      </c>
      <c r="AA325" s="1602">
        <f t="shared" si="177"/>
        <v>79.715025906735747</v>
      </c>
      <c r="AB325" s="1588">
        <v>55</v>
      </c>
      <c r="AC325" s="1570"/>
      <c r="AD325" s="1754">
        <f t="shared" si="178"/>
        <v>1.1999999999999999E-3</v>
      </c>
      <c r="AE325" s="1634">
        <f t="shared" si="179"/>
        <v>0.85</v>
      </c>
      <c r="AF325" s="1635">
        <f t="shared" si="180"/>
        <v>-233.16062176165804</v>
      </c>
      <c r="AG325" s="1646">
        <f t="shared" si="181"/>
        <v>1.8416709844559584</v>
      </c>
      <c r="AH325" s="1741">
        <f t="shared" si="182"/>
        <v>70.260000000000005</v>
      </c>
      <c r="AI325" s="1607"/>
      <c r="AJ325" s="1733">
        <f>C325*LOOKUP(T325,'HS250-DATA'!C$7:C$10,'HS250-DATA'!F$7:F$10)</f>
        <v>28.26</v>
      </c>
      <c r="AK325" s="1733">
        <f t="shared" si="183"/>
        <v>12</v>
      </c>
      <c r="AL325" s="1733">
        <f>C325*E325*VLOOKUP(K325,'SCR-Diode DATA'!D$7:M$43,10,FALSE)</f>
        <v>30</v>
      </c>
      <c r="AM325" s="507">
        <f t="shared" si="184"/>
        <v>0.33253807050727913</v>
      </c>
      <c r="AX325" s="1804">
        <v>4000</v>
      </c>
      <c r="AY325" s="1802">
        <v>26068</v>
      </c>
    </row>
    <row r="326" spans="1:51" ht="18.75">
      <c r="A326" s="1598" t="s">
        <v>501</v>
      </c>
      <c r="B326" s="1533">
        <f t="shared" si="167"/>
        <v>1</v>
      </c>
      <c r="C326" s="1600">
        <v>1</v>
      </c>
      <c r="D326" s="1575">
        <f t="shared" si="168"/>
        <v>1</v>
      </c>
      <c r="E326" s="1575">
        <v>1</v>
      </c>
      <c r="F326" s="1611">
        <f t="shared" si="169"/>
        <v>379.31954847777064</v>
      </c>
      <c r="G326" s="1582">
        <f t="shared" si="170"/>
        <v>379.31954847777064</v>
      </c>
      <c r="H326" s="1583">
        <f t="shared" si="171"/>
        <v>1</v>
      </c>
      <c r="I326" s="1594">
        <f t="shared" si="172"/>
        <v>379.31954847777064</v>
      </c>
      <c r="J326" s="1680" t="s">
        <v>548</v>
      </c>
      <c r="K326" s="1432" t="s">
        <v>572</v>
      </c>
      <c r="L326" s="1426">
        <v>350</v>
      </c>
      <c r="M326" s="1426">
        <v>550</v>
      </c>
      <c r="N326" s="1426">
        <v>7340</v>
      </c>
      <c r="O326" s="1425">
        <v>150</v>
      </c>
      <c r="P326" s="1425">
        <v>0.65400000000000003</v>
      </c>
      <c r="Q326" s="1427">
        <v>0.32</v>
      </c>
      <c r="R326" s="1428">
        <v>0.14000000000000001</v>
      </c>
      <c r="S326" s="1457">
        <v>0.06</v>
      </c>
      <c r="T326" s="1624">
        <v>15</v>
      </c>
      <c r="U326" s="1616" t="s">
        <v>645</v>
      </c>
      <c r="V326" s="1622">
        <f>IF(E326=1,IF(U326="N",LOOKUP(T326,'HS250-DATA'!C$7:C$10,'HS250-DATA'!D$7:D$10),IF(U326="Y",LOOKUP(T326,'HS250-DATA'!C$22:C$25,'HS250-DATA'!D$22:D$25),"FAN?")),IF(U326="N",LOOKUP(T326,'HS250-DATA'!C$14:C$17,'HS250-DATA'!D$14:D$17),IF(U326="Y",LOOKUP(T326,'HS250-DATA'!C$29:C$32,'HS250-DATA'!D$29:D$32),"FAN?")))</f>
        <v>0.106</v>
      </c>
      <c r="W326" s="1602">
        <f t="shared" si="173"/>
        <v>294.11764705882354</v>
      </c>
      <c r="X326" s="1602">
        <f t="shared" si="174"/>
        <v>294.11764705882354</v>
      </c>
      <c r="Y326" s="1602">
        <f t="shared" si="175"/>
        <v>294.11764705882354</v>
      </c>
      <c r="Z326" s="1579">
        <f t="shared" si="176"/>
        <v>145</v>
      </c>
      <c r="AA326" s="1602">
        <f t="shared" si="177"/>
        <v>86.17647058823529</v>
      </c>
      <c r="AB326" s="1588">
        <v>55</v>
      </c>
      <c r="AC326" s="1570"/>
      <c r="AD326" s="1754">
        <f t="shared" si="178"/>
        <v>3.2000000000000003E-4</v>
      </c>
      <c r="AE326" s="1634">
        <f t="shared" si="179"/>
        <v>0.65400000000000003</v>
      </c>
      <c r="AF326" s="1635">
        <f t="shared" si="180"/>
        <v>-294.11764705882354</v>
      </c>
      <c r="AG326" s="1646">
        <f t="shared" si="181"/>
        <v>0.80418658823529421</v>
      </c>
      <c r="AH326" s="1741">
        <f t="shared" si="182"/>
        <v>115.26</v>
      </c>
      <c r="AI326" s="1607"/>
      <c r="AJ326" s="1733">
        <f>C326*LOOKUP(T326,'HS250-DATA'!C$7:C$10,'HS250-DATA'!F$7:F$10)</f>
        <v>28.26</v>
      </c>
      <c r="AK326" s="1733">
        <f t="shared" si="183"/>
        <v>12</v>
      </c>
      <c r="AL326" s="1733">
        <f>C326*E326*VLOOKUP(K326,'SCR-Diode DATA'!D$7:M$43,10,FALSE)</f>
        <v>75</v>
      </c>
      <c r="AM326" s="507">
        <f t="shared" si="184"/>
        <v>0.30385989981941208</v>
      </c>
      <c r="AX326" s="1804">
        <v>4500</v>
      </c>
      <c r="AY326" s="1802">
        <v>29407</v>
      </c>
    </row>
    <row r="327" spans="1:51" ht="19.5" thickBot="1">
      <c r="A327" s="1598" t="s">
        <v>501</v>
      </c>
      <c r="B327" s="1533">
        <f t="shared" si="167"/>
        <v>1</v>
      </c>
      <c r="C327" s="1600">
        <v>1</v>
      </c>
      <c r="D327" s="1575">
        <f t="shared" si="168"/>
        <v>1</v>
      </c>
      <c r="E327" s="1575">
        <v>1</v>
      </c>
      <c r="F327" s="1611">
        <f t="shared" si="169"/>
        <v>536.99158860424393</v>
      </c>
      <c r="G327" s="1582">
        <f t="shared" si="170"/>
        <v>536.99158860424393</v>
      </c>
      <c r="H327" s="1583">
        <f t="shared" si="171"/>
        <v>1</v>
      </c>
      <c r="I327" s="1594">
        <f t="shared" si="172"/>
        <v>536.99158860424393</v>
      </c>
      <c r="J327" s="1680" t="s">
        <v>558</v>
      </c>
      <c r="K327" s="1432" t="s">
        <v>508</v>
      </c>
      <c r="L327" s="1426">
        <v>600</v>
      </c>
      <c r="M327" s="1426">
        <v>950</v>
      </c>
      <c r="N327" s="1426">
        <v>19000</v>
      </c>
      <c r="O327" s="1425">
        <v>150</v>
      </c>
      <c r="P327" s="1425">
        <v>0.747</v>
      </c>
      <c r="Q327" s="1427">
        <v>0.24299999999999999</v>
      </c>
      <c r="R327" s="1428">
        <v>6.5000000000000002E-2</v>
      </c>
      <c r="S327" s="1457">
        <v>0.02</v>
      </c>
      <c r="T327" s="1624">
        <v>15</v>
      </c>
      <c r="U327" s="1616" t="s">
        <v>645</v>
      </c>
      <c r="V327" s="1622">
        <f>IF(E327=1,IF(U327="N",LOOKUP(T327,'HS250-DATA'!C$7:C$10,'HS250-DATA'!D$7:D$10),IF(U327="Y",LOOKUP(T327,'HS250-DATA'!C$22:C$25,'HS250-DATA'!D$22:D$25),"FAN?")),IF(U327="N",LOOKUP(T327,'HS250-DATA'!C$14:C$17,'HS250-DATA'!D$14:D$17),IF(U327="Y",LOOKUP(T327,'HS250-DATA'!C$29:C$32,'HS250-DATA'!D$29:D$32),"FAN?")))</f>
        <v>0.106</v>
      </c>
      <c r="W327" s="1602">
        <f t="shared" si="173"/>
        <v>471.2041884816756</v>
      </c>
      <c r="X327" s="1602">
        <f t="shared" si="174"/>
        <v>471.2041884816756</v>
      </c>
      <c r="Y327" s="1602">
        <f t="shared" si="175"/>
        <v>471.2041884816756</v>
      </c>
      <c r="Z327" s="1579">
        <f t="shared" si="176"/>
        <v>145</v>
      </c>
      <c r="AA327" s="1602">
        <f t="shared" si="177"/>
        <v>104.9476439790576</v>
      </c>
      <c r="AB327" s="1588">
        <v>55</v>
      </c>
      <c r="AC327" s="1570"/>
      <c r="AD327" s="1754">
        <f t="shared" si="178"/>
        <v>2.43E-4</v>
      </c>
      <c r="AE327" s="1634">
        <f t="shared" si="179"/>
        <v>0.747</v>
      </c>
      <c r="AF327" s="1635">
        <f t="shared" si="180"/>
        <v>-471.20418848167537</v>
      </c>
      <c r="AG327" s="1646">
        <f t="shared" si="181"/>
        <v>1.0160194712041886</v>
      </c>
      <c r="AH327" s="1741">
        <f t="shared" si="182"/>
        <v>132.26</v>
      </c>
      <c r="AI327" s="1607"/>
      <c r="AJ327" s="1733">
        <f>C327*LOOKUP(T327,'HS250-DATA'!C$7:C$10,'HS250-DATA'!F$7:F$10)</f>
        <v>28.26</v>
      </c>
      <c r="AK327" s="1733">
        <f t="shared" si="183"/>
        <v>12</v>
      </c>
      <c r="AL327" s="1733">
        <f>C327*E327*VLOOKUP(K327,'SCR-Diode DATA'!D$7:M$43,10,FALSE)</f>
        <v>92</v>
      </c>
      <c r="AM327" s="507">
        <f t="shared" si="184"/>
        <v>0.24629808512228663</v>
      </c>
      <c r="AX327" s="1801">
        <v>5000</v>
      </c>
      <c r="AY327" s="1800" t="s">
        <v>124</v>
      </c>
    </row>
    <row r="328" spans="1:51" ht="18.75">
      <c r="A328" s="1598" t="s">
        <v>501</v>
      </c>
      <c r="B328" s="1533">
        <f t="shared" si="167"/>
        <v>1</v>
      </c>
      <c r="C328" s="1600">
        <v>1</v>
      </c>
      <c r="D328" s="1575">
        <f t="shared" si="168"/>
        <v>1</v>
      </c>
      <c r="E328" s="1575">
        <v>1</v>
      </c>
      <c r="F328" s="1611">
        <f t="shared" si="169"/>
        <v>940.75588672702315</v>
      </c>
      <c r="G328" s="1582">
        <f t="shared" si="170"/>
        <v>940.75588672702315</v>
      </c>
      <c r="H328" s="1583">
        <f t="shared" si="171"/>
        <v>1</v>
      </c>
      <c r="I328" s="1594">
        <f t="shared" si="172"/>
        <v>940.75588672702315</v>
      </c>
      <c r="J328" s="1680" t="s">
        <v>558</v>
      </c>
      <c r="K328" s="1432" t="s">
        <v>509</v>
      </c>
      <c r="L328" s="1426">
        <v>2500</v>
      </c>
      <c r="M328" s="1426">
        <v>3925</v>
      </c>
      <c r="N328" s="1426">
        <v>48400</v>
      </c>
      <c r="O328" s="1425">
        <v>150</v>
      </c>
      <c r="P328" s="1425">
        <v>0.63200000000000001</v>
      </c>
      <c r="Q328" s="1427">
        <v>5.9799999999999999E-2</v>
      </c>
      <c r="R328" s="1428">
        <v>2.4E-2</v>
      </c>
      <c r="S328" s="1457">
        <v>8.9999999999999993E-3</v>
      </c>
      <c r="T328" s="1624">
        <v>15</v>
      </c>
      <c r="U328" s="1616" t="s">
        <v>645</v>
      </c>
      <c r="V328" s="1622">
        <f>IF(E328=1,IF(U328="N",LOOKUP(T328,'HS250-DATA'!C$7:C$10,'HS250-DATA'!D$7:D$10),IF(U328="Y",LOOKUP(T328,'HS250-DATA'!C$22:C$25,'HS250-DATA'!D$22:D$25),"FAN?")),IF(U328="N",LOOKUP(T328,'HS250-DATA'!C$14:C$17,'HS250-DATA'!D$14:D$17),IF(U328="Y",LOOKUP(T328,'HS250-DATA'!C$29:C$32,'HS250-DATA'!D$29:D$32),"FAN?")))</f>
        <v>0.106</v>
      </c>
      <c r="W328" s="1602">
        <f t="shared" si="173"/>
        <v>647.48201438848912</v>
      </c>
      <c r="X328" s="1602">
        <f t="shared" si="174"/>
        <v>647.48201438848912</v>
      </c>
      <c r="Y328" s="1602">
        <f t="shared" si="175"/>
        <v>647.48201438848912</v>
      </c>
      <c r="Z328" s="1579">
        <f t="shared" si="176"/>
        <v>145</v>
      </c>
      <c r="AA328" s="1602">
        <f t="shared" si="177"/>
        <v>123.63309352517985</v>
      </c>
      <c r="AB328" s="1588">
        <v>55</v>
      </c>
      <c r="AC328" s="1570"/>
      <c r="AD328" s="1754">
        <f t="shared" si="178"/>
        <v>5.9800000000000003E-5</v>
      </c>
      <c r="AE328" s="1634">
        <f t="shared" si="179"/>
        <v>0.63200000000000001</v>
      </c>
      <c r="AF328" s="1635">
        <f t="shared" si="180"/>
        <v>-647.48201438848912</v>
      </c>
      <c r="AG328" s="1646">
        <f t="shared" si="181"/>
        <v>0.55430169784172656</v>
      </c>
      <c r="AH328" s="1741">
        <f t="shared" si="182"/>
        <v>385.26</v>
      </c>
      <c r="AI328" s="1607"/>
      <c r="AJ328" s="1733">
        <f>C328*LOOKUP(T328,'HS250-DATA'!C$7:C$10,'HS250-DATA'!F$7:F$10)</f>
        <v>28.26</v>
      </c>
      <c r="AK328" s="1733">
        <f t="shared" si="183"/>
        <v>12</v>
      </c>
      <c r="AL328" s="1733">
        <f>C328*E328*VLOOKUP(K328,'SCR-Diode DATA'!D$7:M$43,10,FALSE)</f>
        <v>345</v>
      </c>
      <c r="AM328" s="507">
        <f t="shared" si="184"/>
        <v>0.40952175313019323</v>
      </c>
    </row>
    <row r="329" spans="1:51" ht="19.5" thickBot="1">
      <c r="A329" s="1599"/>
      <c r="B329" s="1692"/>
      <c r="C329" s="1601"/>
      <c r="D329" s="1591"/>
      <c r="E329" s="1591"/>
      <c r="F329" s="1662"/>
      <c r="G329" s="1589"/>
      <c r="H329" s="1590"/>
      <c r="I329" s="1595"/>
      <c r="J329" s="1693"/>
      <c r="K329" s="1686"/>
      <c r="L329" s="1685"/>
      <c r="M329" s="1685"/>
      <c r="N329" s="1685"/>
      <c r="O329" s="1684"/>
      <c r="P329" s="1683"/>
      <c r="Q329" s="1683"/>
      <c r="R329" s="1683"/>
      <c r="S329" s="1682"/>
      <c r="T329" s="1569"/>
      <c r="U329" s="1568"/>
      <c r="V329" s="1567"/>
      <c r="W329" s="1605"/>
      <c r="X329" s="1605"/>
      <c r="Y329" s="1605"/>
      <c r="Z329" s="1566"/>
      <c r="AA329" s="1605"/>
      <c r="AB329" s="1592"/>
      <c r="AC329" s="1570"/>
      <c r="AD329" s="1755"/>
      <c r="AE329" s="1756"/>
      <c r="AF329" s="1757"/>
      <c r="AG329" s="1758"/>
      <c r="AH329" s="1744"/>
      <c r="AI329" s="1608"/>
      <c r="AJ329" s="1608"/>
      <c r="AK329" s="1608"/>
      <c r="AL329" s="1745"/>
      <c r="AM329" s="1746"/>
    </row>
    <row r="331" spans="1:51" ht="18.75">
      <c r="A331" s="1598"/>
      <c r="B331" s="1533"/>
      <c r="C331" s="1600"/>
      <c r="D331" s="1575"/>
      <c r="E331" s="1575"/>
      <c r="F331" s="1611"/>
      <c r="G331" s="1582"/>
      <c r="H331" s="1583"/>
      <c r="I331" s="1594"/>
      <c r="J331" s="1680"/>
      <c r="K331" s="1418"/>
      <c r="L331" s="1419"/>
      <c r="M331" s="1419"/>
      <c r="N331" s="1419"/>
      <c r="O331" s="1412"/>
      <c r="P331" s="1416"/>
      <c r="Q331" s="1416"/>
      <c r="R331" s="1416"/>
      <c r="S331" s="1687"/>
      <c r="T331" s="1624"/>
      <c r="U331" s="1616"/>
      <c r="V331" s="1622"/>
      <c r="W331" s="1602"/>
      <c r="X331" s="1602"/>
      <c r="Y331" s="1602"/>
      <c r="Z331" s="1579"/>
      <c r="AA331" s="1602"/>
      <c r="AB331" s="1588"/>
      <c r="AC331" s="1570"/>
      <c r="AD331" s="1754"/>
      <c r="AE331" s="1634"/>
      <c r="AF331" s="1635"/>
      <c r="AG331" s="1646"/>
      <c r="AH331" s="1742"/>
      <c r="AI331" s="1607"/>
      <c r="AJ331" s="1607"/>
      <c r="AK331" s="1607"/>
      <c r="AL331" s="1733"/>
      <c r="AM331" s="1743"/>
    </row>
    <row r="332" spans="1:51" ht="18.75">
      <c r="A332" s="1598" t="s">
        <v>501</v>
      </c>
      <c r="B332" s="1533">
        <f t="shared" ref="B332:B353" si="185">IF(A332=3,6,IF(A332=1,4,IF(A332="bd",1,IF(A332="fwd",1,"Circuit Type"))))</f>
        <v>1</v>
      </c>
      <c r="C332" s="1600">
        <v>1</v>
      </c>
      <c r="D332" s="1575">
        <f t="shared" ref="D332:D353" si="186">B332/C332</f>
        <v>1</v>
      </c>
      <c r="E332" s="1575">
        <v>1</v>
      </c>
      <c r="F332" s="1611">
        <f t="shared" ref="F332:F353" si="187">IF(A332=3,3*G332,IF(A332=1,2*G332,IF(A332="bd",1*G332,IF(A332="fwd",1,"Error"))))</f>
        <v>83.327547099942834</v>
      </c>
      <c r="G332" s="1582">
        <f t="shared" ref="G332:G353" si="188">(-AE332+SQRT(AG332))/2/AD332</f>
        <v>83.327547099942834</v>
      </c>
      <c r="H332" s="1583">
        <f t="shared" ref="H332:H353" si="189">IF(A332=3,SQRT(3),IF(A332=1,SQRT(2),1))</f>
        <v>1</v>
      </c>
      <c r="I332" s="1594">
        <f t="shared" ref="I332:I353" si="190">H332*G332</f>
        <v>83.327547099942834</v>
      </c>
      <c r="J332" s="1680" t="s">
        <v>548</v>
      </c>
      <c r="K332" s="1429" t="s">
        <v>502</v>
      </c>
      <c r="L332" s="1414">
        <v>100</v>
      </c>
      <c r="M332" s="1414"/>
      <c r="N332" s="1414">
        <v>1500</v>
      </c>
      <c r="O332" s="1414">
        <v>125</v>
      </c>
      <c r="P332" s="1425">
        <v>1.2</v>
      </c>
      <c r="Q332" s="1427">
        <v>1E-3</v>
      </c>
      <c r="R332" s="1450">
        <v>0.3</v>
      </c>
      <c r="S332" s="1456">
        <v>0.1</v>
      </c>
      <c r="T332" s="1624">
        <v>15</v>
      </c>
      <c r="U332" s="1616" t="s">
        <v>642</v>
      </c>
      <c r="V332" s="1622">
        <f>IF(E332=1,IF(U332="N",LOOKUP(T332,'HS250-DATA'!C$7:C$10,'HS250-DATA'!D$7:D$10),IF(U332="Y",LOOKUP(T332,'HS250-DATA'!C$22:C$25,'HS250-DATA'!D$22:D$25),"FAN?")),IF(U332="N",LOOKUP(T332,'HS250-DATA'!C$14:C$17,'HS250-DATA'!D$14:D$17),IF(U332="Y",LOOKUP(T332,'HS250-DATA'!C$29:C$32,'HS250-DATA'!D$29:D$32),"FAN?")))</f>
        <v>0.25</v>
      </c>
      <c r="W332" s="1602">
        <f t="shared" ref="W332:W353" si="191">(G332*H332)^2*Q332*10^-3+G332*P332</f>
        <v>100.00000000003709</v>
      </c>
      <c r="X332" s="1602">
        <f t="shared" ref="X332:X353" si="192">D332*W332</f>
        <v>100.00000000003709</v>
      </c>
      <c r="Y332" s="1602">
        <f t="shared" ref="Y332:Y353" si="193">IF(A332=3,W332*6,IF(A332=1,W332*4,W332))</f>
        <v>100.00000000003709</v>
      </c>
      <c r="Z332" s="1579">
        <f t="shared" ref="Z332:Z353" si="194">O332-5</f>
        <v>120</v>
      </c>
      <c r="AA332" s="1602">
        <f t="shared" ref="AA332:AA353" si="195">D332*W332*V332+AB332</f>
        <v>80.000000000009265</v>
      </c>
      <c r="AB332" s="1588">
        <v>55</v>
      </c>
      <c r="AC332" s="1570"/>
      <c r="AD332" s="1754">
        <f t="shared" ref="AD332:AD353" si="196">Q332*10^-3*H332^2</f>
        <v>9.9999999999999995E-7</v>
      </c>
      <c r="AE332" s="1634">
        <f t="shared" ref="AE332:AE353" si="197">P332</f>
        <v>1.2</v>
      </c>
      <c r="AF332" s="1635">
        <f t="shared" ref="AF332:AF353" si="198">(AB332-Z332)/(R332+S332+D332*V332)</f>
        <v>-100</v>
      </c>
      <c r="AG332" s="1646">
        <f t="shared" ref="AG332:AG353" si="199">AE332^2-4*AD332*AF332</f>
        <v>1.4403999999999999</v>
      </c>
      <c r="AH332" s="1741">
        <f t="shared" ref="AH332:AH353" si="200">SUM(AJ332:AL332)</f>
        <v>43.260000000000005</v>
      </c>
      <c r="AI332" s="1607"/>
      <c r="AJ332" s="1733">
        <f>C332*LOOKUP(T332,'HS250-DATA'!C$7:C$10,'HS250-DATA'!F$7:F$10)</f>
        <v>28.26</v>
      </c>
      <c r="AK332" s="1733">
        <f t="shared" ref="AK332:AK340" si="201">IF(U332="Y",C332*12,0)</f>
        <v>0</v>
      </c>
      <c r="AL332" s="1733">
        <f>C332*E332*VLOOKUP(K332,'SCR-Diode DATA'!D$7:M$43,10,FALSE)</f>
        <v>15</v>
      </c>
      <c r="AM332" s="507">
        <f t="shared" ref="AM332:AM353" si="202">AH332/F332</f>
        <v>0.51915604749668287</v>
      </c>
    </row>
    <row r="333" spans="1:51" ht="18.75">
      <c r="A333" s="1598" t="s">
        <v>501</v>
      </c>
      <c r="B333" s="1533">
        <f t="shared" si="185"/>
        <v>1</v>
      </c>
      <c r="C333" s="1600">
        <v>1</v>
      </c>
      <c r="D333" s="1575">
        <f t="shared" si="186"/>
        <v>1</v>
      </c>
      <c r="E333" s="1575">
        <v>1</v>
      </c>
      <c r="F333" s="1611">
        <f t="shared" si="187"/>
        <v>73.169967970894788</v>
      </c>
      <c r="G333" s="1582">
        <f t="shared" si="188"/>
        <v>73.169967970894788</v>
      </c>
      <c r="H333" s="1583">
        <f t="shared" si="189"/>
        <v>1</v>
      </c>
      <c r="I333" s="1594">
        <f t="shared" si="190"/>
        <v>73.169967970894788</v>
      </c>
      <c r="J333" s="1680" t="s">
        <v>548</v>
      </c>
      <c r="K333" s="1432" t="s">
        <v>569</v>
      </c>
      <c r="L333" s="1426">
        <v>90</v>
      </c>
      <c r="M333" s="1426">
        <v>150</v>
      </c>
      <c r="N333" s="1426">
        <v>1950</v>
      </c>
      <c r="O333" s="1425">
        <v>125</v>
      </c>
      <c r="P333" s="1425">
        <v>0.9</v>
      </c>
      <c r="Q333" s="1427">
        <v>2</v>
      </c>
      <c r="R333" s="1428">
        <v>0.28000000000000003</v>
      </c>
      <c r="S333" s="1457">
        <v>0.2</v>
      </c>
      <c r="T333" s="1624">
        <v>6.5</v>
      </c>
      <c r="U333" s="1616" t="s">
        <v>642</v>
      </c>
      <c r="V333" s="1622">
        <f>IF(E333=1,IF(U333="N",LOOKUP(T333,'HS250-DATA'!C$7:C$10,'HS250-DATA'!D$7:D$10),IF(U333="Y",LOOKUP(T333,'HS250-DATA'!C$22:C$25,'HS250-DATA'!D$22:D$25),"FAN?")),IF(U333="N",LOOKUP(T333,'HS250-DATA'!C$14:C$17,'HS250-DATA'!D$14:D$17),IF(U333="Y",LOOKUP(T333,'HS250-DATA'!C$29:C$32,'HS250-DATA'!D$29:D$32),"FAN?")))</f>
        <v>0.36899999999999999</v>
      </c>
      <c r="W333" s="1602">
        <f t="shared" si="191"/>
        <v>76.560659599528847</v>
      </c>
      <c r="X333" s="1602">
        <f t="shared" si="192"/>
        <v>76.560659599528847</v>
      </c>
      <c r="Y333" s="1602">
        <f t="shared" si="193"/>
        <v>76.560659599528847</v>
      </c>
      <c r="Z333" s="1579">
        <f t="shared" si="194"/>
        <v>120</v>
      </c>
      <c r="AA333" s="1602">
        <f t="shared" si="195"/>
        <v>83.250883392226143</v>
      </c>
      <c r="AB333" s="1588">
        <v>55</v>
      </c>
      <c r="AC333" s="1570"/>
      <c r="AD333" s="1754">
        <f t="shared" si="196"/>
        <v>2E-3</v>
      </c>
      <c r="AE333" s="1634">
        <f t="shared" si="197"/>
        <v>0.9</v>
      </c>
      <c r="AF333" s="1635">
        <f t="shared" si="198"/>
        <v>-76.560659599528861</v>
      </c>
      <c r="AG333" s="1646">
        <f t="shared" si="199"/>
        <v>1.4224852767962308</v>
      </c>
      <c r="AH333" s="1741">
        <f t="shared" si="200"/>
        <v>29.35</v>
      </c>
      <c r="AI333" s="1607"/>
      <c r="AJ333" s="1733">
        <f>C333*LOOKUP(T333,'HS250-DATA'!C$7:C$10,'HS250-DATA'!F$7:F$10)</f>
        <v>16.350000000000001</v>
      </c>
      <c r="AK333" s="1733">
        <f t="shared" si="201"/>
        <v>0</v>
      </c>
      <c r="AL333" s="1733">
        <f>C333*E333*VLOOKUP(K333,'SCR-Diode DATA'!D$7:M$43,10,FALSE)</f>
        <v>13</v>
      </c>
      <c r="AM333" s="507">
        <f t="shared" si="202"/>
        <v>0.40112085345827553</v>
      </c>
    </row>
    <row r="334" spans="1:51" ht="18.75">
      <c r="A334" s="1598" t="s">
        <v>501</v>
      </c>
      <c r="B334" s="1533">
        <f t="shared" si="185"/>
        <v>1</v>
      </c>
      <c r="C334" s="1600">
        <v>1</v>
      </c>
      <c r="D334" s="1575">
        <f t="shared" si="186"/>
        <v>1</v>
      </c>
      <c r="E334" s="1575">
        <v>1</v>
      </c>
      <c r="F334" s="1611">
        <f t="shared" si="187"/>
        <v>98.437336996604529</v>
      </c>
      <c r="G334" s="1582">
        <f t="shared" si="188"/>
        <v>98.437336996604529</v>
      </c>
      <c r="H334" s="1583">
        <f t="shared" si="189"/>
        <v>1</v>
      </c>
      <c r="I334" s="1594">
        <f t="shared" si="190"/>
        <v>98.437336996604529</v>
      </c>
      <c r="J334" s="1680" t="s">
        <v>548</v>
      </c>
      <c r="K334" s="1432" t="s">
        <v>569</v>
      </c>
      <c r="L334" s="1426">
        <v>90</v>
      </c>
      <c r="M334" s="1426">
        <v>150</v>
      </c>
      <c r="N334" s="1426">
        <v>1950</v>
      </c>
      <c r="O334" s="1425">
        <v>125</v>
      </c>
      <c r="P334" s="1425">
        <v>0.9</v>
      </c>
      <c r="Q334" s="1427">
        <v>2</v>
      </c>
      <c r="R334" s="1428">
        <v>0.28000000000000003</v>
      </c>
      <c r="S334" s="1457">
        <v>0.2</v>
      </c>
      <c r="T334" s="1624">
        <v>6.5</v>
      </c>
      <c r="U334" s="1616" t="s">
        <v>645</v>
      </c>
      <c r="V334" s="1622">
        <f>IF(E334=1,IF(U334="N",LOOKUP(T334,'HS250-DATA'!C$7:C$10,'HS250-DATA'!D$7:D$10),IF(U334="Y",LOOKUP(T334,'HS250-DATA'!C$22:C$25,'HS250-DATA'!D$22:D$25),"FAN?")),IF(U334="N",LOOKUP(T334,'HS250-DATA'!C$14:C$17,'HS250-DATA'!D$14:D$17),IF(U334="Y",LOOKUP(T334,'HS250-DATA'!C$29:C$32,'HS250-DATA'!D$29:D$32),"FAN?")))</f>
        <v>0.122</v>
      </c>
      <c r="W334" s="1602">
        <f t="shared" si="191"/>
        <v>107.97342192691025</v>
      </c>
      <c r="X334" s="1602">
        <f t="shared" si="192"/>
        <v>107.97342192691025</v>
      </c>
      <c r="Y334" s="1602">
        <f t="shared" si="193"/>
        <v>107.97342192691025</v>
      </c>
      <c r="Z334" s="1579">
        <f t="shared" si="194"/>
        <v>120</v>
      </c>
      <c r="AA334" s="1602">
        <f t="shared" si="195"/>
        <v>68.172757475083046</v>
      </c>
      <c r="AB334" s="1588">
        <v>55</v>
      </c>
      <c r="AC334" s="1570"/>
      <c r="AD334" s="1754">
        <f t="shared" si="196"/>
        <v>2E-3</v>
      </c>
      <c r="AE334" s="1634">
        <f t="shared" si="197"/>
        <v>0.9</v>
      </c>
      <c r="AF334" s="1635">
        <f t="shared" si="198"/>
        <v>-107.97342192691028</v>
      </c>
      <c r="AG334" s="1646">
        <f t="shared" si="199"/>
        <v>1.6737873754152823</v>
      </c>
      <c r="AH334" s="1741">
        <f t="shared" si="200"/>
        <v>41.35</v>
      </c>
      <c r="AI334" s="1607"/>
      <c r="AJ334" s="1733">
        <f>C334*LOOKUP(T334,'HS250-DATA'!C$7:C$10,'HS250-DATA'!F$7:F$10)</f>
        <v>16.350000000000001</v>
      </c>
      <c r="AK334" s="1733">
        <f t="shared" si="201"/>
        <v>12</v>
      </c>
      <c r="AL334" s="1733">
        <f>C334*E334*VLOOKUP(K334,'SCR-Diode DATA'!D$7:M$43,10,FALSE)</f>
        <v>13</v>
      </c>
      <c r="AM334" s="507">
        <f t="shared" si="202"/>
        <v>0.42006418765093489</v>
      </c>
    </row>
    <row r="335" spans="1:51" ht="18.75">
      <c r="A335" s="1598" t="s">
        <v>501</v>
      </c>
      <c r="B335" s="1533">
        <f t="shared" si="185"/>
        <v>1</v>
      </c>
      <c r="C335" s="1600">
        <v>1</v>
      </c>
      <c r="D335" s="1575">
        <f t="shared" si="186"/>
        <v>1</v>
      </c>
      <c r="E335" s="1575">
        <v>1</v>
      </c>
      <c r="F335" s="1611">
        <f t="shared" si="187"/>
        <v>80.594760908522161</v>
      </c>
      <c r="G335" s="1582">
        <f t="shared" si="188"/>
        <v>80.594760908522161</v>
      </c>
      <c r="H335" s="1583">
        <f t="shared" si="189"/>
        <v>1</v>
      </c>
      <c r="I335" s="1594">
        <f t="shared" si="190"/>
        <v>80.594760908522161</v>
      </c>
      <c r="J335" s="1680" t="s">
        <v>548</v>
      </c>
      <c r="K335" s="1432" t="s">
        <v>569</v>
      </c>
      <c r="L335" s="1426">
        <v>90</v>
      </c>
      <c r="M335" s="1426">
        <v>150</v>
      </c>
      <c r="N335" s="1426">
        <v>1950</v>
      </c>
      <c r="O335" s="1425">
        <v>125</v>
      </c>
      <c r="P335" s="1425">
        <v>0.9</v>
      </c>
      <c r="Q335" s="1427">
        <v>2</v>
      </c>
      <c r="R335" s="1428">
        <v>0.28000000000000003</v>
      </c>
      <c r="S335" s="1457">
        <v>0.2</v>
      </c>
      <c r="T335" s="1624">
        <v>10</v>
      </c>
      <c r="U335" s="1616" t="s">
        <v>642</v>
      </c>
      <c r="V335" s="1622">
        <f>IF(E335=1,IF(U335="N",LOOKUP(T335,'HS250-DATA'!C$7:C$10,'HS250-DATA'!D$7:D$10),IF(U335="Y",LOOKUP(T335,'HS250-DATA'!C$22:C$25,'HS250-DATA'!D$22:D$25),"FAN?")),IF(U335="N",LOOKUP(T335,'HS250-DATA'!C$14:C$17,'HS250-DATA'!D$14:D$17),IF(U335="Y",LOOKUP(T335,'HS250-DATA'!C$29:C$32,'HS250-DATA'!D$29:D$32),"FAN?")))</f>
        <v>0.28000000000000003</v>
      </c>
      <c r="W335" s="1602">
        <f t="shared" si="191"/>
        <v>85.526315789473657</v>
      </c>
      <c r="X335" s="1602">
        <f t="shared" si="192"/>
        <v>85.526315789473657</v>
      </c>
      <c r="Y335" s="1602">
        <f t="shared" si="193"/>
        <v>85.526315789473657</v>
      </c>
      <c r="Z335" s="1579">
        <f t="shared" si="194"/>
        <v>120</v>
      </c>
      <c r="AA335" s="1602">
        <f t="shared" si="195"/>
        <v>78.94736842105263</v>
      </c>
      <c r="AB335" s="1588">
        <v>55</v>
      </c>
      <c r="AC335" s="1570"/>
      <c r="AD335" s="1754">
        <f t="shared" si="196"/>
        <v>2E-3</v>
      </c>
      <c r="AE335" s="1634">
        <f t="shared" si="197"/>
        <v>0.9</v>
      </c>
      <c r="AF335" s="1635">
        <f t="shared" si="198"/>
        <v>-85.526315789473685</v>
      </c>
      <c r="AG335" s="1646">
        <f t="shared" si="199"/>
        <v>1.4942105263157894</v>
      </c>
      <c r="AH335" s="1741">
        <f t="shared" si="200"/>
        <v>32.86</v>
      </c>
      <c r="AI335" s="1607"/>
      <c r="AJ335" s="1733">
        <f>C335*LOOKUP(T335,'HS250-DATA'!C$7:C$10,'HS250-DATA'!F$7:F$10)</f>
        <v>19.86</v>
      </c>
      <c r="AK335" s="1733">
        <f t="shared" si="201"/>
        <v>0</v>
      </c>
      <c r="AL335" s="1733">
        <f>C335*E335*VLOOKUP(K335,'SCR-Diode DATA'!D$7:M$43,10,FALSE)</f>
        <v>13</v>
      </c>
      <c r="AM335" s="507">
        <f t="shared" si="202"/>
        <v>0.4077188098776946</v>
      </c>
    </row>
    <row r="336" spans="1:51" ht="18.75">
      <c r="A336" s="1598" t="s">
        <v>501</v>
      </c>
      <c r="B336" s="1533">
        <f t="shared" si="185"/>
        <v>1</v>
      </c>
      <c r="C336" s="1600">
        <v>1</v>
      </c>
      <c r="D336" s="1575">
        <f t="shared" si="186"/>
        <v>1</v>
      </c>
      <c r="E336" s="1575">
        <v>1</v>
      </c>
      <c r="F336" s="1611">
        <f t="shared" si="187"/>
        <v>99.417707191663339</v>
      </c>
      <c r="G336" s="1582">
        <f t="shared" si="188"/>
        <v>99.417707191663339</v>
      </c>
      <c r="H336" s="1583">
        <f t="shared" si="189"/>
        <v>1</v>
      </c>
      <c r="I336" s="1594">
        <f t="shared" si="190"/>
        <v>99.417707191663339</v>
      </c>
      <c r="J336" s="1680" t="s">
        <v>548</v>
      </c>
      <c r="K336" s="1432" t="s">
        <v>569</v>
      </c>
      <c r="L336" s="1426">
        <v>90</v>
      </c>
      <c r="M336" s="1426">
        <v>150</v>
      </c>
      <c r="N336" s="1426">
        <v>1950</v>
      </c>
      <c r="O336" s="1425">
        <v>125</v>
      </c>
      <c r="P336" s="1425">
        <v>0.9</v>
      </c>
      <c r="Q336" s="1427">
        <v>2</v>
      </c>
      <c r="R336" s="1428">
        <v>0.28000000000000003</v>
      </c>
      <c r="S336" s="1457">
        <v>0.2</v>
      </c>
      <c r="T336" s="1624">
        <v>10</v>
      </c>
      <c r="U336" s="1616" t="s">
        <v>645</v>
      </c>
      <c r="V336" s="1622">
        <f>IF(E336=1,IF(U336="N",LOOKUP(T336,'HS250-DATA'!C$7:C$10,'HS250-DATA'!D$7:D$10),IF(U336="Y",LOOKUP(T336,'HS250-DATA'!C$22:C$25,'HS250-DATA'!D$22:D$25),"FAN?")),IF(U336="N",LOOKUP(T336,'HS250-DATA'!C$14:C$17,'HS250-DATA'!D$14:D$17),IF(U336="Y",LOOKUP(T336,'HS250-DATA'!C$29:C$32,'HS250-DATA'!D$29:D$32),"FAN?")))</f>
        <v>0.115</v>
      </c>
      <c r="W336" s="1602">
        <f t="shared" si="191"/>
        <v>109.24369747899163</v>
      </c>
      <c r="X336" s="1602">
        <f t="shared" si="192"/>
        <v>109.24369747899163</v>
      </c>
      <c r="Y336" s="1602">
        <f t="shared" si="193"/>
        <v>109.24369747899163</v>
      </c>
      <c r="Z336" s="1579">
        <f t="shared" si="194"/>
        <v>120</v>
      </c>
      <c r="AA336" s="1602">
        <f t="shared" si="195"/>
        <v>67.563025210084035</v>
      </c>
      <c r="AB336" s="1588">
        <v>55</v>
      </c>
      <c r="AC336" s="1570"/>
      <c r="AD336" s="1754">
        <f t="shared" si="196"/>
        <v>2E-3</v>
      </c>
      <c r="AE336" s="1634">
        <f t="shared" si="197"/>
        <v>0.9</v>
      </c>
      <c r="AF336" s="1635">
        <f t="shared" si="198"/>
        <v>-109.24369747899158</v>
      </c>
      <c r="AG336" s="1646">
        <f t="shared" si="199"/>
        <v>1.6839495798319328</v>
      </c>
      <c r="AH336" s="1741">
        <f t="shared" si="200"/>
        <v>44.86</v>
      </c>
      <c r="AI336" s="1607"/>
      <c r="AJ336" s="1733">
        <f>C336*LOOKUP(T336,'HS250-DATA'!C$7:C$10,'HS250-DATA'!F$7:F$10)</f>
        <v>19.86</v>
      </c>
      <c r="AK336" s="1733">
        <f t="shared" si="201"/>
        <v>12</v>
      </c>
      <c r="AL336" s="1733">
        <f>C336*E336*VLOOKUP(K336,'SCR-Diode DATA'!D$7:M$43,10,FALSE)</f>
        <v>13</v>
      </c>
      <c r="AM336" s="507">
        <f t="shared" si="202"/>
        <v>0.45122746507839129</v>
      </c>
    </row>
    <row r="337" spans="1:39" ht="18.75">
      <c r="A337" s="1598" t="s">
        <v>501</v>
      </c>
      <c r="B337" s="1533">
        <f t="shared" si="185"/>
        <v>1</v>
      </c>
      <c r="C337" s="1600">
        <v>1</v>
      </c>
      <c r="D337" s="1575">
        <f t="shared" si="186"/>
        <v>1</v>
      </c>
      <c r="E337" s="1575">
        <v>1</v>
      </c>
      <c r="F337" s="1611">
        <f t="shared" si="187"/>
        <v>82.965399151966295</v>
      </c>
      <c r="G337" s="1582">
        <f t="shared" si="188"/>
        <v>82.965399151966295</v>
      </c>
      <c r="H337" s="1583">
        <f t="shared" si="189"/>
        <v>1</v>
      </c>
      <c r="I337" s="1594">
        <f t="shared" si="190"/>
        <v>82.965399151966295</v>
      </c>
      <c r="J337" s="1680" t="s">
        <v>548</v>
      </c>
      <c r="K337" s="1432" t="s">
        <v>569</v>
      </c>
      <c r="L337" s="1426">
        <v>90</v>
      </c>
      <c r="M337" s="1426">
        <v>150</v>
      </c>
      <c r="N337" s="1426">
        <v>1950</v>
      </c>
      <c r="O337" s="1425">
        <v>125</v>
      </c>
      <c r="P337" s="1425">
        <v>0.9</v>
      </c>
      <c r="Q337" s="1427">
        <v>2</v>
      </c>
      <c r="R337" s="1428">
        <v>0.28000000000000003</v>
      </c>
      <c r="S337" s="1457">
        <v>0.2</v>
      </c>
      <c r="T337" s="1624">
        <v>13</v>
      </c>
      <c r="U337" s="1616" t="s">
        <v>642</v>
      </c>
      <c r="V337" s="1622">
        <f>IF(E337=1,IF(U337="N",LOOKUP(T337,'HS250-DATA'!C$7:C$10,'HS250-DATA'!D$7:D$10),IF(U337="Y",LOOKUP(T337,'HS250-DATA'!C$22:C$25,'HS250-DATA'!D$22:D$25),"FAN?")),IF(U337="N",LOOKUP(T337,'HS250-DATA'!C$14:C$17,'HS250-DATA'!D$14:D$17),IF(U337="Y",LOOKUP(T337,'HS250-DATA'!C$29:C$32,'HS250-DATA'!D$29:D$32),"FAN?")))</f>
        <v>0.255</v>
      </c>
      <c r="W337" s="1602">
        <f t="shared" si="191"/>
        <v>88.43537414965985</v>
      </c>
      <c r="X337" s="1602">
        <f t="shared" si="192"/>
        <v>88.43537414965985</v>
      </c>
      <c r="Y337" s="1602">
        <f t="shared" si="193"/>
        <v>88.43537414965985</v>
      </c>
      <c r="Z337" s="1579">
        <f t="shared" si="194"/>
        <v>120</v>
      </c>
      <c r="AA337" s="1602">
        <f t="shared" si="195"/>
        <v>77.551020408163254</v>
      </c>
      <c r="AB337" s="1588">
        <v>55</v>
      </c>
      <c r="AC337" s="1570"/>
      <c r="AD337" s="1754">
        <f t="shared" si="196"/>
        <v>2E-3</v>
      </c>
      <c r="AE337" s="1634">
        <f t="shared" si="197"/>
        <v>0.9</v>
      </c>
      <c r="AF337" s="1635">
        <f t="shared" si="198"/>
        <v>-88.43537414965985</v>
      </c>
      <c r="AG337" s="1646">
        <f t="shared" si="199"/>
        <v>1.5174829931972789</v>
      </c>
      <c r="AH337" s="1741">
        <f t="shared" si="200"/>
        <v>37.549999999999997</v>
      </c>
      <c r="AI337" s="1607"/>
      <c r="AJ337" s="1733">
        <f>C337*LOOKUP(T337,'HS250-DATA'!C$7:C$10,'HS250-DATA'!F$7:F$10)</f>
        <v>24.55</v>
      </c>
      <c r="AK337" s="1733">
        <f t="shared" si="201"/>
        <v>0</v>
      </c>
      <c r="AL337" s="1733">
        <f>C337*E337*VLOOKUP(K337,'SCR-Diode DATA'!D$7:M$43,10,FALSE)</f>
        <v>13</v>
      </c>
      <c r="AM337" s="507">
        <f t="shared" si="202"/>
        <v>0.4525983166936895</v>
      </c>
    </row>
    <row r="338" spans="1:39" ht="18.75">
      <c r="A338" s="1598" t="s">
        <v>501</v>
      </c>
      <c r="B338" s="1533">
        <f t="shared" si="185"/>
        <v>1</v>
      </c>
      <c r="C338" s="1600">
        <v>1</v>
      </c>
      <c r="D338" s="1575">
        <f t="shared" si="186"/>
        <v>1</v>
      </c>
      <c r="E338" s="1575">
        <v>1</v>
      </c>
      <c r="F338" s="1611">
        <f t="shared" si="187"/>
        <v>100.13035195550698</v>
      </c>
      <c r="G338" s="1582">
        <f t="shared" si="188"/>
        <v>100.13035195550698</v>
      </c>
      <c r="H338" s="1583">
        <f t="shared" si="189"/>
        <v>1</v>
      </c>
      <c r="I338" s="1594">
        <f t="shared" si="190"/>
        <v>100.13035195550698</v>
      </c>
      <c r="J338" s="1680" t="s">
        <v>548</v>
      </c>
      <c r="K338" s="1432" t="s">
        <v>569</v>
      </c>
      <c r="L338" s="1426">
        <v>90</v>
      </c>
      <c r="M338" s="1426">
        <v>150</v>
      </c>
      <c r="N338" s="1426">
        <v>1950</v>
      </c>
      <c r="O338" s="1425">
        <v>125</v>
      </c>
      <c r="P338" s="1425">
        <v>0.9</v>
      </c>
      <c r="Q338" s="1427">
        <v>2</v>
      </c>
      <c r="R338" s="1428">
        <v>0.28000000000000003</v>
      </c>
      <c r="S338" s="1457">
        <v>0.2</v>
      </c>
      <c r="T338" s="1624">
        <v>13</v>
      </c>
      <c r="U338" s="1616" t="s">
        <v>645</v>
      </c>
      <c r="V338" s="1622">
        <f>IF(E338=1,IF(U338="N",LOOKUP(T338,'HS250-DATA'!C$7:C$10,'HS250-DATA'!D$7:D$10),IF(U338="Y",LOOKUP(T338,'HS250-DATA'!C$22:C$25,'HS250-DATA'!D$22:D$25),"FAN?")),IF(U338="N",LOOKUP(T338,'HS250-DATA'!C$14:C$17,'HS250-DATA'!D$14:D$17),IF(U338="Y",LOOKUP(T338,'HS250-DATA'!C$29:C$32,'HS250-DATA'!D$29:D$32),"FAN?")))</f>
        <v>0.11</v>
      </c>
      <c r="W338" s="1602">
        <f t="shared" si="191"/>
        <v>110.16949152542368</v>
      </c>
      <c r="X338" s="1602">
        <f t="shared" si="192"/>
        <v>110.16949152542368</v>
      </c>
      <c r="Y338" s="1602">
        <f t="shared" si="193"/>
        <v>110.16949152542368</v>
      </c>
      <c r="Z338" s="1579">
        <f t="shared" si="194"/>
        <v>120</v>
      </c>
      <c r="AA338" s="1602">
        <f t="shared" si="195"/>
        <v>67.118644067796609</v>
      </c>
      <c r="AB338" s="1588">
        <v>55</v>
      </c>
      <c r="AC338" s="1570"/>
      <c r="AD338" s="1754">
        <f t="shared" si="196"/>
        <v>2E-3</v>
      </c>
      <c r="AE338" s="1634">
        <f t="shared" si="197"/>
        <v>0.9</v>
      </c>
      <c r="AF338" s="1635">
        <f t="shared" si="198"/>
        <v>-110.16949152542371</v>
      </c>
      <c r="AG338" s="1646">
        <f t="shared" si="199"/>
        <v>1.6913559322033898</v>
      </c>
      <c r="AH338" s="1741">
        <f t="shared" si="200"/>
        <v>49.55</v>
      </c>
      <c r="AI338" s="1607"/>
      <c r="AJ338" s="1733">
        <f>C338*LOOKUP(T338,'HS250-DATA'!C$7:C$10,'HS250-DATA'!F$7:F$10)</f>
        <v>24.55</v>
      </c>
      <c r="AK338" s="1733">
        <f t="shared" si="201"/>
        <v>12</v>
      </c>
      <c r="AL338" s="1733">
        <f>C338*E338*VLOOKUP(K338,'SCR-Diode DATA'!D$7:M$43,10,FALSE)</f>
        <v>13</v>
      </c>
      <c r="AM338" s="507">
        <f t="shared" si="202"/>
        <v>0.49485494689979304</v>
      </c>
    </row>
    <row r="339" spans="1:39" ht="18.75">
      <c r="A339" s="1598" t="s">
        <v>501</v>
      </c>
      <c r="B339" s="1533">
        <f t="shared" si="185"/>
        <v>1</v>
      </c>
      <c r="C339" s="1600">
        <v>1</v>
      </c>
      <c r="D339" s="1575">
        <f t="shared" si="186"/>
        <v>1</v>
      </c>
      <c r="E339" s="1575">
        <v>1</v>
      </c>
      <c r="F339" s="1611">
        <f t="shared" si="187"/>
        <v>83.456719727752841</v>
      </c>
      <c r="G339" s="1582">
        <f t="shared" si="188"/>
        <v>83.456719727752841</v>
      </c>
      <c r="H339" s="1583">
        <f t="shared" si="189"/>
        <v>1</v>
      </c>
      <c r="I339" s="1594">
        <f t="shared" si="190"/>
        <v>83.456719727752841</v>
      </c>
      <c r="J339" s="1680" t="s">
        <v>548</v>
      </c>
      <c r="K339" s="1432" t="s">
        <v>569</v>
      </c>
      <c r="L339" s="1426">
        <v>90</v>
      </c>
      <c r="M339" s="1426">
        <v>150</v>
      </c>
      <c r="N339" s="1426">
        <v>1950</v>
      </c>
      <c r="O339" s="1425">
        <v>125</v>
      </c>
      <c r="P339" s="1425">
        <v>0.9</v>
      </c>
      <c r="Q339" s="1427">
        <v>2</v>
      </c>
      <c r="R339" s="1428">
        <v>0.28000000000000003</v>
      </c>
      <c r="S339" s="1457">
        <v>0.2</v>
      </c>
      <c r="T339" s="1624">
        <v>15</v>
      </c>
      <c r="U339" s="1616" t="s">
        <v>642</v>
      </c>
      <c r="V339" s="1622">
        <f>IF(E339=1,IF(U339="N",LOOKUP(T339,'HS250-DATA'!C$7:C$10,'HS250-DATA'!D$7:D$10),IF(U339="Y",LOOKUP(T339,'HS250-DATA'!C$22:C$25,'HS250-DATA'!D$22:D$25),"FAN?")),IF(U339="N",LOOKUP(T339,'HS250-DATA'!C$14:C$17,'HS250-DATA'!D$14:D$17),IF(U339="Y",LOOKUP(T339,'HS250-DATA'!C$29:C$32,'HS250-DATA'!D$29:D$32),"FAN?")))</f>
        <v>0.25</v>
      </c>
      <c r="W339" s="1602">
        <f t="shared" si="191"/>
        <v>89.041095890410944</v>
      </c>
      <c r="X339" s="1602">
        <f t="shared" si="192"/>
        <v>89.041095890410944</v>
      </c>
      <c r="Y339" s="1602">
        <f t="shared" si="193"/>
        <v>89.041095890410944</v>
      </c>
      <c r="Z339" s="1579">
        <f t="shared" si="194"/>
        <v>120</v>
      </c>
      <c r="AA339" s="1602">
        <f t="shared" si="195"/>
        <v>77.260273972602732</v>
      </c>
      <c r="AB339" s="1588">
        <v>55</v>
      </c>
      <c r="AC339" s="1570"/>
      <c r="AD339" s="1754">
        <f t="shared" si="196"/>
        <v>2E-3</v>
      </c>
      <c r="AE339" s="1634">
        <f t="shared" si="197"/>
        <v>0.9</v>
      </c>
      <c r="AF339" s="1635">
        <f t="shared" si="198"/>
        <v>-89.041095890410958</v>
      </c>
      <c r="AG339" s="1646">
        <f t="shared" si="199"/>
        <v>1.5223287671232877</v>
      </c>
      <c r="AH339" s="1741">
        <f t="shared" si="200"/>
        <v>41.260000000000005</v>
      </c>
      <c r="AI339" s="1607"/>
      <c r="AJ339" s="1733">
        <f>C339*LOOKUP(T339,'HS250-DATA'!C$7:C$10,'HS250-DATA'!F$7:F$10)</f>
        <v>28.26</v>
      </c>
      <c r="AK339" s="1733">
        <f t="shared" si="201"/>
        <v>0</v>
      </c>
      <c r="AL339" s="1733">
        <f>C339*E339*VLOOKUP(K339,'SCR-Diode DATA'!D$7:M$43,10,FALSE)</f>
        <v>13</v>
      </c>
      <c r="AM339" s="507">
        <f t="shared" si="202"/>
        <v>0.49438799098018388</v>
      </c>
    </row>
    <row r="340" spans="1:39" ht="18.75">
      <c r="A340" s="1598" t="s">
        <v>501</v>
      </c>
      <c r="B340" s="1533">
        <f t="shared" si="185"/>
        <v>1</v>
      </c>
      <c r="C340" s="1600">
        <v>1</v>
      </c>
      <c r="D340" s="1575">
        <f t="shared" si="186"/>
        <v>1</v>
      </c>
      <c r="E340" s="1575">
        <v>1</v>
      </c>
      <c r="F340" s="1611">
        <f t="shared" si="187"/>
        <v>100.70807612529705</v>
      </c>
      <c r="G340" s="1582">
        <f t="shared" si="188"/>
        <v>100.70807612529705</v>
      </c>
      <c r="H340" s="1583">
        <f t="shared" si="189"/>
        <v>1</v>
      </c>
      <c r="I340" s="1594">
        <f t="shared" si="190"/>
        <v>100.70807612529705</v>
      </c>
      <c r="J340" s="1680" t="s">
        <v>548</v>
      </c>
      <c r="K340" s="1432" t="s">
        <v>569</v>
      </c>
      <c r="L340" s="1426">
        <v>90</v>
      </c>
      <c r="M340" s="1426">
        <v>150</v>
      </c>
      <c r="N340" s="1426">
        <v>1950</v>
      </c>
      <c r="O340" s="1425">
        <v>125</v>
      </c>
      <c r="P340" s="1425">
        <v>0.9</v>
      </c>
      <c r="Q340" s="1427">
        <v>2</v>
      </c>
      <c r="R340" s="1428">
        <v>0.28000000000000003</v>
      </c>
      <c r="S340" s="1457">
        <v>0.2</v>
      </c>
      <c r="T340" s="1624">
        <v>15</v>
      </c>
      <c r="U340" s="1616" t="s">
        <v>645</v>
      </c>
      <c r="V340" s="1622">
        <f>IF(E340=1,IF(U340="N",LOOKUP(T340,'HS250-DATA'!C$7:C$10,'HS250-DATA'!D$7:D$10),IF(U340="Y",LOOKUP(T340,'HS250-DATA'!C$22:C$25,'HS250-DATA'!D$22:D$25),"FAN?")),IF(U340="N",LOOKUP(T340,'HS250-DATA'!C$14:C$17,'HS250-DATA'!D$14:D$17),IF(U340="Y",LOOKUP(T340,'HS250-DATA'!C$29:C$32,'HS250-DATA'!D$29:D$32),"FAN?")))</f>
        <v>0.106</v>
      </c>
      <c r="W340" s="1602">
        <f t="shared" si="191"/>
        <v>110.92150170648461</v>
      </c>
      <c r="X340" s="1602">
        <f t="shared" si="192"/>
        <v>110.92150170648461</v>
      </c>
      <c r="Y340" s="1602">
        <f t="shared" si="193"/>
        <v>110.92150170648461</v>
      </c>
      <c r="Z340" s="1579">
        <f t="shared" si="194"/>
        <v>120</v>
      </c>
      <c r="AA340" s="1602">
        <f t="shared" si="195"/>
        <v>66.757679180887365</v>
      </c>
      <c r="AB340" s="1588">
        <v>55</v>
      </c>
      <c r="AC340" s="1570"/>
      <c r="AD340" s="1754">
        <f t="shared" si="196"/>
        <v>2E-3</v>
      </c>
      <c r="AE340" s="1634">
        <f t="shared" si="197"/>
        <v>0.9</v>
      </c>
      <c r="AF340" s="1635">
        <f t="shared" si="198"/>
        <v>-110.92150170648463</v>
      </c>
      <c r="AG340" s="1646">
        <f t="shared" si="199"/>
        <v>1.6973720136518771</v>
      </c>
      <c r="AH340" s="1741">
        <f t="shared" si="200"/>
        <v>53.260000000000005</v>
      </c>
      <c r="AI340" s="1607"/>
      <c r="AJ340" s="1733">
        <f>C340*LOOKUP(T340,'HS250-DATA'!C$7:C$10,'HS250-DATA'!F$7:F$10)</f>
        <v>28.26</v>
      </c>
      <c r="AK340" s="1733">
        <f t="shared" si="201"/>
        <v>12</v>
      </c>
      <c r="AL340" s="1733">
        <f>C340*E340*VLOOKUP(K340,'SCR-Diode DATA'!D$7:M$43,10,FALSE)</f>
        <v>13</v>
      </c>
      <c r="AM340" s="507">
        <f t="shared" si="202"/>
        <v>0.52885530187009022</v>
      </c>
    </row>
    <row r="341" spans="1:39" ht="18.75">
      <c r="A341" s="1598" t="s">
        <v>501</v>
      </c>
      <c r="B341" s="1533">
        <f t="shared" si="185"/>
        <v>1</v>
      </c>
      <c r="C341" s="1600">
        <v>1</v>
      </c>
      <c r="D341" s="1575">
        <f t="shared" si="186"/>
        <v>1</v>
      </c>
      <c r="E341" s="1575">
        <v>1</v>
      </c>
      <c r="F341" s="1611">
        <f t="shared" si="187"/>
        <v>136.74720711953495</v>
      </c>
      <c r="G341" s="1582">
        <f t="shared" si="188"/>
        <v>136.74720711953495</v>
      </c>
      <c r="H341" s="1583">
        <f t="shared" si="189"/>
        <v>1</v>
      </c>
      <c r="I341" s="1594">
        <f t="shared" si="190"/>
        <v>136.74720711953495</v>
      </c>
      <c r="J341" s="1680" t="s">
        <v>548</v>
      </c>
      <c r="K341" s="1432" t="s">
        <v>505</v>
      </c>
      <c r="L341" s="1426">
        <v>160</v>
      </c>
      <c r="M341" s="1426">
        <v>250</v>
      </c>
      <c r="N341" s="1426">
        <v>3350</v>
      </c>
      <c r="O341" s="1425">
        <v>150</v>
      </c>
      <c r="P341" s="1425">
        <v>0.85</v>
      </c>
      <c r="Q341" s="1427">
        <v>1.2</v>
      </c>
      <c r="R341" s="1428">
        <v>0.18</v>
      </c>
      <c r="S341" s="1457">
        <v>0.1</v>
      </c>
      <c r="T341" s="1624">
        <v>6.5</v>
      </c>
      <c r="U341" s="1616" t="s">
        <v>642</v>
      </c>
      <c r="V341" s="1622">
        <f>IF(E341=1,IF(U341="N",LOOKUP(T341,'HS250-DATA'!C$7:C$10,'HS250-DATA'!D$7:D$10),IF(U341="Y",LOOKUP(T341,'HS250-DATA'!C$22:C$25,'HS250-DATA'!D$22:D$25),"FAN?")),IF(U341="N",LOOKUP(T341,'HS250-DATA'!C$14:C$17,'HS250-DATA'!D$14:D$17),IF(U341="Y",LOOKUP(T341,'HS250-DATA'!C$29:C$32,'HS250-DATA'!D$29:D$32),"FAN?")))</f>
        <v>0.36899999999999999</v>
      </c>
      <c r="W341" s="1602">
        <f t="shared" si="191"/>
        <v>138.67488443759629</v>
      </c>
      <c r="X341" s="1602">
        <f t="shared" si="192"/>
        <v>138.67488443759629</v>
      </c>
      <c r="Y341" s="1602">
        <f t="shared" si="193"/>
        <v>138.67488443759629</v>
      </c>
      <c r="Z341" s="1579">
        <f t="shared" si="194"/>
        <v>145</v>
      </c>
      <c r="AA341" s="1602">
        <f t="shared" si="195"/>
        <v>106.17103235747302</v>
      </c>
      <c r="AB341" s="1588">
        <v>55</v>
      </c>
      <c r="AC341" s="1570"/>
      <c r="AD341" s="1754">
        <f t="shared" si="196"/>
        <v>1.1999999999999999E-3</v>
      </c>
      <c r="AE341" s="1634">
        <f t="shared" si="197"/>
        <v>0.85</v>
      </c>
      <c r="AF341" s="1635">
        <f t="shared" si="198"/>
        <v>-138.67488443759629</v>
      </c>
      <c r="AG341" s="1646">
        <f t="shared" si="199"/>
        <v>1.3881394453004621</v>
      </c>
      <c r="AH341" s="1741">
        <f t="shared" si="200"/>
        <v>46.35</v>
      </c>
      <c r="AI341" s="1607"/>
      <c r="AJ341" s="1733">
        <f>C341*LOOKUP(T341,'HS250-DATA'!C$7:C$10,'HS250-DATA'!F$7:F$10)</f>
        <v>16.350000000000001</v>
      </c>
      <c r="AK341" s="1733">
        <f t="shared" ref="AK341:AK353" si="203">IF(U341="Y",C341*12,0)</f>
        <v>0</v>
      </c>
      <c r="AL341" s="1733">
        <f>C341*E341*VLOOKUP(K341,'SCR-Diode DATA'!D$7:M$43,10,FALSE)</f>
        <v>30</v>
      </c>
      <c r="AM341" s="507">
        <f t="shared" si="202"/>
        <v>0.33894659332591737</v>
      </c>
    </row>
    <row r="342" spans="1:39" ht="18.75">
      <c r="A342" s="1598" t="s">
        <v>501</v>
      </c>
      <c r="B342" s="1533">
        <f t="shared" si="185"/>
        <v>1</v>
      </c>
      <c r="C342" s="1600">
        <v>1</v>
      </c>
      <c r="D342" s="1575">
        <f t="shared" si="186"/>
        <v>1</v>
      </c>
      <c r="E342" s="1575">
        <v>1</v>
      </c>
      <c r="F342" s="1611">
        <f t="shared" si="187"/>
        <v>204.40400205563765</v>
      </c>
      <c r="G342" s="1582">
        <f t="shared" si="188"/>
        <v>204.40400205563765</v>
      </c>
      <c r="H342" s="1583">
        <f t="shared" si="189"/>
        <v>1</v>
      </c>
      <c r="I342" s="1594">
        <f t="shared" si="190"/>
        <v>204.40400205563765</v>
      </c>
      <c r="J342" s="1680" t="s">
        <v>548</v>
      </c>
      <c r="K342" s="1432" t="s">
        <v>505</v>
      </c>
      <c r="L342" s="1426">
        <v>160</v>
      </c>
      <c r="M342" s="1426">
        <v>250</v>
      </c>
      <c r="N342" s="1426">
        <v>3350</v>
      </c>
      <c r="O342" s="1425">
        <v>150</v>
      </c>
      <c r="P342" s="1425">
        <v>0.85</v>
      </c>
      <c r="Q342" s="1427">
        <v>1.2</v>
      </c>
      <c r="R342" s="1428">
        <v>0.18</v>
      </c>
      <c r="S342" s="1457">
        <v>0.1</v>
      </c>
      <c r="T342" s="1624">
        <v>6.5</v>
      </c>
      <c r="U342" s="1616" t="s">
        <v>645</v>
      </c>
      <c r="V342" s="1622">
        <f>IF(E342=1,IF(U342="N",LOOKUP(T342,'HS250-DATA'!C$7:C$10,'HS250-DATA'!D$7:D$10),IF(U342="Y",LOOKUP(T342,'HS250-DATA'!C$22:C$25,'HS250-DATA'!D$22:D$25),"FAN?")),IF(U342="N",LOOKUP(T342,'HS250-DATA'!C$14:C$17,'HS250-DATA'!D$14:D$17),IF(U342="Y",LOOKUP(T342,'HS250-DATA'!C$29:C$32,'HS250-DATA'!D$29:D$32),"FAN?")))</f>
        <v>0.122</v>
      </c>
      <c r="W342" s="1602">
        <f t="shared" si="191"/>
        <v>223.88059701492531</v>
      </c>
      <c r="X342" s="1602">
        <f t="shared" si="192"/>
        <v>223.88059701492531</v>
      </c>
      <c r="Y342" s="1602">
        <f t="shared" si="193"/>
        <v>223.88059701492531</v>
      </c>
      <c r="Z342" s="1579">
        <f t="shared" si="194"/>
        <v>145</v>
      </c>
      <c r="AA342" s="1602">
        <f t="shared" si="195"/>
        <v>82.31343283582089</v>
      </c>
      <c r="AB342" s="1588">
        <v>55</v>
      </c>
      <c r="AC342" s="1570"/>
      <c r="AD342" s="1754">
        <f t="shared" si="196"/>
        <v>1.1999999999999999E-3</v>
      </c>
      <c r="AE342" s="1634">
        <f t="shared" si="197"/>
        <v>0.85</v>
      </c>
      <c r="AF342" s="1635">
        <f t="shared" si="198"/>
        <v>-223.88059701492537</v>
      </c>
      <c r="AG342" s="1646">
        <f t="shared" si="199"/>
        <v>1.7971268656716417</v>
      </c>
      <c r="AH342" s="1741">
        <f t="shared" si="200"/>
        <v>58.35</v>
      </c>
      <c r="AI342" s="1607"/>
      <c r="AJ342" s="1733">
        <f>C342*LOOKUP(T342,'HS250-DATA'!C$7:C$10,'HS250-DATA'!F$7:F$10)</f>
        <v>16.350000000000001</v>
      </c>
      <c r="AK342" s="1733">
        <f>IF(U342="Y",C342*12,0)</f>
        <v>12</v>
      </c>
      <c r="AL342" s="1733">
        <f>C342*E342*VLOOKUP(K342,'SCR-Diode DATA'!D$7:M$43,10,FALSE)</f>
        <v>30</v>
      </c>
      <c r="AM342" s="507">
        <f t="shared" si="202"/>
        <v>0.28546407806691304</v>
      </c>
    </row>
    <row r="343" spans="1:39" ht="18.75">
      <c r="A343" s="1598" t="s">
        <v>501</v>
      </c>
      <c r="B343" s="1533">
        <f t="shared" si="185"/>
        <v>1</v>
      </c>
      <c r="C343" s="1600">
        <v>1</v>
      </c>
      <c r="D343" s="1575">
        <f t="shared" si="186"/>
        <v>1</v>
      </c>
      <c r="E343" s="1575">
        <v>1</v>
      </c>
      <c r="F343" s="1611">
        <f t="shared" si="187"/>
        <v>207.35576877050869</v>
      </c>
      <c r="G343" s="1582">
        <f t="shared" si="188"/>
        <v>207.35576877050869</v>
      </c>
      <c r="H343" s="1583">
        <f t="shared" si="189"/>
        <v>1</v>
      </c>
      <c r="I343" s="1594">
        <f t="shared" si="190"/>
        <v>207.35576877050869</v>
      </c>
      <c r="J343" s="1680" t="s">
        <v>548</v>
      </c>
      <c r="K343" s="1432" t="s">
        <v>505</v>
      </c>
      <c r="L343" s="1426">
        <v>160</v>
      </c>
      <c r="M343" s="1426">
        <v>250</v>
      </c>
      <c r="N343" s="1426">
        <v>3350</v>
      </c>
      <c r="O343" s="1425">
        <v>150</v>
      </c>
      <c r="P343" s="1425">
        <v>0.85</v>
      </c>
      <c r="Q343" s="1427">
        <v>1.2</v>
      </c>
      <c r="R343" s="1428">
        <v>0.18</v>
      </c>
      <c r="S343" s="1457">
        <v>0.1</v>
      </c>
      <c r="T343" s="1624">
        <v>10</v>
      </c>
      <c r="U343" s="1616" t="s">
        <v>681</v>
      </c>
      <c r="V343" s="1622">
        <f>IF(E343=1,IF(U343="N",LOOKUP(T343,'HS250-DATA'!C$7:C$10,'HS250-DATA'!D$7:D$10),IF(U343="Y",LOOKUP(T343,'HS250-DATA'!C$22:C$25,'HS250-DATA'!D$22:D$25),"FAN?")),IF(U343="N",LOOKUP(T343,'HS250-DATA'!C$14:C$17,'HS250-DATA'!D$14:D$17),IF(U343="Y",LOOKUP(T343,'HS250-DATA'!C$29:C$32,'HS250-DATA'!D$29:D$32),"FAN?")))</f>
        <v>0.115</v>
      </c>
      <c r="W343" s="1602">
        <f t="shared" si="191"/>
        <v>227.84810126582278</v>
      </c>
      <c r="X343" s="1602">
        <f t="shared" si="192"/>
        <v>227.84810126582278</v>
      </c>
      <c r="Y343" s="1602">
        <f t="shared" si="193"/>
        <v>227.84810126582278</v>
      </c>
      <c r="Z343" s="1579">
        <f t="shared" si="194"/>
        <v>145</v>
      </c>
      <c r="AA343" s="1602">
        <f t="shared" si="195"/>
        <v>81.202531645569621</v>
      </c>
      <c r="AB343" s="1588">
        <v>55</v>
      </c>
      <c r="AC343" s="1570"/>
      <c r="AD343" s="1754">
        <f t="shared" si="196"/>
        <v>1.1999999999999999E-3</v>
      </c>
      <c r="AE343" s="1634">
        <f t="shared" si="197"/>
        <v>0.85</v>
      </c>
      <c r="AF343" s="1635">
        <f t="shared" si="198"/>
        <v>-227.84810126582278</v>
      </c>
      <c r="AG343" s="1646">
        <f t="shared" si="199"/>
        <v>1.8161708860759491</v>
      </c>
      <c r="AH343" s="1741">
        <f t="shared" si="200"/>
        <v>61.86</v>
      </c>
      <c r="AI343" s="1607"/>
      <c r="AJ343" s="1733">
        <f>C343*LOOKUP(T343,'HS250-DATA'!C$7:C$10,'HS250-DATA'!F$7:F$10)</f>
        <v>19.86</v>
      </c>
      <c r="AK343" s="1733">
        <f>IF(U343="Y",C343*12,0)</f>
        <v>12</v>
      </c>
      <c r="AL343" s="1733">
        <f>C343*E343*VLOOKUP(K343,'SCR-Diode DATA'!D$7:M$43,10,FALSE)</f>
        <v>30</v>
      </c>
      <c r="AM343" s="507">
        <f t="shared" si="202"/>
        <v>0.29832784670902329</v>
      </c>
    </row>
    <row r="344" spans="1:39" ht="18.75">
      <c r="A344" s="1598" t="s">
        <v>501</v>
      </c>
      <c r="B344" s="1533">
        <f t="shared" si="185"/>
        <v>1</v>
      </c>
      <c r="C344" s="1600">
        <v>1</v>
      </c>
      <c r="D344" s="1575">
        <f t="shared" si="186"/>
        <v>1</v>
      </c>
      <c r="E344" s="1575">
        <v>1</v>
      </c>
      <c r="F344" s="1611">
        <f t="shared" si="187"/>
        <v>161.21760129814834</v>
      </c>
      <c r="G344" s="1582">
        <f t="shared" si="188"/>
        <v>161.21760129814834</v>
      </c>
      <c r="H344" s="1583">
        <f t="shared" si="189"/>
        <v>1</v>
      </c>
      <c r="I344" s="1594">
        <f t="shared" si="190"/>
        <v>161.21760129814834</v>
      </c>
      <c r="J344" s="1680" t="s">
        <v>548</v>
      </c>
      <c r="K344" s="1432" t="s">
        <v>505</v>
      </c>
      <c r="L344" s="1426">
        <v>160</v>
      </c>
      <c r="M344" s="1426">
        <v>250</v>
      </c>
      <c r="N344" s="1426">
        <v>3350</v>
      </c>
      <c r="O344" s="1425">
        <v>150</v>
      </c>
      <c r="P344" s="1425">
        <v>0.85</v>
      </c>
      <c r="Q344" s="1427">
        <v>1.2</v>
      </c>
      <c r="R344" s="1428">
        <v>0.18</v>
      </c>
      <c r="S344" s="1457">
        <v>0.1</v>
      </c>
      <c r="T344" s="1624">
        <v>13</v>
      </c>
      <c r="U344" s="1616" t="s">
        <v>642</v>
      </c>
      <c r="V344" s="1622">
        <f>IF(E344=1,IF(U344="N",LOOKUP(T344,'HS250-DATA'!C$7:C$10,'HS250-DATA'!D$7:D$10),IF(U344="Y",LOOKUP(T344,'HS250-DATA'!C$22:C$25,'HS250-DATA'!D$22:D$25),"FAN?")),IF(U344="N",LOOKUP(T344,'HS250-DATA'!C$14:C$17,'HS250-DATA'!D$14:D$17),IF(U344="Y",LOOKUP(T344,'HS250-DATA'!C$29:C$32,'HS250-DATA'!D$29:D$32),"FAN?")))</f>
        <v>0.255</v>
      </c>
      <c r="W344" s="1602">
        <f t="shared" si="191"/>
        <v>168.22429906542052</v>
      </c>
      <c r="X344" s="1602">
        <f t="shared" si="192"/>
        <v>168.22429906542052</v>
      </c>
      <c r="Y344" s="1602">
        <f t="shared" si="193"/>
        <v>168.22429906542052</v>
      </c>
      <c r="Z344" s="1579">
        <f t="shared" si="194"/>
        <v>145</v>
      </c>
      <c r="AA344" s="1602">
        <f t="shared" si="195"/>
        <v>97.89719626168224</v>
      </c>
      <c r="AB344" s="1588">
        <v>55</v>
      </c>
      <c r="AC344" s="1570"/>
      <c r="AD344" s="1754">
        <f t="shared" si="196"/>
        <v>1.1999999999999999E-3</v>
      </c>
      <c r="AE344" s="1634">
        <f t="shared" si="197"/>
        <v>0.85</v>
      </c>
      <c r="AF344" s="1635">
        <f t="shared" si="198"/>
        <v>-168.22429906542055</v>
      </c>
      <c r="AG344" s="1646">
        <f t="shared" si="199"/>
        <v>1.5299766355140185</v>
      </c>
      <c r="AH344" s="1741">
        <f t="shared" si="200"/>
        <v>54.55</v>
      </c>
      <c r="AI344" s="1607"/>
      <c r="AJ344" s="1733">
        <f>C344*LOOKUP(T344,'HS250-DATA'!C$7:C$10,'HS250-DATA'!F$7:F$10)</f>
        <v>24.55</v>
      </c>
      <c r="AK344" s="1733">
        <f>IF(U344="Y",C344*12,0)</f>
        <v>0</v>
      </c>
      <c r="AL344" s="1733">
        <f>C344*E344*VLOOKUP(K344,'SCR-Diode DATA'!D$7:M$43,10,FALSE)</f>
        <v>30</v>
      </c>
      <c r="AM344" s="507">
        <f t="shared" si="202"/>
        <v>0.33836255818691757</v>
      </c>
    </row>
    <row r="345" spans="1:39" ht="18.75">
      <c r="A345" s="1598" t="s">
        <v>501</v>
      </c>
      <c r="B345" s="1533">
        <f t="shared" si="185"/>
        <v>1</v>
      </c>
      <c r="C345" s="1600">
        <v>1</v>
      </c>
      <c r="D345" s="1575">
        <f t="shared" si="186"/>
        <v>1</v>
      </c>
      <c r="E345" s="1575">
        <v>1</v>
      </c>
      <c r="F345" s="1611">
        <f t="shared" si="187"/>
        <v>211.2840791215875</v>
      </c>
      <c r="G345" s="1582">
        <f t="shared" si="188"/>
        <v>211.2840791215875</v>
      </c>
      <c r="H345" s="1583">
        <f t="shared" si="189"/>
        <v>1</v>
      </c>
      <c r="I345" s="1594">
        <f t="shared" si="190"/>
        <v>211.2840791215875</v>
      </c>
      <c r="J345" s="1680" t="s">
        <v>548</v>
      </c>
      <c r="K345" s="1432" t="s">
        <v>505</v>
      </c>
      <c r="L345" s="1426">
        <v>160</v>
      </c>
      <c r="M345" s="1426">
        <v>250</v>
      </c>
      <c r="N345" s="1426">
        <v>3350</v>
      </c>
      <c r="O345" s="1425">
        <v>150</v>
      </c>
      <c r="P345" s="1425">
        <v>0.85</v>
      </c>
      <c r="Q345" s="1427">
        <v>1.2</v>
      </c>
      <c r="R345" s="1428">
        <v>0.18</v>
      </c>
      <c r="S345" s="1457">
        <v>0.1</v>
      </c>
      <c r="T345" s="1624">
        <v>15</v>
      </c>
      <c r="U345" s="1616" t="s">
        <v>681</v>
      </c>
      <c r="V345" s="1622">
        <f>IF(E345=1,IF(U345="N",LOOKUP(T345,'HS250-DATA'!C$7:C$10,'HS250-DATA'!D$7:D$10),IF(U345="Y",LOOKUP(T345,'HS250-DATA'!C$22:C$25,'HS250-DATA'!D$22:D$25),"FAN?")),IF(U345="N",LOOKUP(T345,'HS250-DATA'!C$14:C$17,'HS250-DATA'!D$14:D$17),IF(U345="Y",LOOKUP(T345,'HS250-DATA'!C$29:C$32,'HS250-DATA'!D$29:D$32),"FAN?")))</f>
        <v>0.106</v>
      </c>
      <c r="W345" s="1602">
        <f t="shared" si="191"/>
        <v>233.16062176165806</v>
      </c>
      <c r="X345" s="1602">
        <f t="shared" si="192"/>
        <v>233.16062176165806</v>
      </c>
      <c r="Y345" s="1602">
        <f t="shared" si="193"/>
        <v>233.16062176165806</v>
      </c>
      <c r="Z345" s="1579">
        <f t="shared" si="194"/>
        <v>145</v>
      </c>
      <c r="AA345" s="1602">
        <f t="shared" si="195"/>
        <v>79.715025906735747</v>
      </c>
      <c r="AB345" s="1588">
        <v>55</v>
      </c>
      <c r="AC345" s="1570"/>
      <c r="AD345" s="1754">
        <f t="shared" si="196"/>
        <v>1.1999999999999999E-3</v>
      </c>
      <c r="AE345" s="1634">
        <f t="shared" si="197"/>
        <v>0.85</v>
      </c>
      <c r="AF345" s="1635">
        <f t="shared" si="198"/>
        <v>-233.16062176165804</v>
      </c>
      <c r="AG345" s="1646">
        <f t="shared" si="199"/>
        <v>1.8416709844559584</v>
      </c>
      <c r="AH345" s="1741">
        <f t="shared" si="200"/>
        <v>70.260000000000005</v>
      </c>
      <c r="AI345" s="1607"/>
      <c r="AJ345" s="1733">
        <f>C345*LOOKUP(T345,'HS250-DATA'!C$7:C$10,'HS250-DATA'!F$7:F$10)</f>
        <v>28.26</v>
      </c>
      <c r="AK345" s="1733">
        <f>IF(U345="Y",C345*12,0)</f>
        <v>12</v>
      </c>
      <c r="AL345" s="1733">
        <f>C345*E345*VLOOKUP(K345,'SCR-Diode DATA'!D$7:M$43,10,FALSE)</f>
        <v>30</v>
      </c>
      <c r="AM345" s="507">
        <f t="shared" si="202"/>
        <v>0.33253807050727913</v>
      </c>
    </row>
    <row r="346" spans="1:39" ht="18.75">
      <c r="A346" s="1598" t="s">
        <v>501</v>
      </c>
      <c r="B346" s="1533">
        <f t="shared" si="185"/>
        <v>1</v>
      </c>
      <c r="C346" s="1600">
        <v>1</v>
      </c>
      <c r="D346" s="1575">
        <f t="shared" si="186"/>
        <v>1</v>
      </c>
      <c r="E346" s="1575">
        <v>1</v>
      </c>
      <c r="F346" s="1611">
        <f t="shared" si="187"/>
        <v>218.49459837826703</v>
      </c>
      <c r="G346" s="1582">
        <f t="shared" si="188"/>
        <v>218.49459837826703</v>
      </c>
      <c r="H346" s="1583">
        <f t="shared" si="189"/>
        <v>1</v>
      </c>
      <c r="I346" s="1594">
        <f t="shared" si="190"/>
        <v>218.49459837826703</v>
      </c>
      <c r="J346" s="1680" t="s">
        <v>548</v>
      </c>
      <c r="K346" s="1432" t="s">
        <v>572</v>
      </c>
      <c r="L346" s="1426">
        <v>350</v>
      </c>
      <c r="M346" s="1426">
        <v>550</v>
      </c>
      <c r="N346" s="1426">
        <v>7340</v>
      </c>
      <c r="O346" s="1425">
        <v>150</v>
      </c>
      <c r="P346" s="1425">
        <v>0.65400000000000003</v>
      </c>
      <c r="Q346" s="1427">
        <v>0.32</v>
      </c>
      <c r="R346" s="1428">
        <v>0.14000000000000001</v>
      </c>
      <c r="S346" s="1457">
        <v>0.06</v>
      </c>
      <c r="T346" s="1624">
        <v>6.5</v>
      </c>
      <c r="U346" s="1616" t="s">
        <v>642</v>
      </c>
      <c r="V346" s="1622">
        <f>IF(E346=1,IF(U346="N",LOOKUP(T346,'HS250-DATA'!C$7:C$10,'HS250-DATA'!D$7:D$10),IF(U346="Y",LOOKUP(T346,'HS250-DATA'!C$22:C$25,'HS250-DATA'!D$22:D$25),"FAN?")),IF(U346="N",LOOKUP(T346,'HS250-DATA'!C$14:C$17,'HS250-DATA'!D$14:D$17),IF(U346="Y",LOOKUP(T346,'HS250-DATA'!C$29:C$32,'HS250-DATA'!D$29:D$32),"FAN?")))</f>
        <v>0.36899999999999999</v>
      </c>
      <c r="W346" s="1602">
        <f t="shared" si="191"/>
        <v>158.1722319859403</v>
      </c>
      <c r="X346" s="1602">
        <f t="shared" si="192"/>
        <v>158.1722319859403</v>
      </c>
      <c r="Y346" s="1602">
        <f t="shared" si="193"/>
        <v>158.1722319859403</v>
      </c>
      <c r="Z346" s="1579">
        <f t="shared" si="194"/>
        <v>145</v>
      </c>
      <c r="AA346" s="1602">
        <f t="shared" si="195"/>
        <v>113.36555360281197</v>
      </c>
      <c r="AB346" s="1588">
        <v>55</v>
      </c>
      <c r="AC346" s="1570"/>
      <c r="AD346" s="1754">
        <f t="shared" si="196"/>
        <v>3.2000000000000003E-4</v>
      </c>
      <c r="AE346" s="1634">
        <f t="shared" si="197"/>
        <v>0.65400000000000003</v>
      </c>
      <c r="AF346" s="1635">
        <f t="shared" si="198"/>
        <v>-158.17223198594027</v>
      </c>
      <c r="AG346" s="1646">
        <f t="shared" si="199"/>
        <v>0.63017645694200364</v>
      </c>
      <c r="AH346" s="1741">
        <f t="shared" si="200"/>
        <v>91.35</v>
      </c>
      <c r="AI346" s="1607"/>
      <c r="AJ346" s="1733">
        <f>C346*LOOKUP(T346,'HS250-DATA'!C$7:C$10,'HS250-DATA'!F$7:F$10)</f>
        <v>16.350000000000001</v>
      </c>
      <c r="AK346" s="1733">
        <f t="shared" si="203"/>
        <v>0</v>
      </c>
      <c r="AL346" s="1733">
        <f>C346*E346*VLOOKUP(K346,'SCR-Diode DATA'!D$7:M$43,10,FALSE)</f>
        <v>75</v>
      </c>
      <c r="AM346" s="507">
        <f t="shared" si="202"/>
        <v>0.4180881389198054</v>
      </c>
    </row>
    <row r="347" spans="1:39" ht="18.75">
      <c r="A347" s="1598" t="s">
        <v>501</v>
      </c>
      <c r="B347" s="1533">
        <f t="shared" si="185"/>
        <v>1</v>
      </c>
      <c r="C347" s="1600">
        <v>1</v>
      </c>
      <c r="D347" s="1575">
        <f t="shared" si="186"/>
        <v>1</v>
      </c>
      <c r="E347" s="1575">
        <v>1</v>
      </c>
      <c r="F347" s="1611">
        <f t="shared" si="187"/>
        <v>254.90454856153599</v>
      </c>
      <c r="G347" s="1582">
        <f t="shared" si="188"/>
        <v>254.90454856153599</v>
      </c>
      <c r="H347" s="1583">
        <f t="shared" si="189"/>
        <v>1</v>
      </c>
      <c r="I347" s="1594">
        <f t="shared" si="190"/>
        <v>254.90454856153599</v>
      </c>
      <c r="J347" s="1680" t="s">
        <v>548</v>
      </c>
      <c r="K347" s="1432" t="s">
        <v>572</v>
      </c>
      <c r="L347" s="1426">
        <v>350</v>
      </c>
      <c r="M347" s="1426">
        <v>550</v>
      </c>
      <c r="N347" s="1426">
        <v>7340</v>
      </c>
      <c r="O347" s="1425">
        <v>150</v>
      </c>
      <c r="P347" s="1425">
        <v>0.65400000000000003</v>
      </c>
      <c r="Q347" s="1427">
        <v>0.32</v>
      </c>
      <c r="R347" s="1428">
        <v>0.14000000000000001</v>
      </c>
      <c r="S347" s="1457">
        <v>0.06</v>
      </c>
      <c r="T347" s="1624">
        <v>10</v>
      </c>
      <c r="U347" s="1616" t="s">
        <v>642</v>
      </c>
      <c r="V347" s="1622">
        <f>IF(E347=1,IF(U347="N",LOOKUP(T347,'HS250-DATA'!C$7:C$10,'HS250-DATA'!D$7:D$10),IF(U347="Y",LOOKUP(T347,'HS250-DATA'!C$22:C$25,'HS250-DATA'!D$22:D$25),"FAN?")),IF(U347="N",LOOKUP(T347,'HS250-DATA'!C$14:C$17,'HS250-DATA'!D$14:D$17),IF(U347="Y",LOOKUP(T347,'HS250-DATA'!C$29:C$32,'HS250-DATA'!D$29:D$32),"FAN?")))</f>
        <v>0.28000000000000003</v>
      </c>
      <c r="W347" s="1602">
        <f t="shared" si="191"/>
        <v>187.49999999999989</v>
      </c>
      <c r="X347" s="1602">
        <f t="shared" si="192"/>
        <v>187.49999999999989</v>
      </c>
      <c r="Y347" s="1602">
        <f t="shared" si="193"/>
        <v>187.49999999999989</v>
      </c>
      <c r="Z347" s="1579">
        <f t="shared" si="194"/>
        <v>145</v>
      </c>
      <c r="AA347" s="1602">
        <f t="shared" si="195"/>
        <v>107.49999999999997</v>
      </c>
      <c r="AB347" s="1588">
        <v>55</v>
      </c>
      <c r="AC347" s="1570"/>
      <c r="AD347" s="1754">
        <f t="shared" si="196"/>
        <v>3.2000000000000003E-4</v>
      </c>
      <c r="AE347" s="1634">
        <f t="shared" si="197"/>
        <v>0.65400000000000003</v>
      </c>
      <c r="AF347" s="1635">
        <f t="shared" si="198"/>
        <v>-187.49999999999997</v>
      </c>
      <c r="AG347" s="1646">
        <f t="shared" si="199"/>
        <v>0.66771599999999998</v>
      </c>
      <c r="AH347" s="1741">
        <f t="shared" si="200"/>
        <v>94.86</v>
      </c>
      <c r="AI347" s="1607"/>
      <c r="AJ347" s="1733">
        <f>C347*LOOKUP(T347,'HS250-DATA'!C$7:C$10,'HS250-DATA'!F$7:F$10)</f>
        <v>19.86</v>
      </c>
      <c r="AK347" s="1733">
        <f>IF(U347="Y",C347*12,0)</f>
        <v>0</v>
      </c>
      <c r="AL347" s="1733">
        <f>C347*E347*VLOOKUP(K347,'SCR-Diode DATA'!D$7:M$43,10,FALSE)</f>
        <v>75</v>
      </c>
      <c r="AM347" s="507">
        <f t="shared" si="202"/>
        <v>0.37213929894664094</v>
      </c>
    </row>
    <row r="348" spans="1:39" ht="18.75">
      <c r="A348" s="1598" t="s">
        <v>501</v>
      </c>
      <c r="B348" s="1533">
        <f t="shared" si="185"/>
        <v>1</v>
      </c>
      <c r="C348" s="1600">
        <v>1</v>
      </c>
      <c r="D348" s="1575">
        <f t="shared" si="186"/>
        <v>1</v>
      </c>
      <c r="E348" s="1575">
        <v>1</v>
      </c>
      <c r="F348" s="1611">
        <f t="shared" si="187"/>
        <v>267.45055382915922</v>
      </c>
      <c r="G348" s="1582">
        <f t="shared" si="188"/>
        <v>267.45055382915922</v>
      </c>
      <c r="H348" s="1583">
        <f t="shared" si="189"/>
        <v>1</v>
      </c>
      <c r="I348" s="1594">
        <f t="shared" si="190"/>
        <v>267.45055382915922</v>
      </c>
      <c r="J348" s="1680" t="s">
        <v>548</v>
      </c>
      <c r="K348" s="1432" t="s">
        <v>572</v>
      </c>
      <c r="L348" s="1426">
        <v>350</v>
      </c>
      <c r="M348" s="1426">
        <v>550</v>
      </c>
      <c r="N348" s="1426">
        <v>7340</v>
      </c>
      <c r="O348" s="1425">
        <v>150</v>
      </c>
      <c r="P348" s="1425">
        <v>0.65400000000000003</v>
      </c>
      <c r="Q348" s="1427">
        <v>0.32</v>
      </c>
      <c r="R348" s="1428">
        <v>0.14000000000000001</v>
      </c>
      <c r="S348" s="1457">
        <v>0.06</v>
      </c>
      <c r="T348" s="1624">
        <v>13</v>
      </c>
      <c r="U348" s="1616" t="s">
        <v>642</v>
      </c>
      <c r="V348" s="1622">
        <f>IF(E348=1,IF(U348="N",LOOKUP(T348,'HS250-DATA'!C$7:C$10,'HS250-DATA'!D$7:D$10),IF(U348="Y",LOOKUP(T348,'HS250-DATA'!C$22:C$25,'HS250-DATA'!D$22:D$25),"FAN?")),IF(U348="N",LOOKUP(T348,'HS250-DATA'!C$14:C$17,'HS250-DATA'!D$14:D$17),IF(U348="Y",LOOKUP(T348,'HS250-DATA'!C$29:C$32,'HS250-DATA'!D$29:D$32),"FAN?")))</f>
        <v>0.255</v>
      </c>
      <c r="W348" s="1602">
        <f t="shared" si="191"/>
        <v>197.80219780219781</v>
      </c>
      <c r="X348" s="1602">
        <f t="shared" si="192"/>
        <v>197.80219780219781</v>
      </c>
      <c r="Y348" s="1602">
        <f t="shared" si="193"/>
        <v>197.80219780219781</v>
      </c>
      <c r="Z348" s="1579">
        <f t="shared" si="194"/>
        <v>145</v>
      </c>
      <c r="AA348" s="1602">
        <f t="shared" si="195"/>
        <v>105.43956043956044</v>
      </c>
      <c r="AB348" s="1588">
        <v>55</v>
      </c>
      <c r="AC348" s="1570"/>
      <c r="AD348" s="1754">
        <f t="shared" si="196"/>
        <v>3.2000000000000003E-4</v>
      </c>
      <c r="AE348" s="1634">
        <f t="shared" si="197"/>
        <v>0.65400000000000003</v>
      </c>
      <c r="AF348" s="1635">
        <f t="shared" si="198"/>
        <v>-197.80219780219778</v>
      </c>
      <c r="AG348" s="1646">
        <f t="shared" si="199"/>
        <v>0.68090281318681323</v>
      </c>
      <c r="AH348" s="1741">
        <f t="shared" si="200"/>
        <v>99.55</v>
      </c>
      <c r="AI348" s="1607"/>
      <c r="AJ348" s="1733">
        <f>C348*LOOKUP(T348,'HS250-DATA'!C$7:C$10,'HS250-DATA'!F$7:F$10)</f>
        <v>24.55</v>
      </c>
      <c r="AK348" s="1733">
        <f>IF(U348="Y",C348*12,0)</f>
        <v>0</v>
      </c>
      <c r="AL348" s="1733">
        <f>C348*E348*VLOOKUP(K348,'SCR-Diode DATA'!D$7:M$43,10,FALSE)</f>
        <v>75</v>
      </c>
      <c r="AM348" s="507">
        <f t="shared" si="202"/>
        <v>0.37221833559406298</v>
      </c>
    </row>
    <row r="349" spans="1:39" ht="18.75">
      <c r="A349" s="1598" t="s">
        <v>501</v>
      </c>
      <c r="B349" s="1533">
        <f t="shared" si="185"/>
        <v>1</v>
      </c>
      <c r="C349" s="1600">
        <v>1</v>
      </c>
      <c r="D349" s="1575">
        <f t="shared" si="186"/>
        <v>1</v>
      </c>
      <c r="E349" s="1575">
        <v>1</v>
      </c>
      <c r="F349" s="1611">
        <f t="shared" si="187"/>
        <v>270.11126758375406</v>
      </c>
      <c r="G349" s="1582">
        <f t="shared" si="188"/>
        <v>270.11126758375406</v>
      </c>
      <c r="H349" s="1583">
        <f t="shared" si="189"/>
        <v>1</v>
      </c>
      <c r="I349" s="1594">
        <f t="shared" si="190"/>
        <v>270.11126758375406</v>
      </c>
      <c r="J349" s="1680" t="s">
        <v>548</v>
      </c>
      <c r="K349" s="1432" t="s">
        <v>572</v>
      </c>
      <c r="L349" s="1426">
        <v>350</v>
      </c>
      <c r="M349" s="1426">
        <v>550</v>
      </c>
      <c r="N349" s="1426">
        <v>7340</v>
      </c>
      <c r="O349" s="1425">
        <v>150</v>
      </c>
      <c r="P349" s="1425">
        <v>0.65400000000000003</v>
      </c>
      <c r="Q349" s="1427">
        <v>0.32</v>
      </c>
      <c r="R349" s="1428">
        <v>0.14000000000000001</v>
      </c>
      <c r="S349" s="1457">
        <v>0.06</v>
      </c>
      <c r="T349" s="1624">
        <v>15</v>
      </c>
      <c r="U349" s="1616" t="s">
        <v>642</v>
      </c>
      <c r="V349" s="1622">
        <f>IF(E349=1,IF(U349="N",LOOKUP(T349,'HS250-DATA'!C$7:C$10,'HS250-DATA'!D$7:D$10),IF(U349="Y",LOOKUP(T349,'HS250-DATA'!C$22:C$25,'HS250-DATA'!D$22:D$25),"FAN?")),IF(U349="N",LOOKUP(T349,'HS250-DATA'!C$14:C$17,'HS250-DATA'!D$14:D$17),IF(U349="Y",LOOKUP(T349,'HS250-DATA'!C$29:C$32,'HS250-DATA'!D$29:D$32),"FAN?")))</f>
        <v>0.25</v>
      </c>
      <c r="W349" s="1602">
        <f t="shared" si="191"/>
        <v>199.99999999999991</v>
      </c>
      <c r="X349" s="1602">
        <f t="shared" si="192"/>
        <v>199.99999999999991</v>
      </c>
      <c r="Y349" s="1602">
        <f t="shared" si="193"/>
        <v>199.99999999999991</v>
      </c>
      <c r="Z349" s="1579">
        <f t="shared" si="194"/>
        <v>145</v>
      </c>
      <c r="AA349" s="1602">
        <f t="shared" si="195"/>
        <v>104.99999999999997</v>
      </c>
      <c r="AB349" s="1588">
        <v>55</v>
      </c>
      <c r="AC349" s="1570"/>
      <c r="AD349" s="1754">
        <f t="shared" si="196"/>
        <v>3.2000000000000003E-4</v>
      </c>
      <c r="AE349" s="1634">
        <f t="shared" si="197"/>
        <v>0.65400000000000003</v>
      </c>
      <c r="AF349" s="1635">
        <f t="shared" si="198"/>
        <v>-200</v>
      </c>
      <c r="AG349" s="1646">
        <f t="shared" si="199"/>
        <v>0.68371599999999999</v>
      </c>
      <c r="AH349" s="1741">
        <f t="shared" si="200"/>
        <v>103.26</v>
      </c>
      <c r="AI349" s="1607"/>
      <c r="AJ349" s="1733">
        <f>C349*LOOKUP(T349,'HS250-DATA'!C$7:C$10,'HS250-DATA'!F$7:F$10)</f>
        <v>28.26</v>
      </c>
      <c r="AK349" s="1733">
        <f>IF(U349="Y",C349*12,0)</f>
        <v>0</v>
      </c>
      <c r="AL349" s="1733">
        <f>C349*E349*VLOOKUP(K349,'SCR-Diode DATA'!D$7:M$43,10,FALSE)</f>
        <v>75</v>
      </c>
      <c r="AM349" s="507">
        <f t="shared" si="202"/>
        <v>0.38228690318511771</v>
      </c>
    </row>
    <row r="350" spans="1:39" ht="18.75">
      <c r="A350" s="1598" t="s">
        <v>501</v>
      </c>
      <c r="B350" s="1533">
        <f t="shared" si="185"/>
        <v>1</v>
      </c>
      <c r="C350" s="1600">
        <v>1</v>
      </c>
      <c r="D350" s="1575">
        <f t="shared" si="186"/>
        <v>1</v>
      </c>
      <c r="E350" s="1575">
        <v>1</v>
      </c>
      <c r="F350" s="1611">
        <f t="shared" si="187"/>
        <v>325.23739181576428</v>
      </c>
      <c r="G350" s="1582">
        <f t="shared" si="188"/>
        <v>325.23739181576428</v>
      </c>
      <c r="H350" s="1583">
        <f t="shared" si="189"/>
        <v>1</v>
      </c>
      <c r="I350" s="1594">
        <f t="shared" si="190"/>
        <v>325.23739181576428</v>
      </c>
      <c r="J350" s="1680" t="s">
        <v>558</v>
      </c>
      <c r="K350" s="1432" t="s">
        <v>508</v>
      </c>
      <c r="L350" s="1426">
        <v>600</v>
      </c>
      <c r="M350" s="1426">
        <v>950</v>
      </c>
      <c r="N350" s="1426">
        <v>19000</v>
      </c>
      <c r="O350" s="1425">
        <v>150</v>
      </c>
      <c r="P350" s="1425">
        <v>0.747</v>
      </c>
      <c r="Q350" s="1427">
        <v>0.24299999999999999</v>
      </c>
      <c r="R350" s="1428">
        <v>6.5000000000000002E-2</v>
      </c>
      <c r="S350" s="1457">
        <v>0.02</v>
      </c>
      <c r="T350" s="1624">
        <v>15</v>
      </c>
      <c r="U350" s="1616" t="s">
        <v>642</v>
      </c>
      <c r="V350" s="1622">
        <f>IF(E350=1,IF(U350="N",LOOKUP(T350,'HS250-DATA'!C$7:C$10,'HS250-DATA'!D$7:D$10),IF(U350="Y",LOOKUP(T350,'HS250-DATA'!C$22:C$25,'HS250-DATA'!D$22:D$25),"FAN?")),IF(U350="N",LOOKUP(T350,'HS250-DATA'!C$14:C$17,'HS250-DATA'!D$14:D$17),IF(U350="Y",LOOKUP(T350,'HS250-DATA'!C$29:C$32,'HS250-DATA'!D$29:D$32),"FAN?")))</f>
        <v>0.25</v>
      </c>
      <c r="W350" s="1602">
        <f t="shared" si="191"/>
        <v>268.65671641791033</v>
      </c>
      <c r="X350" s="1602">
        <f t="shared" si="192"/>
        <v>268.65671641791033</v>
      </c>
      <c r="Y350" s="1602">
        <f t="shared" si="193"/>
        <v>268.65671641791033</v>
      </c>
      <c r="Z350" s="1579">
        <f t="shared" si="194"/>
        <v>145</v>
      </c>
      <c r="AA350" s="1602">
        <f t="shared" si="195"/>
        <v>122.16417910447758</v>
      </c>
      <c r="AB350" s="1588">
        <v>55</v>
      </c>
      <c r="AC350" s="1570"/>
      <c r="AD350" s="1754">
        <f t="shared" si="196"/>
        <v>2.43E-4</v>
      </c>
      <c r="AE350" s="1634">
        <f t="shared" si="197"/>
        <v>0.747</v>
      </c>
      <c r="AF350" s="1635">
        <f t="shared" si="198"/>
        <v>-268.65671641791045</v>
      </c>
      <c r="AG350" s="1646">
        <f t="shared" si="199"/>
        <v>0.81914332835820891</v>
      </c>
      <c r="AH350" s="1741">
        <f t="shared" si="200"/>
        <v>120.26</v>
      </c>
      <c r="AI350" s="1607"/>
      <c r="AJ350" s="1733">
        <f>C350*LOOKUP(T350,'HS250-DATA'!C$7:C$10,'HS250-DATA'!F$7:F$10)</f>
        <v>28.26</v>
      </c>
      <c r="AK350" s="1733">
        <f t="shared" si="203"/>
        <v>0</v>
      </c>
      <c r="AL350" s="1733">
        <f>C350*E350*VLOOKUP(K350,'SCR-Diode DATA'!D$7:M$43,10,FALSE)</f>
        <v>92</v>
      </c>
      <c r="AM350" s="507">
        <f t="shared" si="202"/>
        <v>0.36976068258511657</v>
      </c>
    </row>
    <row r="351" spans="1:39" ht="18.75">
      <c r="A351" s="1598" t="s">
        <v>501</v>
      </c>
      <c r="B351" s="1533">
        <f t="shared" si="185"/>
        <v>1</v>
      </c>
      <c r="C351" s="1600">
        <v>1</v>
      </c>
      <c r="D351" s="1575">
        <f t="shared" si="186"/>
        <v>1</v>
      </c>
      <c r="E351" s="1575">
        <v>1</v>
      </c>
      <c r="F351" s="1611">
        <f t="shared" si="187"/>
        <v>481.28107488234338</v>
      </c>
      <c r="G351" s="1582">
        <f t="shared" si="188"/>
        <v>481.28107488234338</v>
      </c>
      <c r="H351" s="1583">
        <f t="shared" si="189"/>
        <v>1</v>
      </c>
      <c r="I351" s="1594">
        <f t="shared" si="190"/>
        <v>481.28107488234338</v>
      </c>
      <c r="J351" s="1680" t="s">
        <v>558</v>
      </c>
      <c r="K351" s="1432" t="s">
        <v>509</v>
      </c>
      <c r="L351" s="1426">
        <v>2500</v>
      </c>
      <c r="M351" s="1426">
        <v>3925</v>
      </c>
      <c r="N351" s="1426">
        <v>48400</v>
      </c>
      <c r="O351" s="1425">
        <v>150</v>
      </c>
      <c r="P351" s="1425">
        <v>0.63200000000000001</v>
      </c>
      <c r="Q351" s="1427">
        <v>5.9799999999999999E-2</v>
      </c>
      <c r="R351" s="1428">
        <v>2.4E-2</v>
      </c>
      <c r="S351" s="1457">
        <v>8.9999999999999993E-3</v>
      </c>
      <c r="T351" s="1624">
        <v>15</v>
      </c>
      <c r="U351" s="1616" t="s">
        <v>642</v>
      </c>
      <c r="V351" s="1622">
        <f>IF(E351=1,IF(U351="N",LOOKUP(T351,'HS250-DATA'!C$7:C$10,'HS250-DATA'!D$7:D$10),IF(U351="Y",LOOKUP(T351,'HS250-DATA'!C$22:C$25,'HS250-DATA'!D$22:D$25),"FAN?")),IF(U351="N",LOOKUP(T351,'HS250-DATA'!C$14:C$17,'HS250-DATA'!D$14:D$17),IF(U351="Y",LOOKUP(T351,'HS250-DATA'!C$29:C$32,'HS250-DATA'!D$29:D$32),"FAN?")))</f>
        <v>0.25</v>
      </c>
      <c r="W351" s="1602">
        <f t="shared" si="191"/>
        <v>318.02120141342726</v>
      </c>
      <c r="X351" s="1602">
        <f t="shared" si="192"/>
        <v>318.02120141342726</v>
      </c>
      <c r="Y351" s="1602">
        <f t="shared" si="193"/>
        <v>318.02120141342726</v>
      </c>
      <c r="Z351" s="1579">
        <f t="shared" si="194"/>
        <v>145</v>
      </c>
      <c r="AA351" s="1602">
        <f t="shared" si="195"/>
        <v>134.5053003533568</v>
      </c>
      <c r="AB351" s="1588">
        <v>55</v>
      </c>
      <c r="AC351" s="1570"/>
      <c r="AD351" s="1754">
        <f t="shared" si="196"/>
        <v>5.9800000000000003E-5</v>
      </c>
      <c r="AE351" s="1634">
        <f t="shared" si="197"/>
        <v>0.63200000000000001</v>
      </c>
      <c r="AF351" s="1635">
        <f t="shared" si="198"/>
        <v>-318.02120141342755</v>
      </c>
      <c r="AG351" s="1646">
        <f t="shared" si="199"/>
        <v>0.47549467137809187</v>
      </c>
      <c r="AH351" s="1741">
        <f t="shared" si="200"/>
        <v>373.26</v>
      </c>
      <c r="AI351" s="1607"/>
      <c r="AJ351" s="1733">
        <f>C351*LOOKUP(T351,'HS250-DATA'!C$7:C$10,'HS250-DATA'!F$7:F$10)</f>
        <v>28.26</v>
      </c>
      <c r="AK351" s="1733">
        <f t="shared" si="203"/>
        <v>0</v>
      </c>
      <c r="AL351" s="1733">
        <f>C351*E351*VLOOKUP(K351,'SCR-Diode DATA'!D$7:M$43,10,FALSE)</f>
        <v>345</v>
      </c>
      <c r="AM351" s="507">
        <f t="shared" si="202"/>
        <v>0.77555511629300855</v>
      </c>
    </row>
    <row r="352" spans="1:39" ht="18.75">
      <c r="A352" s="1598" t="s">
        <v>501</v>
      </c>
      <c r="B352" s="1533">
        <f t="shared" si="185"/>
        <v>1</v>
      </c>
      <c r="C352" s="1600">
        <v>1</v>
      </c>
      <c r="D352" s="1575">
        <f t="shared" si="186"/>
        <v>1</v>
      </c>
      <c r="E352" s="1575">
        <v>1</v>
      </c>
      <c r="F352" s="1611">
        <f t="shared" si="187"/>
        <v>317.50958133985603</v>
      </c>
      <c r="G352" s="1582">
        <f t="shared" si="188"/>
        <v>317.50958133985603</v>
      </c>
      <c r="H352" s="1583">
        <f t="shared" si="189"/>
        <v>1</v>
      </c>
      <c r="I352" s="1594">
        <f t="shared" si="190"/>
        <v>317.50958133985603</v>
      </c>
      <c r="J352" s="1680" t="s">
        <v>558</v>
      </c>
      <c r="K352" s="1418" t="s">
        <v>472</v>
      </c>
      <c r="L352" s="1419">
        <v>1500</v>
      </c>
      <c r="M352" s="1419">
        <v>2355</v>
      </c>
      <c r="N352" s="1419">
        <v>62000</v>
      </c>
      <c r="O352" s="1412">
        <v>125</v>
      </c>
      <c r="P352" s="1416">
        <v>0.69099999999999995</v>
      </c>
      <c r="Q352" s="1412">
        <v>0.10199999999999999</v>
      </c>
      <c r="R352" s="1412">
        <v>2.4E-2</v>
      </c>
      <c r="S352" s="1687">
        <v>8.9999999999999993E-3</v>
      </c>
      <c r="T352" s="1624">
        <v>15</v>
      </c>
      <c r="U352" s="1616" t="s">
        <v>642</v>
      </c>
      <c r="V352" s="1622">
        <f>IF(E352=1,IF(U352="N",LOOKUP(T352,'HS250-DATA'!C$7:C$10,'HS250-DATA'!D$7:D$10),IF(U352="Y",LOOKUP(T352,'HS250-DATA'!C$22:C$25,'HS250-DATA'!D$22:D$25),"FAN?")),IF(U352="N",LOOKUP(T352,'HS250-DATA'!C$14:C$17,'HS250-DATA'!D$14:D$17),IF(U352="Y",LOOKUP(T352,'HS250-DATA'!C$29:C$32,'HS250-DATA'!D$29:D$32),"FAN?")))</f>
        <v>0.25</v>
      </c>
      <c r="W352" s="1602">
        <f t="shared" si="191"/>
        <v>229.68197879858678</v>
      </c>
      <c r="X352" s="1602">
        <f t="shared" si="192"/>
        <v>229.68197879858678</v>
      </c>
      <c r="Y352" s="1602">
        <f t="shared" si="193"/>
        <v>229.68197879858678</v>
      </c>
      <c r="Z352" s="1579">
        <f t="shared" si="194"/>
        <v>120</v>
      </c>
      <c r="AA352" s="1602">
        <f t="shared" si="195"/>
        <v>112.4204946996467</v>
      </c>
      <c r="AB352" s="1588">
        <v>55</v>
      </c>
      <c r="AC352" s="1570"/>
      <c r="AD352" s="1754">
        <f t="shared" si="196"/>
        <v>1.02E-4</v>
      </c>
      <c r="AE352" s="1634">
        <f t="shared" si="197"/>
        <v>0.69099999999999995</v>
      </c>
      <c r="AF352" s="1635">
        <f t="shared" si="198"/>
        <v>-229.68197879858656</v>
      </c>
      <c r="AG352" s="1646">
        <f t="shared" si="199"/>
        <v>0.57119124734982329</v>
      </c>
      <c r="AH352" s="1741">
        <f t="shared" si="200"/>
        <v>218.26</v>
      </c>
      <c r="AI352" s="1607"/>
      <c r="AJ352" s="1733">
        <f>C352*LOOKUP(T352,'HS250-DATA'!C$7:C$10,'HS250-DATA'!F$7:F$10)</f>
        <v>28.26</v>
      </c>
      <c r="AK352" s="1733">
        <f t="shared" si="203"/>
        <v>0</v>
      </c>
      <c r="AL352" s="1733">
        <f>C352*E352*VLOOKUP(K352,'SCR-Diode DATA'!D$7:M$43,10,FALSE)</f>
        <v>190</v>
      </c>
      <c r="AM352" s="507">
        <f t="shared" si="202"/>
        <v>0.68741232651615247</v>
      </c>
    </row>
    <row r="353" spans="1:39" ht="18.75">
      <c r="A353" s="1598" t="s">
        <v>501</v>
      </c>
      <c r="B353" s="1533">
        <f t="shared" si="185"/>
        <v>1</v>
      </c>
      <c r="C353" s="1600">
        <v>1</v>
      </c>
      <c r="D353" s="1575">
        <f t="shared" si="186"/>
        <v>1</v>
      </c>
      <c r="E353" s="1575">
        <v>1</v>
      </c>
      <c r="F353" s="1611">
        <f t="shared" si="187"/>
        <v>317.50958133985603</v>
      </c>
      <c r="G353" s="1582">
        <f t="shared" si="188"/>
        <v>317.50958133985603</v>
      </c>
      <c r="H353" s="1583">
        <f t="shared" si="189"/>
        <v>1</v>
      </c>
      <c r="I353" s="1594">
        <f t="shared" si="190"/>
        <v>317.50958133985603</v>
      </c>
      <c r="J353" s="1680" t="s">
        <v>558</v>
      </c>
      <c r="K353" s="1418" t="s">
        <v>472</v>
      </c>
      <c r="L353" s="1419">
        <v>1500</v>
      </c>
      <c r="M353" s="1419">
        <v>2355</v>
      </c>
      <c r="N353" s="1419">
        <v>62000</v>
      </c>
      <c r="O353" s="1412">
        <v>125</v>
      </c>
      <c r="P353" s="1416">
        <v>0.69099999999999995</v>
      </c>
      <c r="Q353" s="1412">
        <v>0.10199999999999999</v>
      </c>
      <c r="R353" s="1412">
        <v>2.4E-2</v>
      </c>
      <c r="S353" s="1687">
        <v>8.9999999999999993E-3</v>
      </c>
      <c r="T353" s="1624">
        <v>15</v>
      </c>
      <c r="U353" s="1616" t="s">
        <v>642</v>
      </c>
      <c r="V353" s="1622">
        <f>IF(E353=1,IF(U353="N",LOOKUP(T353,'HS250-DATA'!C$7:C$10,'HS250-DATA'!D$7:D$10),IF(U353="Y",LOOKUP(T353,'HS250-DATA'!C$22:C$25,'HS250-DATA'!D$22:D$25),"FAN?")),IF(U353="N",LOOKUP(T353,'HS250-DATA'!C$14:C$17,'HS250-DATA'!D$14:D$17),IF(U353="Y",LOOKUP(T353,'HS250-DATA'!C$29:C$32,'HS250-DATA'!D$29:D$32),"FAN?")))</f>
        <v>0.25</v>
      </c>
      <c r="W353" s="1602">
        <f t="shared" si="191"/>
        <v>229.68197879858678</v>
      </c>
      <c r="X353" s="1602">
        <f t="shared" si="192"/>
        <v>229.68197879858678</v>
      </c>
      <c r="Y353" s="1602">
        <f t="shared" si="193"/>
        <v>229.68197879858678</v>
      </c>
      <c r="Z353" s="1579">
        <f t="shared" si="194"/>
        <v>120</v>
      </c>
      <c r="AA353" s="1602">
        <f t="shared" si="195"/>
        <v>112.4204946996467</v>
      </c>
      <c r="AB353" s="1588">
        <v>55</v>
      </c>
      <c r="AC353" s="1570"/>
      <c r="AD353" s="1754">
        <f t="shared" si="196"/>
        <v>1.02E-4</v>
      </c>
      <c r="AE353" s="1634">
        <f t="shared" si="197"/>
        <v>0.69099999999999995</v>
      </c>
      <c r="AF353" s="1635">
        <f t="shared" si="198"/>
        <v>-229.68197879858656</v>
      </c>
      <c r="AG353" s="1646">
        <f t="shared" si="199"/>
        <v>0.57119124734982329</v>
      </c>
      <c r="AH353" s="1741">
        <f t="shared" si="200"/>
        <v>218.26</v>
      </c>
      <c r="AI353" s="1607"/>
      <c r="AJ353" s="1733">
        <f>C353*LOOKUP(T353,'HS250-DATA'!C$7:C$10,'HS250-DATA'!F$7:F$10)</f>
        <v>28.26</v>
      </c>
      <c r="AK353" s="1733">
        <f t="shared" si="203"/>
        <v>0</v>
      </c>
      <c r="AL353" s="1733">
        <f>C353*E353*VLOOKUP(K353,'SCR-Diode DATA'!D$7:M$43,10,FALSE)</f>
        <v>190</v>
      </c>
      <c r="AM353" s="507">
        <f t="shared" si="202"/>
        <v>0.68741232651615247</v>
      </c>
    </row>
    <row r="354" spans="1:39" ht="19.5" thickBot="1">
      <c r="A354" s="1599"/>
      <c r="B354" s="1692"/>
      <c r="C354" s="1601"/>
      <c r="D354" s="1591"/>
      <c r="E354" s="1591"/>
      <c r="F354" s="1662"/>
      <c r="G354" s="1589"/>
      <c r="H354" s="1590"/>
      <c r="I354" s="1595"/>
      <c r="J354" s="1693"/>
      <c r="K354" s="1686"/>
      <c r="L354" s="1685"/>
      <c r="M354" s="1685"/>
      <c r="N354" s="1685"/>
      <c r="O354" s="1684"/>
      <c r="P354" s="1683"/>
      <c r="Q354" s="1683"/>
      <c r="R354" s="1683"/>
      <c r="S354" s="1682"/>
      <c r="T354" s="1569"/>
      <c r="U354" s="1568"/>
      <c r="V354" s="1567"/>
      <c r="W354" s="1605"/>
      <c r="X354" s="1605"/>
      <c r="Y354" s="1605"/>
      <c r="Z354" s="1566"/>
      <c r="AA354" s="1605"/>
      <c r="AB354" s="1592"/>
      <c r="AC354" s="1570"/>
      <c r="AD354" s="1755"/>
      <c r="AE354" s="1756"/>
      <c r="AF354" s="1757"/>
      <c r="AG354" s="1758"/>
      <c r="AH354" s="1744"/>
      <c r="AI354" s="1608"/>
      <c r="AJ354" s="1608"/>
      <c r="AK354" s="1608"/>
      <c r="AL354" s="1745"/>
      <c r="AM354" s="1746"/>
    </row>
    <row r="356" spans="1:39" ht="18.75">
      <c r="A356" s="1598" t="s">
        <v>501</v>
      </c>
      <c r="B356" s="1533">
        <f>IF(A356=3,6,IF(A356=1,4,IF(A356="bd",1,IF(A356="fwd",1,"Circuit Type"))))</f>
        <v>1</v>
      </c>
      <c r="C356" s="1600">
        <v>1</v>
      </c>
      <c r="D356" s="1575">
        <f>B356/C356</f>
        <v>1</v>
      </c>
      <c r="E356" s="1575">
        <v>1</v>
      </c>
      <c r="F356" s="1611">
        <f>IF(A356=3,3*G356,IF(A356=1,2*G356,IF(A356="bd",1*G356,IF(A356="fwd",1,"Error"))))</f>
        <v>243.91921564872993</v>
      </c>
      <c r="G356" s="1582">
        <f>(-AE356+SQRT(AG356))/2/AD356</f>
        <v>243.91921564872993</v>
      </c>
      <c r="H356" s="1583">
        <f>IF(A356=3,SQRT(3),IF(A356=1,SQRT(2),1))</f>
        <v>1</v>
      </c>
      <c r="I356" s="1594">
        <f>H356*G356</f>
        <v>243.91921564872993</v>
      </c>
      <c r="J356" s="1680" t="s">
        <v>558</v>
      </c>
      <c r="K356" s="1418"/>
      <c r="L356" s="1419">
        <v>250</v>
      </c>
      <c r="M356" s="1419">
        <v>393</v>
      </c>
      <c r="N356" s="1419">
        <v>5900</v>
      </c>
      <c r="O356" s="1412">
        <v>150</v>
      </c>
      <c r="P356" s="1416">
        <v>0.79</v>
      </c>
      <c r="Q356" s="1412">
        <v>0.63</v>
      </c>
      <c r="R356" s="1412">
        <v>0.16</v>
      </c>
      <c r="S356" s="1687">
        <v>0.125</v>
      </c>
      <c r="T356" s="1624">
        <v>15</v>
      </c>
      <c r="U356" s="1616" t="s">
        <v>645</v>
      </c>
      <c r="V356" s="1622">
        <f>IF(E356=1,IF(U356="N",LOOKUP(T356,'HS250-DATA'!C$7:C$10,'HS250-DATA'!D$7:D$10),IF(U356="Y",LOOKUP(T356,'HS250-DATA'!C$22:C$25,'HS250-DATA'!D$22:D$25),"FAN?")),IF(U356="N",LOOKUP(T356,'HS250-DATA'!C$14:C$17,'HS250-DATA'!D$14:D$17),IF(U356="Y",LOOKUP(T356,'HS250-DATA'!C$29:C$32,'HS250-DATA'!D$29:D$32),"FAN?")))</f>
        <v>0.106</v>
      </c>
      <c r="W356" s="1602">
        <f>(G356*H356)^2*Q356*10^-3+G356*P356</f>
        <v>230.17902813299236</v>
      </c>
      <c r="X356" s="1602">
        <f>D356*W356</f>
        <v>230.17902813299236</v>
      </c>
      <c r="Y356" s="1602">
        <f>IF(A356=3,W356*6,IF(A356=1,W356*4,W356))</f>
        <v>230.17902813299236</v>
      </c>
      <c r="Z356" s="1579">
        <f>O356-5</f>
        <v>145</v>
      </c>
      <c r="AA356" s="1602">
        <f>D356*W356*V356+AB356</f>
        <v>79.398976982097196</v>
      </c>
      <c r="AB356" s="1588">
        <v>55</v>
      </c>
      <c r="AC356" s="1570"/>
      <c r="AD356" s="1754">
        <f>Q356*10^-3*H356^2</f>
        <v>6.3000000000000003E-4</v>
      </c>
      <c r="AE356" s="1634">
        <f>P356</f>
        <v>0.79</v>
      </c>
      <c r="AF356" s="1635">
        <f>(AB356-Z356)/(R356+S356+D356*V356)</f>
        <v>-230.17902813299233</v>
      </c>
      <c r="AG356" s="1646">
        <f>AE356^2-4*AD356*AF356</f>
        <v>1.2041511508951408</v>
      </c>
      <c r="AH356" s="1741" t="e">
        <f>SUM(AJ356:AL356)</f>
        <v>#N/A</v>
      </c>
      <c r="AI356" s="1607"/>
      <c r="AJ356" s="1733">
        <f>C356*LOOKUP(T356,'HS250-DATA'!C$7:C$10,'HS250-DATA'!F$7:F$10)</f>
        <v>28.26</v>
      </c>
      <c r="AK356" s="1733">
        <f>IF(U356="Y",C356*12,0)</f>
        <v>12</v>
      </c>
      <c r="AL356" s="1733" t="e">
        <f>C356*E356*VLOOKUP(K356,'SCR-Diode DATA'!D$7:M$43,10,FALSE)</f>
        <v>#N/A</v>
      </c>
      <c r="AM356" s="507" t="e">
        <f>AH356/F356</f>
        <v>#N/A</v>
      </c>
    </row>
    <row r="357" spans="1:39" ht="18.75">
      <c r="A357" s="1598" t="s">
        <v>501</v>
      </c>
      <c r="B357" s="1533">
        <f>IF(A357=3,6,IF(A357=1,4,IF(A357="bd",1,IF(A357="fwd",1,"Circuit Type"))))</f>
        <v>1</v>
      </c>
      <c r="C357" s="1600">
        <v>1</v>
      </c>
      <c r="D357" s="1575">
        <f>B357/C357</f>
        <v>1</v>
      </c>
      <c r="E357" s="1575">
        <v>1</v>
      </c>
      <c r="F357" s="1611">
        <f>IF(A357=3,3*G357,IF(A357=1,2*G357,IF(A357="bd",1*G357,IF(A357="fwd",1,"Error"))))</f>
        <v>223.57236250773846</v>
      </c>
      <c r="G357" s="1582">
        <f>(-AE357+SQRT(AG357))/2/AD357</f>
        <v>223.57236250773846</v>
      </c>
      <c r="H357" s="1583">
        <f>IF(A357=3,SQRT(3),IF(A357=1,SQRT(2),1))</f>
        <v>1</v>
      </c>
      <c r="I357" s="1594">
        <f>H357*G357</f>
        <v>223.57236250773846</v>
      </c>
      <c r="J357" s="1680" t="s">
        <v>558</v>
      </c>
      <c r="K357" s="1418"/>
      <c r="L357" s="1419">
        <v>250</v>
      </c>
      <c r="M357" s="1419">
        <v>393</v>
      </c>
      <c r="N357" s="1419">
        <v>5900</v>
      </c>
      <c r="O357" s="1412">
        <v>150</v>
      </c>
      <c r="P357" s="1416">
        <v>0.92</v>
      </c>
      <c r="Q357" s="1412">
        <v>0.49</v>
      </c>
      <c r="R357" s="1412">
        <v>0.16</v>
      </c>
      <c r="S357" s="1687">
        <v>0.125</v>
      </c>
      <c r="T357" s="1624">
        <v>15</v>
      </c>
      <c r="U357" s="1616" t="s">
        <v>645</v>
      </c>
      <c r="V357" s="1622">
        <f>IF(E357=1,IF(U357="N",LOOKUP(T357,'HS250-DATA'!C$7:C$10,'HS250-DATA'!D$7:D$10),IF(U357="Y",LOOKUP(T357,'HS250-DATA'!C$22:C$25,'HS250-DATA'!D$22:D$25),"FAN?")),IF(U357="N",LOOKUP(T357,'HS250-DATA'!C$14:C$17,'HS250-DATA'!D$14:D$17),IF(U357="Y",LOOKUP(T357,'HS250-DATA'!C$29:C$32,'HS250-DATA'!D$29:D$32),"FAN?")))</f>
        <v>0.106</v>
      </c>
      <c r="W357" s="1602">
        <f>(G357*H357)^2*Q357*10^-3+G357*P357</f>
        <v>230.17902813299227</v>
      </c>
      <c r="X357" s="1602">
        <f>D357*W357</f>
        <v>230.17902813299227</v>
      </c>
      <c r="Y357" s="1602">
        <f>IF(A357=3,W357*6,IF(A357=1,W357*4,W357))</f>
        <v>230.17902813299227</v>
      </c>
      <c r="Z357" s="1579">
        <f>O357-5</f>
        <v>145</v>
      </c>
      <c r="AA357" s="1602">
        <f>D357*W357*V357+AB357</f>
        <v>79.398976982097182</v>
      </c>
      <c r="AB357" s="1588">
        <v>55</v>
      </c>
      <c r="AC357" s="1570"/>
      <c r="AD357" s="1754">
        <f>Q357*10^-3*H357^2</f>
        <v>4.8999999999999998E-4</v>
      </c>
      <c r="AE357" s="1634">
        <f>P357</f>
        <v>0.92</v>
      </c>
      <c r="AF357" s="1635">
        <f>(AB357-Z357)/(R357+S357+D357*V357)</f>
        <v>-230.17902813299233</v>
      </c>
      <c r="AG357" s="1646">
        <f>AE357^2-4*AD357*AF357</f>
        <v>1.2975508951406649</v>
      </c>
      <c r="AH357" s="1741" t="e">
        <f>SUM(AJ357:AL357)</f>
        <v>#N/A</v>
      </c>
      <c r="AI357" s="1607"/>
      <c r="AJ357" s="1733">
        <f>C357*LOOKUP(T357,'HS250-DATA'!C$7:C$10,'HS250-DATA'!F$7:F$10)</f>
        <v>28.26</v>
      </c>
      <c r="AK357" s="1733">
        <f>IF(U357="Y",C357*12,0)</f>
        <v>12</v>
      </c>
      <c r="AL357" s="1733" t="e">
        <f>C357*E357*VLOOKUP(K357,'SCR-Diode DATA'!D$7:M$43,10,FALSE)</f>
        <v>#N/A</v>
      </c>
      <c r="AM357" s="507" t="e">
        <f>AH357/F357</f>
        <v>#N/A</v>
      </c>
    </row>
    <row r="358" spans="1:39" ht="15">
      <c r="V358" s="1622"/>
    </row>
    <row r="359" spans="1:39" ht="18.75">
      <c r="A359" s="1598" t="s">
        <v>501</v>
      </c>
      <c r="B359" s="1533">
        <f>IF(A359=3,6,IF(A359=1,4,IF(A359="bd",1,IF(A359="fwd",1,"Circuit Type"))))</f>
        <v>1</v>
      </c>
      <c r="C359" s="1600">
        <v>1</v>
      </c>
      <c r="D359" s="1575">
        <f>B359/C359</f>
        <v>1</v>
      </c>
      <c r="E359" s="1575">
        <v>1</v>
      </c>
      <c r="F359" s="1611">
        <f>IF(A359=3,3*G359,IF(A359=1,2*G359,IF(A359="bd",1*G359,IF(A359="fwd",1,"Error"))))</f>
        <v>282.49854598161875</v>
      </c>
      <c r="G359" s="1582">
        <f>(-AE359+SQRT(AG359))/2/AD359</f>
        <v>282.49854598161875</v>
      </c>
      <c r="H359" s="1583">
        <f>IF(A359=3,SQRT(3),IF(A359=1,SQRT(2),1))</f>
        <v>1</v>
      </c>
      <c r="I359" s="1594">
        <f>H359*G359</f>
        <v>282.49854598161875</v>
      </c>
      <c r="J359" s="1680" t="s">
        <v>558</v>
      </c>
      <c r="K359" s="1920" t="s">
        <v>678</v>
      </c>
      <c r="L359" s="1426">
        <v>250</v>
      </c>
      <c r="M359" s="1426">
        <v>393</v>
      </c>
      <c r="N359" s="1426">
        <v>5900</v>
      </c>
      <c r="O359" s="1425">
        <v>150</v>
      </c>
      <c r="P359" s="1425">
        <v>0.92</v>
      </c>
      <c r="Q359" s="1427">
        <v>0.49</v>
      </c>
      <c r="R359" s="1428">
        <v>0.16</v>
      </c>
      <c r="S359" s="1457">
        <v>3.5000000000000003E-2</v>
      </c>
      <c r="T359" s="1624">
        <v>15</v>
      </c>
      <c r="U359" s="1616" t="s">
        <v>681</v>
      </c>
      <c r="V359" s="1622">
        <f>IF(E359=1,IF(U359="N",LOOKUP(T359,'HS250-DATA'!C$7:C$10,'HS250-DATA'!D$7:D$10),IF(U359="Y",LOOKUP(T359,'HS250-DATA'!C$22:C$25,'HS250-DATA'!D$22:D$25),"FAN?")),IF(U359="N",LOOKUP(T359,'HS250-DATA'!C$14:C$17,'HS250-DATA'!D$14:D$17),IF(U359="Y",LOOKUP(T359,'HS250-DATA'!C$29:C$32,'HS250-DATA'!D$29:D$32),"FAN?")))</f>
        <v>0.106</v>
      </c>
      <c r="W359" s="1602">
        <f>(G359*H359)^2*Q359*10^-3+G359*P359</f>
        <v>299.00332225913638</v>
      </c>
      <c r="X359" s="1602">
        <f>D359*W359</f>
        <v>299.00332225913638</v>
      </c>
      <c r="Y359" s="1602">
        <f>IF(A359=3,W359*6,IF(A359=1,W359*4,W359))</f>
        <v>299.00332225913638</v>
      </c>
      <c r="Z359" s="1579">
        <f>O359-5</f>
        <v>145</v>
      </c>
      <c r="AA359" s="1602">
        <f>D359*W359*V359+AB359</f>
        <v>86.694352159468451</v>
      </c>
      <c r="AB359" s="1588">
        <v>55</v>
      </c>
      <c r="AC359" s="1570"/>
      <c r="AD359" s="1754">
        <f>Q359*10^-3*H359^2</f>
        <v>4.8999999999999998E-4</v>
      </c>
      <c r="AE359" s="1634">
        <f>P359</f>
        <v>0.92</v>
      </c>
      <c r="AF359" s="1635">
        <f>(AB359-Z359)/(R359+S359+D359*V359)</f>
        <v>-299.00332225913621</v>
      </c>
      <c r="AG359" s="1646">
        <f>AE359^2-4*AD359*AF359</f>
        <v>1.432446511627907</v>
      </c>
      <c r="AH359" s="1741">
        <f>SUM(AJ359:AL359)</f>
        <v>86.360000000000014</v>
      </c>
      <c r="AI359" s="1607"/>
      <c r="AJ359" s="1733">
        <f>C359*LOOKUP(T359,'HS250-DATA'!C$7:C$10,'HS250-DATA'!F$7:F$10)</f>
        <v>28.26</v>
      </c>
      <c r="AK359" s="1733">
        <f>IF(U359="Y",C359*12,0)</f>
        <v>12</v>
      </c>
      <c r="AL359" s="1733">
        <f>C359*E359*VLOOKUP(K359,'SCR-Diode DATA'!D$7:M$43,10,FALSE)</f>
        <v>46.1</v>
      </c>
      <c r="AM359" s="507">
        <f>AH359/F359</f>
        <v>0.30570068847582377</v>
      </c>
    </row>
    <row r="360" spans="1:39" ht="18.75">
      <c r="A360" s="1598" t="s">
        <v>501</v>
      </c>
      <c r="B360" s="1533">
        <f>IF(A360=3,6,IF(A360=1,4,IF(A360="bd",1,IF(A360="fwd",1,"Circuit Type"))))</f>
        <v>1</v>
      </c>
      <c r="C360" s="1600">
        <v>1</v>
      </c>
      <c r="D360" s="1575">
        <f>B360/C360</f>
        <v>1</v>
      </c>
      <c r="E360" s="1575">
        <v>1</v>
      </c>
      <c r="F360" s="1611">
        <f>IF(A360=3,3*G360,IF(A360=1,2*G360,IF(A360="bd",1*G360,IF(A360="fwd",1,"Error"))))</f>
        <v>303.27226505133893</v>
      </c>
      <c r="G360" s="1582">
        <f>(-AE360+SQRT(AG360))/2/AD360</f>
        <v>303.27226505133893</v>
      </c>
      <c r="H360" s="1583">
        <f>IF(A360=3,SQRT(3),IF(A360=1,SQRT(2),1))</f>
        <v>1</v>
      </c>
      <c r="I360" s="1594">
        <f>H360*G360</f>
        <v>303.27226505133893</v>
      </c>
      <c r="J360" s="1680" t="s">
        <v>558</v>
      </c>
      <c r="K360" s="1920" t="s">
        <v>679</v>
      </c>
      <c r="L360" s="1426">
        <v>270</v>
      </c>
      <c r="M360" s="1426">
        <v>424</v>
      </c>
      <c r="N360" s="1426">
        <v>7500</v>
      </c>
      <c r="O360" s="1425">
        <v>150</v>
      </c>
      <c r="P360" s="1425">
        <v>0.87</v>
      </c>
      <c r="Q360" s="1427">
        <v>0.81</v>
      </c>
      <c r="R360" s="1428">
        <v>0.125</v>
      </c>
      <c r="S360" s="1457">
        <v>3.5000000000000003E-2</v>
      </c>
      <c r="T360" s="1624">
        <v>15</v>
      </c>
      <c r="U360" s="1616" t="s">
        <v>645</v>
      </c>
      <c r="V360" s="1622">
        <f>IF(E360=1,IF(U360="N",LOOKUP(T360,'HS250-DATA'!C$7:C$10,'HS250-DATA'!D$7:D$10),IF(U360="Y",LOOKUP(T360,'HS250-DATA'!C$22:C$25,'HS250-DATA'!D$22:D$25),"FAN?")),IF(U360="N",LOOKUP(T360,'HS250-DATA'!C$14:C$17,'HS250-DATA'!D$14:D$17),IF(U360="Y",LOOKUP(T360,'HS250-DATA'!C$29:C$32,'HS250-DATA'!D$29:D$32),"FAN?")))</f>
        <v>0.106</v>
      </c>
      <c r="W360" s="1602">
        <f>(G360*H360)^2*Q360*10^-3+G360*P360</f>
        <v>338.34586466165428</v>
      </c>
      <c r="X360" s="1602">
        <f>D360*W360</f>
        <v>338.34586466165428</v>
      </c>
      <c r="Y360" s="1602">
        <f>IF(A360=3,W360*6,IF(A360=1,W360*4,W360))</f>
        <v>338.34586466165428</v>
      </c>
      <c r="Z360" s="1579">
        <f>O360-5</f>
        <v>145</v>
      </c>
      <c r="AA360" s="1602">
        <f>D360*W360*V360+AB360</f>
        <v>90.864661654135347</v>
      </c>
      <c r="AB360" s="1588">
        <v>55</v>
      </c>
      <c r="AC360" s="1570"/>
      <c r="AD360" s="1754">
        <f>Q360*10^-3*H360^2</f>
        <v>8.1000000000000006E-4</v>
      </c>
      <c r="AE360" s="1634">
        <f>P360</f>
        <v>0.87</v>
      </c>
      <c r="AF360" s="1635">
        <f>(AB360-Z360)/(R360+S360+D360*V360)</f>
        <v>-338.3458646616541</v>
      </c>
      <c r="AG360" s="1646">
        <f>AE360^2-4*AD360*AF360</f>
        <v>1.8531406015037595</v>
      </c>
      <c r="AH360" s="1741">
        <f>SUM(AJ360:AL360)</f>
        <v>40.260000000000005</v>
      </c>
      <c r="AI360" s="1607"/>
      <c r="AJ360" s="1733">
        <f>C360*LOOKUP(T360,'HS250-DATA'!C$7:C$10,'HS250-DATA'!F$7:F$10)</f>
        <v>28.26</v>
      </c>
      <c r="AK360" s="1733">
        <f>IF(U360="Y",C360*12,0)</f>
        <v>12</v>
      </c>
      <c r="AL360" s="1733">
        <f>C360*E360*VLOOKUP(K360,'SCR-Diode DATA'!D$7:M$43,10,FALSE)</f>
        <v>0</v>
      </c>
      <c r="AM360" s="507">
        <f>AH360/F360</f>
        <v>0.13275200088997474</v>
      </c>
    </row>
    <row r="361" spans="1:39" ht="18.75">
      <c r="A361" s="1598" t="s">
        <v>501</v>
      </c>
      <c r="B361" s="1533">
        <f>IF(A361=3,6,IF(A361=1,4,IF(A361="bd",1,IF(A361="fwd",1,"Circuit Type"))))</f>
        <v>1</v>
      </c>
      <c r="C361" s="1600">
        <v>1</v>
      </c>
      <c r="D361" s="1575">
        <f>B361/C361</f>
        <v>1</v>
      </c>
      <c r="E361" s="1575">
        <v>1</v>
      </c>
      <c r="F361" s="1611">
        <f>IF(A361=3,3*G361,IF(A361=1,2*G361,IF(A361="bd",1*G361,IF(A361="fwd",1,"Error"))))</f>
        <v>335.75044758067423</v>
      </c>
      <c r="G361" s="1582">
        <f>(-AE361+SQRT(AG361))/2/AD361</f>
        <v>335.75044758067423</v>
      </c>
      <c r="H361" s="1583">
        <f>IF(A361=3,SQRT(3),IF(A361=1,SQRT(2),1))</f>
        <v>1</v>
      </c>
      <c r="I361" s="1594">
        <f>H361*G361</f>
        <v>335.75044758067423</v>
      </c>
      <c r="J361" s="1680" t="s">
        <v>558</v>
      </c>
      <c r="K361" s="1920" t="s">
        <v>680</v>
      </c>
      <c r="L361" s="1426">
        <v>320</v>
      </c>
      <c r="M361" s="1426">
        <v>502</v>
      </c>
      <c r="N361" s="1426">
        <v>8500</v>
      </c>
      <c r="O361" s="1425">
        <v>150</v>
      </c>
      <c r="P361" s="1425">
        <v>0.86</v>
      </c>
      <c r="Q361" s="1427">
        <v>0.44</v>
      </c>
      <c r="R361" s="1428">
        <v>0.125</v>
      </c>
      <c r="S361" s="1457">
        <v>3.5000000000000003E-2</v>
      </c>
      <c r="T361" s="1624">
        <v>15</v>
      </c>
      <c r="U361" s="1616" t="s">
        <v>645</v>
      </c>
      <c r="V361" s="1622">
        <f>IF(E361=1,IF(U361="N",LOOKUP(T361,'HS250-DATA'!C$7:C$10,'HS250-DATA'!D$7:D$10),IF(U361="Y",LOOKUP(T361,'HS250-DATA'!C$22:C$25,'HS250-DATA'!D$22:D$25),"FAN?")),IF(U361="N",LOOKUP(T361,'HS250-DATA'!C$14:C$17,'HS250-DATA'!D$14:D$17),IF(U361="Y",LOOKUP(T361,'HS250-DATA'!C$29:C$32,'HS250-DATA'!D$29:D$32),"FAN?")))</f>
        <v>0.106</v>
      </c>
      <c r="W361" s="1602">
        <f>(G361*H361)^2*Q361*10^-3+G361*P361</f>
        <v>338.34586466165399</v>
      </c>
      <c r="X361" s="1602">
        <f>D361*W361</f>
        <v>338.34586466165399</v>
      </c>
      <c r="Y361" s="1602">
        <f>IF(A361=3,W361*6,IF(A361=1,W361*4,W361))</f>
        <v>338.34586466165399</v>
      </c>
      <c r="Z361" s="1579">
        <f>O361-5</f>
        <v>145</v>
      </c>
      <c r="AA361" s="1602">
        <f>D361*W361*V361+AB361</f>
        <v>90.864661654135318</v>
      </c>
      <c r="AB361" s="1588">
        <v>55</v>
      </c>
      <c r="AC361" s="1570"/>
      <c r="AD361" s="1754">
        <f>Q361*10^-3*H361^2</f>
        <v>4.4000000000000002E-4</v>
      </c>
      <c r="AE361" s="1634">
        <f>P361</f>
        <v>0.86</v>
      </c>
      <c r="AF361" s="1635">
        <f>(AB361-Z361)/(R361+S361+D361*V361)</f>
        <v>-338.3458646616541</v>
      </c>
      <c r="AG361" s="1646">
        <f>AE361^2-4*AD361*AF361</f>
        <v>1.3350887218045111</v>
      </c>
      <c r="AH361" s="1741">
        <f>SUM(AJ361:AL361)</f>
        <v>94.460000000000008</v>
      </c>
      <c r="AI361" s="1607"/>
      <c r="AJ361" s="1733">
        <f>C361*LOOKUP(T361,'HS250-DATA'!C$7:C$10,'HS250-DATA'!F$7:F$10)</f>
        <v>28.26</v>
      </c>
      <c r="AK361" s="1733">
        <f>IF(U361="Y",C361*12,0)</f>
        <v>12</v>
      </c>
      <c r="AL361" s="1733">
        <f>C361*E361*VLOOKUP(K361,'SCR-Diode DATA'!D$7:M$43,10,FALSE)</f>
        <v>54.2</v>
      </c>
      <c r="AM361" s="507">
        <f>AH361/F361</f>
        <v>0.28133990790080221</v>
      </c>
    </row>
    <row r="362" spans="1:39" ht="18.75">
      <c r="A362" s="1598" t="s">
        <v>501</v>
      </c>
      <c r="B362" s="1533">
        <f>IF(A362=3,6,IF(A362=1,4,IF(A362="bd",1,IF(A362="fwd",1,"Circuit Type"))))</f>
        <v>1</v>
      </c>
      <c r="C362" s="1600">
        <v>1</v>
      </c>
      <c r="D362" s="1575">
        <f>B362/C362</f>
        <v>1</v>
      </c>
      <c r="E362" s="1575">
        <v>1</v>
      </c>
      <c r="F362" s="1611">
        <f>IF(A362=3,3*G362,IF(A362=1,2*G362,IF(A362="bd",1*G362,IF(A362="fwd",1,"Error"))))</f>
        <v>379.31954847777064</v>
      </c>
      <c r="G362" s="1582">
        <f>(-AE362+SQRT(AG362))/2/AD362</f>
        <v>379.31954847777064</v>
      </c>
      <c r="H362" s="1583">
        <f>IF(A362=3,SQRT(3),IF(A362=1,SQRT(2),1))</f>
        <v>1</v>
      </c>
      <c r="I362" s="1594">
        <f>H362*G362</f>
        <v>379.31954847777064</v>
      </c>
      <c r="J362" s="1680" t="s">
        <v>548</v>
      </c>
      <c r="K362" s="1432" t="s">
        <v>572</v>
      </c>
      <c r="L362" s="1426">
        <v>350</v>
      </c>
      <c r="M362" s="1426">
        <v>550</v>
      </c>
      <c r="N362" s="1426">
        <v>7340</v>
      </c>
      <c r="O362" s="1425">
        <v>150</v>
      </c>
      <c r="P362" s="1425">
        <v>0.65400000000000003</v>
      </c>
      <c r="Q362" s="1427">
        <v>0.32</v>
      </c>
      <c r="R362" s="1428">
        <v>0.14000000000000001</v>
      </c>
      <c r="S362" s="1457">
        <v>0.06</v>
      </c>
      <c r="T362" s="1624">
        <v>15</v>
      </c>
      <c r="U362" s="1616" t="s">
        <v>681</v>
      </c>
      <c r="V362" s="1622">
        <f>IF(E362=1,IF(U362="N",LOOKUP(T362,'HS250-DATA'!C$7:C$10,'HS250-DATA'!D$7:D$10),IF(U362="Y",LOOKUP(T362,'HS250-DATA'!C$22:C$25,'HS250-DATA'!D$22:D$25),"FAN?")),IF(U362="N",LOOKUP(T362,'HS250-DATA'!C$14:C$17,'HS250-DATA'!D$14:D$17),IF(U362="Y",LOOKUP(T362,'HS250-DATA'!C$29:C$32,'HS250-DATA'!D$29:D$32),"FAN?")))</f>
        <v>0.106</v>
      </c>
      <c r="W362" s="1602">
        <f>(G362*H362)^2*Q362*10^-3+G362*P362</f>
        <v>294.11764705882354</v>
      </c>
      <c r="X362" s="1602">
        <f>D362*W362</f>
        <v>294.11764705882354</v>
      </c>
      <c r="Y362" s="1602">
        <f>IF(A362=3,W362*6,IF(A362=1,W362*4,W362))</f>
        <v>294.11764705882354</v>
      </c>
      <c r="Z362" s="1579">
        <f>O362-5</f>
        <v>145</v>
      </c>
      <c r="AA362" s="1602">
        <f>D362*W362*V362+AB362</f>
        <v>86.17647058823529</v>
      </c>
      <c r="AB362" s="1588">
        <v>55</v>
      </c>
      <c r="AC362" s="1570"/>
      <c r="AD362" s="1754">
        <f>Q362*10^-3*H362^2</f>
        <v>3.2000000000000003E-4</v>
      </c>
      <c r="AE362" s="1634">
        <f>P362</f>
        <v>0.65400000000000003</v>
      </c>
      <c r="AF362" s="1635">
        <f>(AB362-Z362)/(R362+S362+D362*V362)</f>
        <v>-294.11764705882354</v>
      </c>
      <c r="AG362" s="1646">
        <f>AE362^2-4*AD362*AF362</f>
        <v>0.80418658823529421</v>
      </c>
      <c r="AH362" s="1741">
        <f>SUM(AJ362:AL362)</f>
        <v>115.26</v>
      </c>
      <c r="AI362" s="1607"/>
      <c r="AJ362" s="1733">
        <f>C362*LOOKUP(T362,'HS250-DATA'!C$7:C$10,'HS250-DATA'!F$7:F$10)</f>
        <v>28.26</v>
      </c>
      <c r="AK362" s="1733">
        <f>IF(U362="Y",C362*12,0)</f>
        <v>12</v>
      </c>
      <c r="AL362" s="1733">
        <f>C362*E362*VLOOKUP(K362,'SCR-Diode DATA'!D$7:M$43,10,FALSE)</f>
        <v>75</v>
      </c>
      <c r="AM362" s="507">
        <f>AH362/F362</f>
        <v>0.30385989981941208</v>
      </c>
    </row>
    <row r="365" spans="1:39" ht="18.75">
      <c r="A365" s="1598" t="s">
        <v>501</v>
      </c>
      <c r="B365" s="1533">
        <f>IF(A365=3,6,IF(A365=1,4,IF(A365="bd",1,IF(A365="fwd",1,"Circuit Type"))))</f>
        <v>1</v>
      </c>
      <c r="C365" s="1600">
        <v>1</v>
      </c>
      <c r="D365" s="1575">
        <f>B365/C365</f>
        <v>1</v>
      </c>
      <c r="E365" s="1575">
        <v>1</v>
      </c>
      <c r="F365" s="1611">
        <f>IF(A365=3,3*G365,IF(A365=1,2*G365,IF(A365="bd",1*G365,IF(A365="fwd",1,"Error"))))</f>
        <v>275.22388069365638</v>
      </c>
      <c r="G365" s="1582">
        <f>(-AE365+SQRT(AG365))/2/AD365</f>
        <v>275.22388069365638</v>
      </c>
      <c r="H365" s="1583">
        <f>IF(A365=3,SQRT(3),IF(A365=1,SQRT(2),1))</f>
        <v>1</v>
      </c>
      <c r="I365" s="1594">
        <f>H365*G365</f>
        <v>275.22388069365638</v>
      </c>
      <c r="J365" s="1680" t="s">
        <v>548</v>
      </c>
      <c r="K365" s="1920" t="s">
        <v>678</v>
      </c>
      <c r="L365" s="1426">
        <v>250</v>
      </c>
      <c r="M365" s="1426">
        <v>393</v>
      </c>
      <c r="N365" s="1426">
        <v>5900</v>
      </c>
      <c r="O365" s="1425">
        <v>150</v>
      </c>
      <c r="P365" s="1425">
        <v>0.92</v>
      </c>
      <c r="Q365" s="1427">
        <v>0.49</v>
      </c>
      <c r="R365" s="1428">
        <v>0.16</v>
      </c>
      <c r="S365" s="1457">
        <v>3.5000000000000003E-2</v>
      </c>
      <c r="T365" s="1624">
        <v>10</v>
      </c>
      <c r="U365" s="1616" t="s">
        <v>645</v>
      </c>
      <c r="V365" s="1622">
        <f>IF(E365=1,IF(U365="N",LOOKUP(T365,'HS250-DATA'!C$7:C$10,'HS250-DATA'!D$7:D$10),IF(U365="Y",LOOKUP(T365,'HS250-DATA'!C$22:C$25,'HS250-DATA'!D$22:D$25),"FAN?")),IF(U365="N",LOOKUP(T365,'HS250-DATA'!C$14:C$17,'HS250-DATA'!D$14:D$17),IF(U365="Y",LOOKUP(T365,'HS250-DATA'!C$29:C$32,'HS250-DATA'!D$29:D$32),"FAN?")))</f>
        <v>0.115</v>
      </c>
      <c r="W365" s="1602">
        <f>(G365*H365)^2*Q365*10^-3+G365*P365</f>
        <v>290.32258064516111</v>
      </c>
      <c r="X365" s="1602">
        <f>D365*W365</f>
        <v>290.32258064516111</v>
      </c>
      <c r="Y365" s="1602">
        <f>IF(A365=3,W365*6,IF(A365=1,W365*4,W365))</f>
        <v>290.32258064516111</v>
      </c>
      <c r="Z365" s="1579">
        <f>O365-5</f>
        <v>145</v>
      </c>
      <c r="AA365" s="1602">
        <f>D365*W365*V365+AB365</f>
        <v>88.387096774193537</v>
      </c>
      <c r="AB365" s="1588">
        <v>55</v>
      </c>
      <c r="AC365" s="1570"/>
      <c r="AD365" s="1754">
        <f>Q365*10^-3*H365^2</f>
        <v>4.8999999999999998E-4</v>
      </c>
      <c r="AE365" s="1634">
        <f>P365</f>
        <v>0.92</v>
      </c>
      <c r="AF365" s="1635">
        <f>(AB365-Z365)/(R365+S365+D365*V365)</f>
        <v>-290.32258064516128</v>
      </c>
      <c r="AG365" s="1646">
        <f>AE365^2-4*AD365*AF365</f>
        <v>1.415432258064516</v>
      </c>
      <c r="AH365" s="1741">
        <f>SUM(AJ365:AL365)</f>
        <v>77.960000000000008</v>
      </c>
      <c r="AI365" s="1607"/>
      <c r="AJ365" s="1733">
        <f>C365*LOOKUP(T365,'HS250-DATA'!C$7:C$10,'HS250-DATA'!F$7:F$10)</f>
        <v>19.86</v>
      </c>
      <c r="AK365" s="1733">
        <f>IF(U365="Y",C365*12,0)</f>
        <v>12</v>
      </c>
      <c r="AL365" s="1733">
        <f>C365*E365*VLOOKUP(K365,'SCR-Diode DATA'!D$7:M$43,10,FALSE)</f>
        <v>46.1</v>
      </c>
      <c r="AM365" s="507">
        <f>AH365/F365</f>
        <v>0.28326030358817228</v>
      </c>
    </row>
    <row r="366" spans="1:39" ht="18.75">
      <c r="A366" s="1598" t="s">
        <v>501</v>
      </c>
      <c r="B366" s="1533">
        <f>IF(A366=3,6,IF(A366=1,4,IF(A366="bd",1,IF(A366="fwd",1,"Circuit Type"))))</f>
        <v>1</v>
      </c>
      <c r="C366" s="1600">
        <v>1</v>
      </c>
      <c r="D366" s="1575">
        <f>B366/C366</f>
        <v>1</v>
      </c>
      <c r="E366" s="1575">
        <v>1</v>
      </c>
      <c r="F366" s="1611">
        <f>IF(A366=3,3*G366,IF(A366=1,2*G366,IF(A366="bd",1*G366,IF(A366="fwd",1,"Error"))))</f>
        <v>295.0982783954496</v>
      </c>
      <c r="G366" s="1582">
        <f>(-AE366+SQRT(AG366))/2/AD366</f>
        <v>295.0982783954496</v>
      </c>
      <c r="H366" s="1583">
        <f>IF(A366=3,SQRT(3),IF(A366=1,SQRT(2),1))</f>
        <v>1</v>
      </c>
      <c r="I366" s="1594">
        <f>H366*G366</f>
        <v>295.0982783954496</v>
      </c>
      <c r="J366" s="1680" t="s">
        <v>548</v>
      </c>
      <c r="K366" s="1920" t="s">
        <v>679</v>
      </c>
      <c r="L366" s="1426">
        <v>270</v>
      </c>
      <c r="M366" s="1426">
        <v>424</v>
      </c>
      <c r="N366" s="1426">
        <v>7500</v>
      </c>
      <c r="O366" s="1425">
        <v>150</v>
      </c>
      <c r="P366" s="1425">
        <v>0.87</v>
      </c>
      <c r="Q366" s="1427">
        <v>0.81</v>
      </c>
      <c r="R366" s="1428">
        <v>0.125</v>
      </c>
      <c r="S366" s="1457">
        <v>3.5000000000000003E-2</v>
      </c>
      <c r="T366" s="1624">
        <v>10</v>
      </c>
      <c r="U366" s="1616" t="s">
        <v>645</v>
      </c>
      <c r="V366" s="1622">
        <f>IF(E366=1,IF(U366="N",LOOKUP(T366,'HS250-DATA'!C$7:C$10,'HS250-DATA'!D$7:D$10),IF(U366="Y",LOOKUP(T366,'HS250-DATA'!C$22:C$25,'HS250-DATA'!D$22:D$25),"FAN?")),IF(U366="N",LOOKUP(T366,'HS250-DATA'!C$14:C$17,'HS250-DATA'!D$14:D$17),IF(U366="Y",LOOKUP(T366,'HS250-DATA'!C$29:C$32,'HS250-DATA'!D$29:D$32),"FAN?")))</f>
        <v>0.115</v>
      </c>
      <c r="W366" s="1602">
        <f>(G366*H366)^2*Q366*10^-3+G366*P366</f>
        <v>327.27272727272737</v>
      </c>
      <c r="X366" s="1602">
        <f>D366*W366</f>
        <v>327.27272727272737</v>
      </c>
      <c r="Y366" s="1602">
        <f>IF(A366=3,W366*6,IF(A366=1,W366*4,W366))</f>
        <v>327.27272727272737</v>
      </c>
      <c r="Z366" s="1579">
        <f>O366-5</f>
        <v>145</v>
      </c>
      <c r="AA366" s="1602">
        <f>D366*W366*V366+AB366</f>
        <v>92.636363636363654</v>
      </c>
      <c r="AB366" s="1588">
        <v>55</v>
      </c>
      <c r="AC366" s="1570"/>
      <c r="AD366" s="1754">
        <f>Q366*10^-3*H366^2</f>
        <v>8.1000000000000006E-4</v>
      </c>
      <c r="AE366" s="1634">
        <f>P366</f>
        <v>0.87</v>
      </c>
      <c r="AF366" s="1635">
        <f>(AB366-Z366)/(R366+S366+D366*V366)</f>
        <v>-327.27272727272725</v>
      </c>
      <c r="AG366" s="1646">
        <f>AE366^2-4*AD366*AF366</f>
        <v>1.8172636363636365</v>
      </c>
      <c r="AH366" s="1741">
        <f>SUM(AJ366:AL366)</f>
        <v>31.86</v>
      </c>
      <c r="AI366" s="1607"/>
      <c r="AJ366" s="1733">
        <f>C366*LOOKUP(T366,'HS250-DATA'!C$7:C$10,'HS250-DATA'!F$7:F$10)</f>
        <v>19.86</v>
      </c>
      <c r="AK366" s="1733">
        <f>IF(U366="Y",C366*12,0)</f>
        <v>12</v>
      </c>
      <c r="AL366" s="1733">
        <f>C366*E366*VLOOKUP(K366,'SCR-Diode DATA'!D$7:M$43,10,FALSE)</f>
        <v>0</v>
      </c>
      <c r="AM366" s="507">
        <f>AH366/F366</f>
        <v>0.10796403209545556</v>
      </c>
    </row>
    <row r="367" spans="1:39" ht="18.75">
      <c r="A367" s="1598" t="s">
        <v>501</v>
      </c>
      <c r="B367" s="1533">
        <f>IF(A367=3,6,IF(A367=1,4,IF(A367="bd",1,IF(A367="fwd",1,"Circuit Type"))))</f>
        <v>1</v>
      </c>
      <c r="C367" s="1600">
        <v>1</v>
      </c>
      <c r="D367" s="1575">
        <f>B367/C367</f>
        <v>1</v>
      </c>
      <c r="E367" s="1575">
        <v>1</v>
      </c>
      <c r="F367" s="1611">
        <f>IF(A367=3,3*G367,IF(A367=1,2*G367,IF(A367="bd",1*G367,IF(A367="fwd",1,"Error"))))</f>
        <v>326.13190535815164</v>
      </c>
      <c r="G367" s="1582">
        <f>(-AE367+SQRT(AG367))/2/AD367</f>
        <v>326.13190535815164</v>
      </c>
      <c r="H367" s="1583">
        <f>IF(A367=3,SQRT(3),IF(A367=1,SQRT(2),1))</f>
        <v>1</v>
      </c>
      <c r="I367" s="1594">
        <f>H367*G367</f>
        <v>326.13190535815164</v>
      </c>
      <c r="J367" s="1680" t="s">
        <v>548</v>
      </c>
      <c r="K367" s="1920" t="s">
        <v>680</v>
      </c>
      <c r="L367" s="1426">
        <v>320</v>
      </c>
      <c r="M367" s="1426">
        <v>502</v>
      </c>
      <c r="N367" s="1426">
        <v>8500</v>
      </c>
      <c r="O367" s="1425">
        <v>150</v>
      </c>
      <c r="P367" s="1425">
        <v>0.86</v>
      </c>
      <c r="Q367" s="1427">
        <v>0.44</v>
      </c>
      <c r="R367" s="1428">
        <v>0.125</v>
      </c>
      <c r="S367" s="1457">
        <v>3.5000000000000003E-2</v>
      </c>
      <c r="T367" s="1624">
        <v>10</v>
      </c>
      <c r="U367" s="1616" t="s">
        <v>645</v>
      </c>
      <c r="V367" s="1622">
        <f>IF(E367=1,IF(U367="N",LOOKUP(T367,'HS250-DATA'!C$7:C$10,'HS250-DATA'!D$7:D$10),IF(U367="Y",LOOKUP(T367,'HS250-DATA'!C$22:C$25,'HS250-DATA'!D$22:D$25),"FAN?")),IF(U367="N",LOOKUP(T367,'HS250-DATA'!C$14:C$17,'HS250-DATA'!D$14:D$17),IF(U367="Y",LOOKUP(T367,'HS250-DATA'!C$29:C$32,'HS250-DATA'!D$29:D$32),"FAN?")))</f>
        <v>0.115</v>
      </c>
      <c r="W367" s="1602">
        <f>(G367*H367)^2*Q367*10^-3+G367*P367</f>
        <v>327.27272727272725</v>
      </c>
      <c r="X367" s="1602">
        <f>D367*W367</f>
        <v>327.27272727272725</v>
      </c>
      <c r="Y367" s="1602">
        <f>IF(A367=3,W367*6,IF(A367=1,W367*4,W367))</f>
        <v>327.27272727272725</v>
      </c>
      <c r="Z367" s="1579">
        <f>O367-5</f>
        <v>145</v>
      </c>
      <c r="AA367" s="1602">
        <f>D367*W367*V367+AB367</f>
        <v>92.636363636363626</v>
      </c>
      <c r="AB367" s="1588">
        <v>55</v>
      </c>
      <c r="AC367" s="1570"/>
      <c r="AD367" s="1754">
        <f>Q367*10^-3*H367^2</f>
        <v>4.4000000000000002E-4</v>
      </c>
      <c r="AE367" s="1634">
        <f>P367</f>
        <v>0.86</v>
      </c>
      <c r="AF367" s="1635">
        <f>(AB367-Z367)/(R367+S367+D367*V367)</f>
        <v>-327.27272727272725</v>
      </c>
      <c r="AG367" s="1646">
        <f>AE367^2-4*AD367*AF367</f>
        <v>1.3155999999999999</v>
      </c>
      <c r="AH367" s="1741">
        <f>SUM(AJ367:AL367)</f>
        <v>86.06</v>
      </c>
      <c r="AI367" s="1607"/>
      <c r="AJ367" s="1733">
        <f>C367*LOOKUP(T367,'HS250-DATA'!C$7:C$10,'HS250-DATA'!F$7:F$10)</f>
        <v>19.86</v>
      </c>
      <c r="AK367" s="1733">
        <f>IF(U367="Y",C367*12,0)</f>
        <v>12</v>
      </c>
      <c r="AL367" s="1733">
        <f>C367*E367*VLOOKUP(K367,'SCR-Diode DATA'!D$7:M$43,10,FALSE)</f>
        <v>54.2</v>
      </c>
      <c r="AM367" s="507">
        <f>AH367/F367</f>
        <v>0.26388095916433141</v>
      </c>
    </row>
    <row r="368" spans="1:39" ht="18.75">
      <c r="A368" s="1598" t="s">
        <v>501</v>
      </c>
      <c r="B368" s="1533">
        <f>IF(A368=3,6,IF(A368=1,4,IF(A368="bd",1,IF(A368="fwd",1,"Circuit Type"))))</f>
        <v>1</v>
      </c>
      <c r="C368" s="1600">
        <v>1</v>
      </c>
      <c r="D368" s="1575">
        <f>B368/C368</f>
        <v>1</v>
      </c>
      <c r="E368" s="1575">
        <v>1</v>
      </c>
      <c r="F368" s="1611">
        <f>IF(A368=3,3*G368,IF(A368=1,2*G368,IF(A368="bd",1*G368,IF(A368="fwd",1,"Error"))))</f>
        <v>369.91724688246597</v>
      </c>
      <c r="G368" s="1582">
        <f>(-AE368+SQRT(AG368))/2/AD368</f>
        <v>369.91724688246597</v>
      </c>
      <c r="H368" s="1583">
        <f>IF(A368=3,SQRT(3),IF(A368=1,SQRT(2),1))</f>
        <v>1</v>
      </c>
      <c r="I368" s="1594">
        <f>H368*G368</f>
        <v>369.91724688246597</v>
      </c>
      <c r="J368" s="1680" t="s">
        <v>548</v>
      </c>
      <c r="K368" s="1432" t="s">
        <v>572</v>
      </c>
      <c r="L368" s="1426">
        <v>350</v>
      </c>
      <c r="M368" s="1426">
        <v>550</v>
      </c>
      <c r="N368" s="1426">
        <v>7340</v>
      </c>
      <c r="O368" s="1425">
        <v>150</v>
      </c>
      <c r="P368" s="1425">
        <v>0.65400000000000003</v>
      </c>
      <c r="Q368" s="1427">
        <v>0.32</v>
      </c>
      <c r="R368" s="1428">
        <v>0.14000000000000001</v>
      </c>
      <c r="S368" s="1457">
        <v>0.06</v>
      </c>
      <c r="T368" s="1624">
        <v>10</v>
      </c>
      <c r="U368" s="1616" t="s">
        <v>645</v>
      </c>
      <c r="V368" s="1622">
        <f>IF(E368=1,IF(U368="N",LOOKUP(T368,'HS250-DATA'!C$7:C$10,'HS250-DATA'!D$7:D$10),IF(U368="Y",LOOKUP(T368,'HS250-DATA'!C$22:C$25,'HS250-DATA'!D$22:D$25),"FAN?")),IF(U368="N",LOOKUP(T368,'HS250-DATA'!C$14:C$17,'HS250-DATA'!D$14:D$17),IF(U368="Y",LOOKUP(T368,'HS250-DATA'!C$29:C$32,'HS250-DATA'!D$29:D$32),"FAN?")))</f>
        <v>0.115</v>
      </c>
      <c r="W368" s="1602">
        <f>(G368*H368)^2*Q368*10^-3+G368*P368</f>
        <v>285.71428571428578</v>
      </c>
      <c r="X368" s="1602">
        <f>D368*W368</f>
        <v>285.71428571428578</v>
      </c>
      <c r="Y368" s="1602">
        <f>IF(A368=3,W368*6,IF(A368=1,W368*4,W368))</f>
        <v>285.71428571428578</v>
      </c>
      <c r="Z368" s="1579">
        <f>O368-5</f>
        <v>145</v>
      </c>
      <c r="AA368" s="1602">
        <f>D368*W368*V368+AB368</f>
        <v>87.857142857142861</v>
      </c>
      <c r="AB368" s="1588">
        <v>55</v>
      </c>
      <c r="AC368" s="1570"/>
      <c r="AD368" s="1754">
        <f>Q368*10^-3*H368^2</f>
        <v>3.2000000000000003E-4</v>
      </c>
      <c r="AE368" s="1634">
        <f>P368</f>
        <v>0.65400000000000003</v>
      </c>
      <c r="AF368" s="1635">
        <f>(AB368-Z368)/(R368+S368+D368*V368)</f>
        <v>-285.71428571428572</v>
      </c>
      <c r="AG368" s="1646">
        <f>AE368^2-4*AD368*AF368</f>
        <v>0.79343028571428587</v>
      </c>
      <c r="AH368" s="1741">
        <f>SUM(AJ368:AL368)</f>
        <v>106.86</v>
      </c>
      <c r="AI368" s="1607"/>
      <c r="AJ368" s="1733">
        <f>C368*LOOKUP(T368,'HS250-DATA'!C$7:C$10,'HS250-DATA'!F$7:F$10)</f>
        <v>19.86</v>
      </c>
      <c r="AK368" s="1733">
        <f>IF(U368="Y",C368*12,0)</f>
        <v>12</v>
      </c>
      <c r="AL368" s="1733">
        <f>C368*E368*VLOOKUP(K368,'SCR-Diode DATA'!D$7:M$43,10,FALSE)</f>
        <v>75</v>
      </c>
      <c r="AM368" s="507">
        <f>AH368/F368</f>
        <v>0.28887541984208348</v>
      </c>
    </row>
    <row r="370" spans="1:39" ht="18.75">
      <c r="A370" s="1598" t="s">
        <v>501</v>
      </c>
      <c r="B370" s="1533">
        <f>IF(A370=3,6,IF(A370=1,4,IF(A370="bd",1,IF(A370="fwd",1,"Circuit Type"))))</f>
        <v>1</v>
      </c>
      <c r="C370" s="1600">
        <v>1</v>
      </c>
      <c r="D370" s="1575">
        <f>B370/C370</f>
        <v>1</v>
      </c>
      <c r="E370" s="1575">
        <v>1</v>
      </c>
      <c r="F370" s="1611">
        <f>IF(A370=3,3*G370,IF(A370=1,2*G370,IF(A370="bd",1*G370,IF(A370="fwd",1,"Error"))))</f>
        <v>99.417707191663339</v>
      </c>
      <c r="G370" s="1582">
        <f>(-AE370+SQRT(AG370))/2/AD370</f>
        <v>99.417707191663339</v>
      </c>
      <c r="H370" s="1583">
        <f>IF(A370=3,SQRT(3),IF(A370=1,SQRT(2),1))</f>
        <v>1</v>
      </c>
      <c r="I370" s="1594">
        <f>H370*G370</f>
        <v>99.417707191663339</v>
      </c>
      <c r="J370" s="1680" t="s">
        <v>548</v>
      </c>
      <c r="K370" s="1432" t="s">
        <v>569</v>
      </c>
      <c r="L370" s="1426">
        <v>90</v>
      </c>
      <c r="M370" s="1426">
        <v>150</v>
      </c>
      <c r="N370" s="1426">
        <v>1950</v>
      </c>
      <c r="O370" s="1425">
        <v>125</v>
      </c>
      <c r="P370" s="1425">
        <v>0.9</v>
      </c>
      <c r="Q370" s="1427">
        <v>2</v>
      </c>
      <c r="R370" s="1428">
        <v>0.28000000000000003</v>
      </c>
      <c r="S370" s="1457">
        <v>0.2</v>
      </c>
      <c r="T370" s="1624">
        <v>10</v>
      </c>
      <c r="U370" s="1616" t="s">
        <v>645</v>
      </c>
      <c r="V370" s="1622">
        <f>IF(E370=1,IF(U370="N",LOOKUP(T370,'HS250-DATA'!C$7:C$10,'HS250-DATA'!D$7:D$10),IF(U370="Y",LOOKUP(T370,'HS250-DATA'!C$22:C$25,'HS250-DATA'!D$22:D$25),"FAN?")),IF(U370="N",LOOKUP(T370,'HS250-DATA'!C$14:C$17,'HS250-DATA'!D$14:D$17),IF(U370="Y",LOOKUP(T370,'HS250-DATA'!C$29:C$32,'HS250-DATA'!D$29:D$32),"FAN?")))</f>
        <v>0.115</v>
      </c>
      <c r="W370" s="1602">
        <f>(G370*H370)^2*Q370*10^-3+G370*P370</f>
        <v>109.24369747899163</v>
      </c>
      <c r="X370" s="1602">
        <f>D370*W370</f>
        <v>109.24369747899163</v>
      </c>
      <c r="Y370" s="1602">
        <f>IF(A370=3,W370*6,IF(A370=1,W370*4,W370))</f>
        <v>109.24369747899163</v>
      </c>
      <c r="Z370" s="1579">
        <f>O370-5</f>
        <v>120</v>
      </c>
      <c r="AA370" s="1602">
        <f>D370*W370*V370+AB370</f>
        <v>67.563025210084035</v>
      </c>
      <c r="AB370" s="1588">
        <v>55</v>
      </c>
      <c r="AC370" s="1570"/>
      <c r="AD370" s="1754">
        <f>Q370*10^-3*H370^2</f>
        <v>2E-3</v>
      </c>
      <c r="AE370" s="1634">
        <f>P370</f>
        <v>0.9</v>
      </c>
      <c r="AF370" s="1635">
        <f>(AB370-Z370)/(R370+S370+D370*V370)</f>
        <v>-109.24369747899158</v>
      </c>
      <c r="AG370" s="1646">
        <f>AE370^2-4*AD370*AF370</f>
        <v>1.6839495798319328</v>
      </c>
      <c r="AH370" s="1741">
        <f>SUM(AJ370:AL370)</f>
        <v>44.86</v>
      </c>
      <c r="AI370" s="1607"/>
      <c r="AJ370" s="1733">
        <f>C370*LOOKUP(T370,'HS250-DATA'!C$7:C$10,'HS250-DATA'!F$7:F$10)</f>
        <v>19.86</v>
      </c>
      <c r="AK370" s="1733">
        <f>IF(U370="Y",C370*12,0)</f>
        <v>12</v>
      </c>
      <c r="AL370" s="1733">
        <f>C370*E370*VLOOKUP(K370,'SCR-Diode DATA'!D$7:M$43,10,FALSE)</f>
        <v>13</v>
      </c>
      <c r="AM370" s="507">
        <f>AH370/F370</f>
        <v>0.45122746507839129</v>
      </c>
    </row>
    <row r="371" spans="1:39" ht="18.75">
      <c r="A371" s="1598" t="s">
        <v>501</v>
      </c>
      <c r="B371" s="1533">
        <f>IF(A371=3,6,IF(A371=1,4,IF(A371="bd",1,IF(A371="fwd",1,"Circuit Type"))))</f>
        <v>1</v>
      </c>
      <c r="C371" s="1600">
        <v>1</v>
      </c>
      <c r="D371" s="1575">
        <f>B371/C371</f>
        <v>1</v>
      </c>
      <c r="E371" s="1575">
        <v>1</v>
      </c>
      <c r="F371" s="1611">
        <f>IF(A371=3,3*G371,IF(A371=1,2*G371,IF(A371="bd",1*G371,IF(A371="fwd",1,"Error"))))</f>
        <v>207.35576877050869</v>
      </c>
      <c r="G371" s="1582">
        <f>(-AE371+SQRT(AG371))/2/AD371</f>
        <v>207.35576877050869</v>
      </c>
      <c r="H371" s="1583">
        <f>IF(A371=3,SQRT(3),IF(A371=1,SQRT(2),1))</f>
        <v>1</v>
      </c>
      <c r="I371" s="1594">
        <f>H371*G371</f>
        <v>207.35576877050869</v>
      </c>
      <c r="J371" s="1680" t="s">
        <v>548</v>
      </c>
      <c r="K371" s="1432" t="s">
        <v>505</v>
      </c>
      <c r="L371" s="1426">
        <v>160</v>
      </c>
      <c r="M371" s="1426">
        <v>250</v>
      </c>
      <c r="N371" s="1426">
        <v>3350</v>
      </c>
      <c r="O371" s="1425">
        <v>150</v>
      </c>
      <c r="P371" s="1425">
        <v>0.85</v>
      </c>
      <c r="Q371" s="1427">
        <v>1.2</v>
      </c>
      <c r="R371" s="1428">
        <v>0.18</v>
      </c>
      <c r="S371" s="1457">
        <v>0.1</v>
      </c>
      <c r="T371" s="1624">
        <v>10</v>
      </c>
      <c r="U371" s="1616" t="s">
        <v>645</v>
      </c>
      <c r="V371" s="1622">
        <f>IF(E371=1,IF(U371="N",LOOKUP(T371,'HS250-DATA'!C$7:C$10,'HS250-DATA'!D$7:D$10),IF(U371="Y",LOOKUP(T371,'HS250-DATA'!C$22:C$25,'HS250-DATA'!D$22:D$25),"FAN?")),IF(U371="N",LOOKUP(T371,'HS250-DATA'!C$14:C$17,'HS250-DATA'!D$14:D$17),IF(U371="Y",LOOKUP(T371,'HS250-DATA'!C$29:C$32,'HS250-DATA'!D$29:D$32),"FAN?")))</f>
        <v>0.115</v>
      </c>
      <c r="W371" s="1602">
        <f>(G371*H371)^2*Q371*10^-3+G371*P371</f>
        <v>227.84810126582278</v>
      </c>
      <c r="X371" s="1602">
        <f>D371*W371</f>
        <v>227.84810126582278</v>
      </c>
      <c r="Y371" s="1602">
        <f>IF(A371=3,W371*6,IF(A371=1,W371*4,W371))</f>
        <v>227.84810126582278</v>
      </c>
      <c r="Z371" s="1579">
        <f>O371-5</f>
        <v>145</v>
      </c>
      <c r="AA371" s="1602">
        <f>D371*W371*V371+AB371</f>
        <v>81.202531645569621</v>
      </c>
      <c r="AB371" s="1588">
        <v>55</v>
      </c>
      <c r="AC371" s="1570"/>
      <c r="AD371" s="1754">
        <f>Q371*10^-3*H371^2</f>
        <v>1.1999999999999999E-3</v>
      </c>
      <c r="AE371" s="1634">
        <f>P371</f>
        <v>0.85</v>
      </c>
      <c r="AF371" s="1635">
        <f>(AB371-Z371)/(R371+S371+D371*V371)</f>
        <v>-227.84810126582278</v>
      </c>
      <c r="AG371" s="1646">
        <f>AE371^2-4*AD371*AF371</f>
        <v>1.8161708860759491</v>
      </c>
      <c r="AH371" s="1741">
        <f>SUM(AJ371:AL371)</f>
        <v>61.86</v>
      </c>
      <c r="AI371" s="1607"/>
      <c r="AJ371" s="1733">
        <f>C371*LOOKUP(T371,'HS250-DATA'!C$7:C$10,'HS250-DATA'!F$7:F$10)</f>
        <v>19.86</v>
      </c>
      <c r="AK371" s="1733">
        <f>IF(U371="Y",C371*12,0)</f>
        <v>12</v>
      </c>
      <c r="AL371" s="1733">
        <f>C371*E371*VLOOKUP(K371,'SCR-Diode DATA'!D$7:M$43,10,FALSE)</f>
        <v>30</v>
      </c>
      <c r="AM371" s="507">
        <f>AH371/F371</f>
        <v>0.29832784670902329</v>
      </c>
    </row>
    <row r="372" spans="1:39" ht="18.75">
      <c r="A372" s="1598" t="s">
        <v>501</v>
      </c>
      <c r="B372" s="1533">
        <f>IF(A372=3,6,IF(A372=1,4,IF(A372="bd",1,IF(A372="fwd",1,"Circuit Type"))))</f>
        <v>1</v>
      </c>
      <c r="C372" s="1600">
        <v>1</v>
      </c>
      <c r="D372" s="1575">
        <f>B372/C372</f>
        <v>1</v>
      </c>
      <c r="E372" s="1575">
        <v>1</v>
      </c>
      <c r="F372" s="1611">
        <f>IF(A372=3,3*G372,IF(A372=1,2*G372,IF(A372="bd",1*G372,IF(A372="fwd",1,"Error"))))</f>
        <v>193.06859389257892</v>
      </c>
      <c r="G372" s="1582">
        <f>(-AE372+SQRT(AG372))/2/AD372</f>
        <v>193.06859389257892</v>
      </c>
      <c r="H372" s="1583">
        <f>IF(A372=3,SQRT(3),IF(A372=1,SQRT(2),1))</f>
        <v>1</v>
      </c>
      <c r="I372" s="1594">
        <f>H372*G372</f>
        <v>193.06859389257892</v>
      </c>
      <c r="J372" s="1680" t="s">
        <v>548</v>
      </c>
      <c r="K372" s="3" t="s">
        <v>685</v>
      </c>
      <c r="L372" s="1426">
        <v>165</v>
      </c>
      <c r="M372" s="1426">
        <v>260</v>
      </c>
      <c r="N372" s="1426">
        <v>3350</v>
      </c>
      <c r="O372" s="1425">
        <v>150</v>
      </c>
      <c r="P372" s="1425">
        <v>0.88</v>
      </c>
      <c r="Q372" s="1427">
        <v>1.26</v>
      </c>
      <c r="R372" s="1428">
        <v>0.2</v>
      </c>
      <c r="S372" s="1457">
        <v>0.1</v>
      </c>
      <c r="T372" s="1624">
        <v>10</v>
      </c>
      <c r="U372" s="1616" t="s">
        <v>645</v>
      </c>
      <c r="V372" s="1622">
        <f>IF(E372=1,IF(U372="N",LOOKUP(T372,'HS250-DATA'!C$7:C$10,'HS250-DATA'!D$7:D$10),IF(U372="Y",LOOKUP(T372,'HS250-DATA'!C$22:C$25,'HS250-DATA'!D$22:D$25),"FAN?")),IF(U372="N",LOOKUP(T372,'HS250-DATA'!C$14:C$17,'HS250-DATA'!D$14:D$17),IF(U372="Y",LOOKUP(T372,'HS250-DATA'!C$29:C$32,'HS250-DATA'!D$29:D$32),"FAN?")))</f>
        <v>0.115</v>
      </c>
      <c r="W372" s="1602">
        <f>(G372*H372)^2*Q372*10^-3+G372*P372</f>
        <v>216.86746987951798</v>
      </c>
      <c r="X372" s="1602">
        <f>D372*W372</f>
        <v>216.86746987951798</v>
      </c>
      <c r="Y372" s="1602">
        <f>IF(A372=3,W372*6,IF(A372=1,W372*4,W372))</f>
        <v>216.86746987951798</v>
      </c>
      <c r="Z372" s="1579">
        <f>O372-5</f>
        <v>145</v>
      </c>
      <c r="AA372" s="1602">
        <f>D372*W372*V372+AB372</f>
        <v>79.939759036144565</v>
      </c>
      <c r="AB372" s="1588">
        <v>55</v>
      </c>
      <c r="AC372" s="1570"/>
      <c r="AD372" s="1754">
        <f>Q372*10^-3*H372^2</f>
        <v>1.2600000000000001E-3</v>
      </c>
      <c r="AE372" s="1634">
        <f>P372</f>
        <v>0.88</v>
      </c>
      <c r="AF372" s="1635">
        <f>(AB372-Z372)/(R372+S372+D372*V372)</f>
        <v>-216.86746987951804</v>
      </c>
      <c r="AG372" s="1646">
        <f>AE372^2-4*AD372*AF372</f>
        <v>1.867412048192771</v>
      </c>
      <c r="AH372" s="1741">
        <f>SUM(AJ372:AL372)</f>
        <v>57.56</v>
      </c>
      <c r="AI372" s="1607"/>
      <c r="AJ372" s="1733">
        <f>C372*LOOKUP(T372,'HS250-DATA'!C$7:C$10,'HS250-DATA'!F$7:F$10)</f>
        <v>19.86</v>
      </c>
      <c r="AK372" s="1733">
        <f>IF(U372="Y",C372*12,0)</f>
        <v>12</v>
      </c>
      <c r="AL372" s="1733">
        <f>C372*E372*VLOOKUP(K372,'SCR-Diode DATA'!D$7:M$43,10,FALSE)</f>
        <v>25.7</v>
      </c>
      <c r="AM372" s="507">
        <f>AH372/F372</f>
        <v>0.29813238310538331</v>
      </c>
    </row>
    <row r="373" spans="1:39" ht="18.75">
      <c r="A373" s="1598" t="s">
        <v>501</v>
      </c>
      <c r="B373" s="1533">
        <f t="shared" ref="B373:B379" si="204">IF(A373=3,6,IF(A373=1,4,IF(A373="bd",1,IF(A373="fwd",1,"Circuit Type"))))</f>
        <v>1</v>
      </c>
      <c r="C373" s="1600">
        <v>1</v>
      </c>
      <c r="D373" s="1575">
        <f t="shared" ref="D373:D379" si="205">B373/C373</f>
        <v>1</v>
      </c>
      <c r="E373" s="1575">
        <v>1</v>
      </c>
      <c r="F373" s="1611">
        <f t="shared" ref="F373:F379" si="206">IF(A373=3,3*G373,IF(A373=1,2*G373,IF(A373="bd",1*G373,IF(A373="fwd",1,"Error"))))</f>
        <v>275.22388069365638</v>
      </c>
      <c r="G373" s="1582">
        <f t="shared" ref="G373:G379" si="207">(-AE373+SQRT(AG373))/2/AD373</f>
        <v>275.22388069365638</v>
      </c>
      <c r="H373" s="1583">
        <f t="shared" ref="H373:H379" si="208">IF(A373=3,SQRT(3),IF(A373=1,SQRT(2),1))</f>
        <v>1</v>
      </c>
      <c r="I373" s="1594">
        <f t="shared" ref="I373:I379" si="209">H373*G373</f>
        <v>275.22388069365638</v>
      </c>
      <c r="J373" s="1680" t="s">
        <v>548</v>
      </c>
      <c r="K373" s="1920" t="s">
        <v>678</v>
      </c>
      <c r="L373" s="1426">
        <v>250</v>
      </c>
      <c r="M373" s="1426">
        <v>393</v>
      </c>
      <c r="N373" s="1426">
        <v>5900</v>
      </c>
      <c r="O373" s="1425">
        <v>150</v>
      </c>
      <c r="P373" s="1425">
        <v>0.92</v>
      </c>
      <c r="Q373" s="1427">
        <v>0.49</v>
      </c>
      <c r="R373" s="1428">
        <v>0.16</v>
      </c>
      <c r="S373" s="1457">
        <v>3.5000000000000003E-2</v>
      </c>
      <c r="T373" s="1624">
        <v>10</v>
      </c>
      <c r="U373" s="1616" t="s">
        <v>645</v>
      </c>
      <c r="V373" s="1622">
        <f>IF(E373=1,IF(U373="N",LOOKUP(T373,'HS250-DATA'!C$7:C$10,'HS250-DATA'!D$7:D$10),IF(U373="Y",LOOKUP(T373,'HS250-DATA'!C$22:C$25,'HS250-DATA'!D$22:D$25),"FAN?")),IF(U373="N",LOOKUP(T373,'HS250-DATA'!C$14:C$17,'HS250-DATA'!D$14:D$17),IF(U373="Y",LOOKUP(T373,'HS250-DATA'!C$29:C$32,'HS250-DATA'!D$29:D$32),"FAN?")))</f>
        <v>0.115</v>
      </c>
      <c r="W373" s="1602">
        <f t="shared" ref="W373:W379" si="210">(G373*H373)^2*Q373*10^-3+G373*P373</f>
        <v>290.32258064516111</v>
      </c>
      <c r="X373" s="1602">
        <f t="shared" ref="X373:X379" si="211">D373*W373</f>
        <v>290.32258064516111</v>
      </c>
      <c r="Y373" s="1602">
        <f t="shared" ref="Y373:Y379" si="212">IF(A373=3,W373*6,IF(A373=1,W373*4,W373))</f>
        <v>290.32258064516111</v>
      </c>
      <c r="Z373" s="1579">
        <f t="shared" ref="Z373:Z379" si="213">O373-5</f>
        <v>145</v>
      </c>
      <c r="AA373" s="1602">
        <f t="shared" ref="AA373:AA379" si="214">D373*W373*V373+AB373</f>
        <v>88.387096774193537</v>
      </c>
      <c r="AB373" s="1588">
        <v>55</v>
      </c>
      <c r="AC373" s="1570"/>
      <c r="AD373" s="1754">
        <f t="shared" ref="AD373:AD379" si="215">Q373*10^-3*H373^2</f>
        <v>4.8999999999999998E-4</v>
      </c>
      <c r="AE373" s="1634">
        <f t="shared" ref="AE373:AE379" si="216">P373</f>
        <v>0.92</v>
      </c>
      <c r="AF373" s="1635">
        <f t="shared" ref="AF373:AF379" si="217">(AB373-Z373)/(R373+S373+D373*V373)</f>
        <v>-290.32258064516128</v>
      </c>
      <c r="AG373" s="1646">
        <f t="shared" ref="AG373:AG379" si="218">AE373^2-4*AD373*AF373</f>
        <v>1.415432258064516</v>
      </c>
      <c r="AH373" s="1741">
        <f t="shared" ref="AH373:AH379" si="219">SUM(AJ373:AL373)</f>
        <v>77.960000000000008</v>
      </c>
      <c r="AI373" s="1607"/>
      <c r="AJ373" s="1733">
        <f>C373*LOOKUP(T373,'HS250-DATA'!C$7:C$10,'HS250-DATA'!F$7:F$10)</f>
        <v>19.86</v>
      </c>
      <c r="AK373" s="1733">
        <f t="shared" ref="AK373:AK379" si="220">IF(U373="Y",C373*12,0)</f>
        <v>12</v>
      </c>
      <c r="AL373" s="1733">
        <f>C373*E373*VLOOKUP(K373,'SCR-Diode DATA'!D$7:M$43,10,FALSE)</f>
        <v>46.1</v>
      </c>
      <c r="AM373" s="507">
        <f t="shared" ref="AM373:AM379" si="221">AH373/F373</f>
        <v>0.28326030358817228</v>
      </c>
    </row>
    <row r="374" spans="1:39" ht="18.75">
      <c r="A374" s="1598" t="s">
        <v>501</v>
      </c>
      <c r="B374" s="1533">
        <f t="shared" si="204"/>
        <v>1</v>
      </c>
      <c r="C374" s="1600">
        <v>1</v>
      </c>
      <c r="D374" s="1575">
        <f t="shared" si="205"/>
        <v>1</v>
      </c>
      <c r="E374" s="1575">
        <v>1</v>
      </c>
      <c r="F374" s="1611">
        <f t="shared" si="206"/>
        <v>295.0982783954496</v>
      </c>
      <c r="G374" s="1582">
        <f t="shared" si="207"/>
        <v>295.0982783954496</v>
      </c>
      <c r="H374" s="1583">
        <f t="shared" si="208"/>
        <v>1</v>
      </c>
      <c r="I374" s="1594">
        <f t="shared" si="209"/>
        <v>295.0982783954496</v>
      </c>
      <c r="J374" s="1680" t="s">
        <v>548</v>
      </c>
      <c r="K374" s="1920" t="s">
        <v>679</v>
      </c>
      <c r="L374" s="1426">
        <v>270</v>
      </c>
      <c r="M374" s="1426">
        <v>424</v>
      </c>
      <c r="N374" s="1426">
        <v>7500</v>
      </c>
      <c r="O374" s="1425">
        <v>150</v>
      </c>
      <c r="P374" s="1425">
        <v>0.87</v>
      </c>
      <c r="Q374" s="1427">
        <v>0.81</v>
      </c>
      <c r="R374" s="1428">
        <v>0.125</v>
      </c>
      <c r="S374" s="1457">
        <v>3.5000000000000003E-2</v>
      </c>
      <c r="T374" s="1624">
        <v>10</v>
      </c>
      <c r="U374" s="1616" t="s">
        <v>645</v>
      </c>
      <c r="V374" s="1622">
        <f>IF(E374=1,IF(U374="N",LOOKUP(T374,'HS250-DATA'!C$7:C$10,'HS250-DATA'!D$7:D$10),IF(U374="Y",LOOKUP(T374,'HS250-DATA'!C$22:C$25,'HS250-DATA'!D$22:D$25),"FAN?")),IF(U374="N",LOOKUP(T374,'HS250-DATA'!C$14:C$17,'HS250-DATA'!D$14:D$17),IF(U374="Y",LOOKUP(T374,'HS250-DATA'!C$29:C$32,'HS250-DATA'!D$29:D$32),"FAN?")))</f>
        <v>0.115</v>
      </c>
      <c r="W374" s="1602">
        <f t="shared" si="210"/>
        <v>327.27272727272737</v>
      </c>
      <c r="X374" s="1602">
        <f t="shared" si="211"/>
        <v>327.27272727272737</v>
      </c>
      <c r="Y374" s="1602">
        <f t="shared" si="212"/>
        <v>327.27272727272737</v>
      </c>
      <c r="Z374" s="1579">
        <f t="shared" si="213"/>
        <v>145</v>
      </c>
      <c r="AA374" s="1602">
        <f t="shared" si="214"/>
        <v>92.636363636363654</v>
      </c>
      <c r="AB374" s="1588">
        <v>55</v>
      </c>
      <c r="AC374" s="1570"/>
      <c r="AD374" s="1754">
        <f t="shared" si="215"/>
        <v>8.1000000000000006E-4</v>
      </c>
      <c r="AE374" s="1634">
        <f t="shared" si="216"/>
        <v>0.87</v>
      </c>
      <c r="AF374" s="1635">
        <f t="shared" si="217"/>
        <v>-327.27272727272725</v>
      </c>
      <c r="AG374" s="1646">
        <f t="shared" si="218"/>
        <v>1.8172636363636365</v>
      </c>
      <c r="AH374" s="1741">
        <f t="shared" si="219"/>
        <v>31.86</v>
      </c>
      <c r="AI374" s="1607"/>
      <c r="AJ374" s="1733">
        <f>C374*LOOKUP(T374,'HS250-DATA'!C$7:C$10,'HS250-DATA'!F$7:F$10)</f>
        <v>19.86</v>
      </c>
      <c r="AK374" s="1733">
        <f t="shared" si="220"/>
        <v>12</v>
      </c>
      <c r="AL374" s="1733">
        <f>C374*E374*VLOOKUP(K374,'SCR-Diode DATA'!D$7:M$43,10,FALSE)</f>
        <v>0</v>
      </c>
      <c r="AM374" s="507">
        <f t="shared" si="221"/>
        <v>0.10796403209545556</v>
      </c>
    </row>
    <row r="375" spans="1:39" ht="18.75">
      <c r="A375" s="1598" t="s">
        <v>501</v>
      </c>
      <c r="B375" s="1533">
        <f t="shared" si="204"/>
        <v>1</v>
      </c>
      <c r="C375" s="1600">
        <v>1</v>
      </c>
      <c r="D375" s="1575">
        <f t="shared" si="205"/>
        <v>1</v>
      </c>
      <c r="E375" s="1575">
        <v>1</v>
      </c>
      <c r="F375" s="1611">
        <f t="shared" si="206"/>
        <v>326.13190535815164</v>
      </c>
      <c r="G375" s="1582">
        <f t="shared" si="207"/>
        <v>326.13190535815164</v>
      </c>
      <c r="H375" s="1583">
        <f t="shared" si="208"/>
        <v>1</v>
      </c>
      <c r="I375" s="1594">
        <f t="shared" si="209"/>
        <v>326.13190535815164</v>
      </c>
      <c r="J375" s="1680" t="s">
        <v>548</v>
      </c>
      <c r="K375" s="1920" t="s">
        <v>680</v>
      </c>
      <c r="L375" s="1426">
        <v>320</v>
      </c>
      <c r="M375" s="1426">
        <v>502</v>
      </c>
      <c r="N375" s="1426">
        <v>8500</v>
      </c>
      <c r="O375" s="1425">
        <v>150</v>
      </c>
      <c r="P375" s="1425">
        <v>0.86</v>
      </c>
      <c r="Q375" s="1427">
        <v>0.44</v>
      </c>
      <c r="R375" s="1428">
        <v>0.125</v>
      </c>
      <c r="S375" s="1457">
        <v>3.5000000000000003E-2</v>
      </c>
      <c r="T375" s="1624">
        <v>10</v>
      </c>
      <c r="U375" s="1616" t="s">
        <v>645</v>
      </c>
      <c r="V375" s="1622">
        <f>IF(E375=1,IF(U375="N",LOOKUP(T375,'HS250-DATA'!C$7:C$10,'HS250-DATA'!D$7:D$10),IF(U375="Y",LOOKUP(T375,'HS250-DATA'!C$22:C$25,'HS250-DATA'!D$22:D$25),"FAN?")),IF(U375="N",LOOKUP(T375,'HS250-DATA'!C$14:C$17,'HS250-DATA'!D$14:D$17),IF(U375="Y",LOOKUP(T375,'HS250-DATA'!C$29:C$32,'HS250-DATA'!D$29:D$32),"FAN?")))</f>
        <v>0.115</v>
      </c>
      <c r="W375" s="1602">
        <f t="shared" si="210"/>
        <v>327.27272727272725</v>
      </c>
      <c r="X375" s="1602">
        <f t="shared" si="211"/>
        <v>327.27272727272725</v>
      </c>
      <c r="Y375" s="1602">
        <f t="shared" si="212"/>
        <v>327.27272727272725</v>
      </c>
      <c r="Z375" s="1579">
        <f t="shared" si="213"/>
        <v>145</v>
      </c>
      <c r="AA375" s="1602">
        <f t="shared" si="214"/>
        <v>92.636363636363626</v>
      </c>
      <c r="AB375" s="1588">
        <v>55</v>
      </c>
      <c r="AC375" s="1570"/>
      <c r="AD375" s="1754">
        <f t="shared" si="215"/>
        <v>4.4000000000000002E-4</v>
      </c>
      <c r="AE375" s="1634">
        <f t="shared" si="216"/>
        <v>0.86</v>
      </c>
      <c r="AF375" s="1635">
        <f t="shared" si="217"/>
        <v>-327.27272727272725</v>
      </c>
      <c r="AG375" s="1646">
        <f t="shared" si="218"/>
        <v>1.3155999999999999</v>
      </c>
      <c r="AH375" s="1741">
        <f t="shared" si="219"/>
        <v>86.06</v>
      </c>
      <c r="AI375" s="1607"/>
      <c r="AJ375" s="1733">
        <f>C375*LOOKUP(T375,'HS250-DATA'!C$7:C$10,'HS250-DATA'!F$7:F$10)</f>
        <v>19.86</v>
      </c>
      <c r="AK375" s="1733">
        <f t="shared" si="220"/>
        <v>12</v>
      </c>
      <c r="AL375" s="1733">
        <f>C375*E375*VLOOKUP(K375,'SCR-Diode DATA'!D$7:M$43,10,FALSE)</f>
        <v>54.2</v>
      </c>
      <c r="AM375" s="507">
        <f t="shared" si="221"/>
        <v>0.26388095916433141</v>
      </c>
    </row>
    <row r="376" spans="1:39" ht="18.75">
      <c r="A376" s="1598" t="s">
        <v>501</v>
      </c>
      <c r="B376" s="1533">
        <f t="shared" si="204"/>
        <v>1</v>
      </c>
      <c r="C376" s="1600">
        <v>1</v>
      </c>
      <c r="D376" s="1575">
        <f t="shared" si="205"/>
        <v>1</v>
      </c>
      <c r="E376" s="1575">
        <v>1</v>
      </c>
      <c r="F376" s="1611">
        <f t="shared" si="206"/>
        <v>365.94133715675883</v>
      </c>
      <c r="G376" s="1582">
        <f t="shared" si="207"/>
        <v>365.94133715675883</v>
      </c>
      <c r="H376" s="1583">
        <f t="shared" si="208"/>
        <v>1</v>
      </c>
      <c r="I376" s="1594">
        <f t="shared" si="209"/>
        <v>365.94133715675883</v>
      </c>
      <c r="J376" s="1680" t="s">
        <v>548</v>
      </c>
      <c r="K376" s="1920" t="s">
        <v>682</v>
      </c>
      <c r="L376" s="1426">
        <v>320</v>
      </c>
      <c r="M376" s="1426">
        <v>600</v>
      </c>
      <c r="N376" s="1426">
        <v>10000</v>
      </c>
      <c r="O376" s="1425">
        <v>150</v>
      </c>
      <c r="P376" s="1425">
        <v>0.8</v>
      </c>
      <c r="Q376" s="1427">
        <v>0.35</v>
      </c>
      <c r="R376" s="1428">
        <v>0.11</v>
      </c>
      <c r="S376" s="1457">
        <v>0.04</v>
      </c>
      <c r="T376" s="1624">
        <v>10</v>
      </c>
      <c r="U376" s="1616" t="s">
        <v>645</v>
      </c>
      <c r="V376" s="1622">
        <f>IF(E376=1,IF(U376="N",LOOKUP(T376,'HS250-DATA'!C$7:C$10,'HS250-DATA'!D$7:D$10),IF(U376="Y",LOOKUP(T376,'HS250-DATA'!C$22:C$25,'HS250-DATA'!D$22:D$25),"FAN?")),IF(U376="N",LOOKUP(T376,'HS250-DATA'!C$14:C$17,'HS250-DATA'!D$14:D$17),IF(U376="Y",LOOKUP(T376,'HS250-DATA'!C$29:C$32,'HS250-DATA'!D$29:D$32),"FAN?")))</f>
        <v>0.115</v>
      </c>
      <c r="W376" s="1602">
        <f t="shared" si="210"/>
        <v>339.62264150943395</v>
      </c>
      <c r="X376" s="1602">
        <f t="shared" si="211"/>
        <v>339.62264150943395</v>
      </c>
      <c r="Y376" s="1602">
        <f t="shared" si="212"/>
        <v>339.62264150943395</v>
      </c>
      <c r="Z376" s="1579">
        <f t="shared" si="213"/>
        <v>145</v>
      </c>
      <c r="AA376" s="1602">
        <f t="shared" si="214"/>
        <v>94.056603773584897</v>
      </c>
      <c r="AB376" s="1588">
        <v>55</v>
      </c>
      <c r="AC376" s="1570"/>
      <c r="AD376" s="1754">
        <f t="shared" si="215"/>
        <v>3.5E-4</v>
      </c>
      <c r="AE376" s="1634">
        <f t="shared" si="216"/>
        <v>0.8</v>
      </c>
      <c r="AF376" s="1635">
        <f t="shared" si="217"/>
        <v>-339.62264150943395</v>
      </c>
      <c r="AG376" s="1646">
        <f t="shared" si="218"/>
        <v>1.1154716981132076</v>
      </c>
      <c r="AH376" s="1741">
        <f t="shared" si="219"/>
        <v>31.86</v>
      </c>
      <c r="AI376" s="1607"/>
      <c r="AJ376" s="1733">
        <f>C376*LOOKUP(T376,'HS250-DATA'!C$7:C$10,'HS250-DATA'!F$7:F$10)</f>
        <v>19.86</v>
      </c>
      <c r="AK376" s="1733">
        <f t="shared" si="220"/>
        <v>12</v>
      </c>
      <c r="AL376" s="1733">
        <f>C376*E376*VLOOKUP(K376,'SCR-Diode DATA'!D$7:M$43,10,FALSE)</f>
        <v>0</v>
      </c>
      <c r="AM376" s="507">
        <f t="shared" si="221"/>
        <v>8.7063134893536454E-2</v>
      </c>
    </row>
    <row r="377" spans="1:39" ht="18.75">
      <c r="A377" s="1598" t="s">
        <v>501</v>
      </c>
      <c r="B377" s="1533">
        <f t="shared" si="204"/>
        <v>1</v>
      </c>
      <c r="C377" s="1600">
        <v>1</v>
      </c>
      <c r="D377" s="1575">
        <f t="shared" si="205"/>
        <v>1</v>
      </c>
      <c r="E377" s="1575">
        <v>1</v>
      </c>
      <c r="F377" s="1611">
        <f t="shared" si="206"/>
        <v>369.91724688246597</v>
      </c>
      <c r="G377" s="1582">
        <f t="shared" si="207"/>
        <v>369.91724688246597</v>
      </c>
      <c r="H377" s="1583">
        <f t="shared" si="208"/>
        <v>1</v>
      </c>
      <c r="I377" s="1594">
        <f t="shared" si="209"/>
        <v>369.91724688246597</v>
      </c>
      <c r="J377" s="1680" t="s">
        <v>548</v>
      </c>
      <c r="K377" s="1432" t="s">
        <v>572</v>
      </c>
      <c r="L377" s="1426">
        <v>350</v>
      </c>
      <c r="M377" s="1426">
        <v>550</v>
      </c>
      <c r="N377" s="1426">
        <v>7340</v>
      </c>
      <c r="O377" s="1425">
        <v>150</v>
      </c>
      <c r="P377" s="1425">
        <v>0.65400000000000003</v>
      </c>
      <c r="Q377" s="1427">
        <v>0.32</v>
      </c>
      <c r="R377" s="1428">
        <v>0.14000000000000001</v>
      </c>
      <c r="S377" s="1457">
        <v>0.06</v>
      </c>
      <c r="T377" s="1624">
        <v>10</v>
      </c>
      <c r="U377" s="1616" t="s">
        <v>645</v>
      </c>
      <c r="V377" s="1622">
        <f>IF(E377=1,IF(U377="N",LOOKUP(T377,'HS250-DATA'!C$7:C$10,'HS250-DATA'!D$7:D$10),IF(U377="Y",LOOKUP(T377,'HS250-DATA'!C$22:C$25,'HS250-DATA'!D$22:D$25),"FAN?")),IF(U377="N",LOOKUP(T377,'HS250-DATA'!C$14:C$17,'HS250-DATA'!D$14:D$17),IF(U377="Y",LOOKUP(T377,'HS250-DATA'!C$29:C$32,'HS250-DATA'!D$29:D$32),"FAN?")))</f>
        <v>0.115</v>
      </c>
      <c r="W377" s="1602">
        <f t="shared" si="210"/>
        <v>285.71428571428578</v>
      </c>
      <c r="X377" s="1602">
        <f t="shared" si="211"/>
        <v>285.71428571428578</v>
      </c>
      <c r="Y377" s="1602">
        <f t="shared" si="212"/>
        <v>285.71428571428578</v>
      </c>
      <c r="Z377" s="1579">
        <f t="shared" si="213"/>
        <v>145</v>
      </c>
      <c r="AA377" s="1602">
        <f t="shared" si="214"/>
        <v>87.857142857142861</v>
      </c>
      <c r="AB377" s="1588">
        <v>55</v>
      </c>
      <c r="AC377" s="1570"/>
      <c r="AD377" s="1754">
        <f t="shared" si="215"/>
        <v>3.2000000000000003E-4</v>
      </c>
      <c r="AE377" s="1634">
        <f t="shared" si="216"/>
        <v>0.65400000000000003</v>
      </c>
      <c r="AF377" s="1635">
        <f t="shared" si="217"/>
        <v>-285.71428571428572</v>
      </c>
      <c r="AG377" s="1646">
        <f t="shared" si="218"/>
        <v>0.79343028571428587</v>
      </c>
      <c r="AH377" s="1741">
        <f t="shared" si="219"/>
        <v>106.86</v>
      </c>
      <c r="AI377" s="1607"/>
      <c r="AJ377" s="1733">
        <f>C377*LOOKUP(T377,'HS250-DATA'!C$7:C$10,'HS250-DATA'!F$7:F$10)</f>
        <v>19.86</v>
      </c>
      <c r="AK377" s="1733">
        <f t="shared" si="220"/>
        <v>12</v>
      </c>
      <c r="AL377" s="1733">
        <f>C377*E377*VLOOKUP(K377,'SCR-Diode DATA'!D$7:M$43,10,FALSE)</f>
        <v>75</v>
      </c>
      <c r="AM377" s="507">
        <f t="shared" si="221"/>
        <v>0.28887541984208348</v>
      </c>
    </row>
    <row r="378" spans="1:39" ht="18.75">
      <c r="A378" s="1598" t="s">
        <v>501</v>
      </c>
      <c r="B378" s="1533">
        <f t="shared" si="204"/>
        <v>1</v>
      </c>
      <c r="C378" s="1600">
        <v>1</v>
      </c>
      <c r="D378" s="1575">
        <f t="shared" si="205"/>
        <v>1</v>
      </c>
      <c r="E378" s="1575">
        <v>1</v>
      </c>
      <c r="F378" s="1611">
        <f t="shared" si="206"/>
        <v>536.99158860424393</v>
      </c>
      <c r="G378" s="1582">
        <f t="shared" si="207"/>
        <v>536.99158860424393</v>
      </c>
      <c r="H378" s="1583">
        <f t="shared" si="208"/>
        <v>1</v>
      </c>
      <c r="I378" s="1594">
        <f t="shared" si="209"/>
        <v>536.99158860424393</v>
      </c>
      <c r="J378" s="1680" t="s">
        <v>548</v>
      </c>
      <c r="K378" s="1432" t="s">
        <v>508</v>
      </c>
      <c r="L378" s="1426">
        <v>600</v>
      </c>
      <c r="M378" s="1426">
        <v>950</v>
      </c>
      <c r="N378" s="1426">
        <v>19000</v>
      </c>
      <c r="O378" s="1425">
        <v>150</v>
      </c>
      <c r="P378" s="1425">
        <v>0.747</v>
      </c>
      <c r="Q378" s="1427">
        <v>0.24299999999999999</v>
      </c>
      <c r="R378" s="1428">
        <v>6.5000000000000002E-2</v>
      </c>
      <c r="S378" s="1457">
        <v>0.02</v>
      </c>
      <c r="T378" s="1624">
        <v>15</v>
      </c>
      <c r="U378" s="1616" t="s">
        <v>645</v>
      </c>
      <c r="V378" s="1622">
        <f>IF(E378=1,IF(U378="N",LOOKUP(T378,'HS250-DATA'!C$7:C$10,'HS250-DATA'!D$7:D$10),IF(U378="Y",LOOKUP(T378,'HS250-DATA'!C$22:C$25,'HS250-DATA'!D$22:D$25),"FAN?")),IF(U378="N",LOOKUP(T378,'HS250-DATA'!C$14:C$17,'HS250-DATA'!D$14:D$17),IF(U378="Y",LOOKUP(T378,'HS250-DATA'!C$29:C$32,'HS250-DATA'!D$29:D$32),"FAN?")))</f>
        <v>0.106</v>
      </c>
      <c r="W378" s="1602">
        <f t="shared" si="210"/>
        <v>471.2041884816756</v>
      </c>
      <c r="X378" s="1602">
        <f t="shared" si="211"/>
        <v>471.2041884816756</v>
      </c>
      <c r="Y378" s="1602">
        <f t="shared" si="212"/>
        <v>471.2041884816756</v>
      </c>
      <c r="Z378" s="1579">
        <f t="shared" si="213"/>
        <v>145</v>
      </c>
      <c r="AA378" s="1602">
        <f t="shared" si="214"/>
        <v>104.9476439790576</v>
      </c>
      <c r="AB378" s="1588">
        <v>55</v>
      </c>
      <c r="AC378" s="1570"/>
      <c r="AD378" s="1754">
        <f t="shared" si="215"/>
        <v>2.43E-4</v>
      </c>
      <c r="AE378" s="1634">
        <f t="shared" si="216"/>
        <v>0.747</v>
      </c>
      <c r="AF378" s="1635">
        <f t="shared" si="217"/>
        <v>-471.20418848167537</v>
      </c>
      <c r="AG378" s="1646">
        <f t="shared" si="218"/>
        <v>1.0160194712041886</v>
      </c>
      <c r="AH378" s="1741">
        <f t="shared" si="219"/>
        <v>132.26</v>
      </c>
      <c r="AI378" s="1607"/>
      <c r="AJ378" s="1733">
        <f>C378*LOOKUP(T378,'HS250-DATA'!C$7:C$10,'HS250-DATA'!F$7:F$10)</f>
        <v>28.26</v>
      </c>
      <c r="AK378" s="1733">
        <f t="shared" si="220"/>
        <v>12</v>
      </c>
      <c r="AL378" s="1733">
        <f>C378*E378*VLOOKUP(K378,'SCR-Diode DATA'!D$7:M$43,10,FALSE)</f>
        <v>92</v>
      </c>
      <c r="AM378" s="507">
        <f t="shared" si="221"/>
        <v>0.24629808512228663</v>
      </c>
    </row>
    <row r="379" spans="1:39" ht="18.75">
      <c r="A379" s="1598" t="s">
        <v>501</v>
      </c>
      <c r="B379" s="1533">
        <f t="shared" si="204"/>
        <v>1</v>
      </c>
      <c r="C379" s="1600">
        <v>1</v>
      </c>
      <c r="D379" s="1575">
        <f t="shared" si="205"/>
        <v>1</v>
      </c>
      <c r="E379" s="1575">
        <v>1</v>
      </c>
      <c r="F379" s="1611">
        <f t="shared" si="206"/>
        <v>887.64395968107794</v>
      </c>
      <c r="G379" s="1582">
        <f t="shared" si="207"/>
        <v>887.64395968107794</v>
      </c>
      <c r="H379" s="1583">
        <f t="shared" si="208"/>
        <v>1</v>
      </c>
      <c r="I379" s="1594">
        <f t="shared" si="209"/>
        <v>887.64395968107794</v>
      </c>
      <c r="J379" s="1680" t="s">
        <v>548</v>
      </c>
      <c r="K379" s="1432" t="s">
        <v>509</v>
      </c>
      <c r="L379" s="1426">
        <v>2500</v>
      </c>
      <c r="M379" s="1426">
        <v>3925</v>
      </c>
      <c r="N379" s="1426">
        <v>48400</v>
      </c>
      <c r="O379" s="1425">
        <v>150</v>
      </c>
      <c r="P379" s="1425">
        <v>0.63200000000000001</v>
      </c>
      <c r="Q379" s="1427">
        <v>5.9799999999999999E-2</v>
      </c>
      <c r="R379" s="1428">
        <v>2.4E-2</v>
      </c>
      <c r="S379" s="1457">
        <v>8.9999999999999993E-3</v>
      </c>
      <c r="T379" s="1624">
        <v>10</v>
      </c>
      <c r="U379" s="1616" t="s">
        <v>645</v>
      </c>
      <c r="V379" s="1622">
        <f>IF(E379=1,IF(U379="N",LOOKUP(T379,'HS250-DATA'!C$7:C$10,'HS250-DATA'!D$7:D$10),IF(U379="Y",LOOKUP(T379,'HS250-DATA'!C$22:C$25,'HS250-DATA'!D$22:D$25),"FAN?")),IF(U379="N",LOOKUP(T379,'HS250-DATA'!C$14:C$17,'HS250-DATA'!D$14:D$17),IF(U379="Y",LOOKUP(T379,'HS250-DATA'!C$29:C$32,'HS250-DATA'!D$29:D$32),"FAN?")))</f>
        <v>0.115</v>
      </c>
      <c r="W379" s="1602">
        <f t="shared" si="210"/>
        <v>608.10810810810779</v>
      </c>
      <c r="X379" s="1602">
        <f t="shared" si="211"/>
        <v>608.10810810810779</v>
      </c>
      <c r="Y379" s="1602">
        <f t="shared" si="212"/>
        <v>608.10810810810779</v>
      </c>
      <c r="Z379" s="1579">
        <f t="shared" si="213"/>
        <v>145</v>
      </c>
      <c r="AA379" s="1602">
        <f t="shared" si="214"/>
        <v>124.93243243243239</v>
      </c>
      <c r="AB379" s="1588">
        <v>55</v>
      </c>
      <c r="AC379" s="1570"/>
      <c r="AD379" s="1754">
        <f t="shared" si="215"/>
        <v>5.9800000000000003E-5</v>
      </c>
      <c r="AE379" s="1634">
        <f t="shared" si="216"/>
        <v>0.63200000000000001</v>
      </c>
      <c r="AF379" s="1635">
        <f t="shared" si="217"/>
        <v>-608.10810810810801</v>
      </c>
      <c r="AG379" s="1646">
        <f t="shared" si="218"/>
        <v>0.54488345945945948</v>
      </c>
      <c r="AH379" s="1741">
        <f t="shared" si="219"/>
        <v>376.86</v>
      </c>
      <c r="AI379" s="1607"/>
      <c r="AJ379" s="1733">
        <f>C379*LOOKUP(T379,'HS250-DATA'!C$7:C$10,'HS250-DATA'!F$7:F$10)</f>
        <v>19.86</v>
      </c>
      <c r="AK379" s="1733">
        <f t="shared" si="220"/>
        <v>12</v>
      </c>
      <c r="AL379" s="1733">
        <f>C379*E379*VLOOKUP(K379,'SCR-Diode DATA'!D$7:M$43,10,FALSE)</f>
        <v>345</v>
      </c>
      <c r="AM379" s="507">
        <f t="shared" si="221"/>
        <v>0.42456211850458853</v>
      </c>
    </row>
    <row r="384" spans="1:39" ht="15.75">
      <c r="K384" s="1429" t="s">
        <v>502</v>
      </c>
      <c r="L384" s="1414">
        <v>100</v>
      </c>
      <c r="M384" s="1414"/>
      <c r="N384" s="1414">
        <v>1500</v>
      </c>
      <c r="O384" s="1414">
        <v>125</v>
      </c>
      <c r="P384" s="1414">
        <v>1.2</v>
      </c>
      <c r="Q384" s="1414"/>
      <c r="R384" s="1450">
        <v>0.3</v>
      </c>
      <c r="S384" s="1456">
        <v>0.1</v>
      </c>
    </row>
    <row r="385" spans="11:19" ht="15.75">
      <c r="K385" s="1432" t="s">
        <v>569</v>
      </c>
      <c r="L385" s="1426">
        <v>90</v>
      </c>
      <c r="M385" s="1426">
        <v>150</v>
      </c>
      <c r="N385" s="1426">
        <v>1950</v>
      </c>
      <c r="O385" s="1425">
        <v>125</v>
      </c>
      <c r="P385" s="1425">
        <v>0.9</v>
      </c>
      <c r="Q385" s="1427">
        <v>2</v>
      </c>
      <c r="R385" s="1428">
        <v>0.28000000000000003</v>
      </c>
      <c r="S385" s="1457">
        <v>0.2</v>
      </c>
    </row>
    <row r="386" spans="11:19" ht="15.75">
      <c r="K386" s="1432" t="s">
        <v>505</v>
      </c>
      <c r="L386" s="1426">
        <v>160</v>
      </c>
      <c r="M386" s="1426">
        <v>250</v>
      </c>
      <c r="N386" s="1426">
        <v>3350</v>
      </c>
      <c r="O386" s="1425">
        <v>150</v>
      </c>
      <c r="P386" s="1425">
        <v>0.85</v>
      </c>
      <c r="Q386" s="1427">
        <v>1.2</v>
      </c>
      <c r="R386" s="1428">
        <v>0.18</v>
      </c>
      <c r="S386" s="1457">
        <v>0.1</v>
      </c>
    </row>
    <row r="387" spans="11:19" ht="15.75">
      <c r="K387" s="3" t="s">
        <v>685</v>
      </c>
      <c r="L387" s="1426">
        <v>165</v>
      </c>
      <c r="M387" s="1426">
        <v>260</v>
      </c>
      <c r="N387" s="1426">
        <v>3350</v>
      </c>
      <c r="O387" s="1425">
        <v>150</v>
      </c>
      <c r="P387" s="1425">
        <v>0.88</v>
      </c>
      <c r="Q387" s="1427">
        <v>1.26</v>
      </c>
      <c r="R387" s="1428">
        <v>0.2</v>
      </c>
      <c r="S387" s="1457">
        <v>0.1</v>
      </c>
    </row>
    <row r="388" spans="11:19" ht="15.75">
      <c r="K388" s="1920" t="s">
        <v>678</v>
      </c>
      <c r="L388" s="1426">
        <v>250</v>
      </c>
      <c r="M388" s="1426">
        <v>393</v>
      </c>
      <c r="N388" s="1426">
        <v>5900</v>
      </c>
      <c r="O388" s="1425">
        <v>150</v>
      </c>
      <c r="P388" s="1425">
        <v>0.92</v>
      </c>
      <c r="Q388" s="1427">
        <v>0.49</v>
      </c>
      <c r="R388" s="1428">
        <v>0.16</v>
      </c>
      <c r="S388" s="1457">
        <v>3.5000000000000003E-2</v>
      </c>
    </row>
    <row r="389" spans="11:19" ht="15.75">
      <c r="K389" s="1920" t="s">
        <v>679</v>
      </c>
      <c r="L389" s="1426">
        <v>270</v>
      </c>
      <c r="M389" s="1426">
        <v>424</v>
      </c>
      <c r="N389" s="1426">
        <v>7500</v>
      </c>
      <c r="O389" s="1425">
        <v>150</v>
      </c>
      <c r="P389" s="1425">
        <v>0.87</v>
      </c>
      <c r="Q389" s="1427">
        <v>0.81</v>
      </c>
      <c r="R389" s="1428">
        <v>0.125</v>
      </c>
      <c r="S389" s="1457">
        <v>3.5000000000000003E-2</v>
      </c>
    </row>
    <row r="390" spans="11:19" ht="15.75">
      <c r="K390" s="1920" t="s">
        <v>680</v>
      </c>
      <c r="L390" s="1426">
        <v>320</v>
      </c>
      <c r="M390" s="1426">
        <v>502</v>
      </c>
      <c r="N390" s="1426">
        <v>8500</v>
      </c>
      <c r="O390" s="1425">
        <v>150</v>
      </c>
      <c r="P390" s="1425">
        <v>0.86</v>
      </c>
      <c r="Q390" s="1427">
        <v>0.44</v>
      </c>
      <c r="R390" s="1428">
        <v>0.125</v>
      </c>
      <c r="S390" s="1457">
        <v>3.5000000000000003E-2</v>
      </c>
    </row>
    <row r="391" spans="11:19" ht="15.75">
      <c r="K391" s="1920" t="s">
        <v>682</v>
      </c>
      <c r="L391" s="1426">
        <v>320</v>
      </c>
      <c r="M391" s="1426">
        <v>600</v>
      </c>
      <c r="N391" s="1426">
        <v>10000</v>
      </c>
      <c r="O391" s="1425">
        <v>150</v>
      </c>
      <c r="P391" s="1425">
        <v>0.8</v>
      </c>
      <c r="Q391" s="1427">
        <v>0.35</v>
      </c>
      <c r="R391" s="1428">
        <v>0.11</v>
      </c>
      <c r="S391" s="1457">
        <v>0.04</v>
      </c>
    </row>
    <row r="392" spans="11:19" ht="15.75">
      <c r="K392" s="1432"/>
      <c r="L392" s="1426"/>
      <c r="M392" s="1426"/>
      <c r="N392" s="1426"/>
      <c r="O392" s="1425"/>
      <c r="P392" s="1425"/>
      <c r="Q392" s="1427"/>
      <c r="R392" s="1428"/>
      <c r="S392" s="1457"/>
    </row>
    <row r="393" spans="11:19" ht="15.75">
      <c r="K393" s="1432" t="s">
        <v>572</v>
      </c>
      <c r="L393" s="1426">
        <v>350</v>
      </c>
      <c r="M393" s="1426">
        <v>550</v>
      </c>
      <c r="N393" s="1426">
        <v>7340</v>
      </c>
      <c r="O393" s="1425">
        <v>150</v>
      </c>
      <c r="P393" s="1425">
        <v>0.65400000000000003</v>
      </c>
      <c r="Q393" s="1427">
        <v>0.32</v>
      </c>
      <c r="R393" s="1428">
        <v>0.14000000000000001</v>
      </c>
      <c r="S393" s="1457">
        <v>0.06</v>
      </c>
    </row>
    <row r="394" spans="11:19" ht="15.75">
      <c r="K394" s="1432" t="s">
        <v>508</v>
      </c>
      <c r="L394" s="1426">
        <v>600</v>
      </c>
      <c r="M394" s="1426">
        <v>950</v>
      </c>
      <c r="N394" s="1426">
        <v>19000</v>
      </c>
      <c r="O394" s="1425">
        <v>150</v>
      </c>
      <c r="P394" s="1425">
        <v>0.747</v>
      </c>
      <c r="Q394" s="1427">
        <v>0.24299999999999999</v>
      </c>
      <c r="R394" s="1428">
        <v>6.5000000000000002E-2</v>
      </c>
      <c r="S394" s="1457">
        <v>0.02</v>
      </c>
    </row>
    <row r="395" spans="11:19" ht="15.75">
      <c r="K395" s="1432" t="s">
        <v>509</v>
      </c>
      <c r="L395" s="1426">
        <v>2500</v>
      </c>
      <c r="M395" s="1426">
        <v>3925</v>
      </c>
      <c r="N395" s="1426">
        <v>48400</v>
      </c>
      <c r="O395" s="1425">
        <v>150</v>
      </c>
      <c r="P395" s="1425">
        <v>0.63200000000000001</v>
      </c>
      <c r="Q395" s="1427">
        <v>5.9799999999999999E-2</v>
      </c>
      <c r="R395" s="1428">
        <v>2.4E-2</v>
      </c>
      <c r="S395" s="1457">
        <v>8.9999999999999993E-3</v>
      </c>
    </row>
    <row r="404" spans="1:39" ht="18.75">
      <c r="A404" s="1598" t="s">
        <v>501</v>
      </c>
      <c r="B404" s="1533">
        <f>IF(A404=3,6,IF(A404=1,4,IF(A404="bd",1,IF(A404="fwd",1,"Circuit Type"))))</f>
        <v>1</v>
      </c>
      <c r="C404" s="1600">
        <v>1</v>
      </c>
      <c r="D404" s="1575">
        <f>B404/C404</f>
        <v>1</v>
      </c>
      <c r="E404" s="1575">
        <v>1</v>
      </c>
      <c r="F404" s="1611">
        <f>IF(A404=3,3*G404,IF(A404=1,2*G404,IF(A404="bd",1*G404,IF(A404="fwd",1,"Error"))))</f>
        <v>395.61257368535968</v>
      </c>
      <c r="G404" s="1582">
        <f>(-AE404+SQRT(AG404))/2/AD404</f>
        <v>395.61257368535968</v>
      </c>
      <c r="H404" s="1583">
        <f>IF(A404=3,SQRT(3),IF(A404=1,SQRT(2),1))</f>
        <v>1</v>
      </c>
      <c r="I404" s="1594">
        <f>H404*G404</f>
        <v>395.61257368535968</v>
      </c>
      <c r="J404" s="1680" t="s">
        <v>548</v>
      </c>
      <c r="K404" s="1920" t="s">
        <v>680</v>
      </c>
      <c r="L404" s="1426">
        <v>320</v>
      </c>
      <c r="M404" s="1426">
        <v>502</v>
      </c>
      <c r="N404" s="1426">
        <v>8500</v>
      </c>
      <c r="O404" s="1425">
        <v>150</v>
      </c>
      <c r="P404" s="1425">
        <v>0.86</v>
      </c>
      <c r="Q404" s="1427">
        <v>0.44</v>
      </c>
      <c r="R404" s="1428">
        <v>0.125</v>
      </c>
      <c r="S404" s="1457">
        <v>3.5000000000000003E-2</v>
      </c>
      <c r="T404" s="1624">
        <v>10</v>
      </c>
      <c r="U404" s="1616" t="s">
        <v>645</v>
      </c>
      <c r="V404" s="1622">
        <v>0.06</v>
      </c>
      <c r="W404" s="1602">
        <f>(G404*H404)^2*Q404*10^-3+G404*P404</f>
        <v>409.09090909090918</v>
      </c>
      <c r="X404" s="1602">
        <f>D404*W404</f>
        <v>409.09090909090918</v>
      </c>
      <c r="Y404" s="1602">
        <f>IF(A404=3,W404*6,IF(A404=1,W404*4,W404))</f>
        <v>409.09090909090918</v>
      </c>
      <c r="Z404" s="1579">
        <f>O404-5</f>
        <v>145</v>
      </c>
      <c r="AA404" s="1602">
        <f>D404*W404*V404+AB404</f>
        <v>79.545454545454547</v>
      </c>
      <c r="AB404" s="1588">
        <v>55</v>
      </c>
      <c r="AC404" s="1570"/>
      <c r="AD404" s="1754">
        <f>Q404*10^-3*H404^2</f>
        <v>4.4000000000000002E-4</v>
      </c>
      <c r="AE404" s="1634">
        <f>P404</f>
        <v>0.86</v>
      </c>
      <c r="AF404" s="1635">
        <f>(AB404-Z404)/(R404+S404+D404*V404)</f>
        <v>-409.09090909090907</v>
      </c>
      <c r="AG404" s="1646">
        <f>AE404^2-4*AD404*AF404</f>
        <v>1.4596</v>
      </c>
      <c r="AH404" s="1741">
        <f>SUM(AJ404:AL404)</f>
        <v>86.06</v>
      </c>
      <c r="AI404" s="1607"/>
      <c r="AJ404" s="1733">
        <f>C404*LOOKUP(T404,'HS250-DATA'!C$7:C$10,'HS250-DATA'!F$7:F$10)</f>
        <v>19.86</v>
      </c>
      <c r="AK404" s="1733">
        <f>IF(U404="Y",C404*12,0)</f>
        <v>12</v>
      </c>
      <c r="AL404" s="1733">
        <f>C404*E404*VLOOKUP(K404,'SCR-Diode DATA'!D$7:M$43,10,FALSE)</f>
        <v>54.2</v>
      </c>
      <c r="AM404" s="507">
        <f>AH404/F404</f>
        <v>0.21753605856937605</v>
      </c>
    </row>
    <row r="405" spans="1:39" ht="18.75">
      <c r="A405" s="1598" t="s">
        <v>501</v>
      </c>
      <c r="B405" s="1533">
        <f>IF(A405=3,6,IF(A405=1,4,IF(A405="bd",1,IF(A405="fwd",1,"Circuit Type"))))</f>
        <v>1</v>
      </c>
      <c r="C405" s="1600">
        <v>1</v>
      </c>
      <c r="D405" s="1575">
        <f>B405/C405</f>
        <v>1</v>
      </c>
      <c r="E405" s="1575">
        <v>1</v>
      </c>
      <c r="F405" s="1611">
        <f>IF(A405=3,3*G405,IF(A405=1,2*G405,IF(A405="bd",1*G405,IF(A405="fwd",1,"Error"))))</f>
        <v>447.93267509429199</v>
      </c>
      <c r="G405" s="1582">
        <f>(-AE405+SQRT(AG405))/2/AD405</f>
        <v>447.93267509429199</v>
      </c>
      <c r="H405" s="1583">
        <f>IF(A405=3,SQRT(3),IF(A405=1,SQRT(2),1))</f>
        <v>1</v>
      </c>
      <c r="I405" s="1594">
        <f>H405*G405</f>
        <v>447.93267509429199</v>
      </c>
      <c r="J405" s="1680" t="s">
        <v>548</v>
      </c>
      <c r="K405" s="1920" t="s">
        <v>682</v>
      </c>
      <c r="L405" s="1426">
        <v>320</v>
      </c>
      <c r="M405" s="1426">
        <v>600</v>
      </c>
      <c r="N405" s="1426">
        <v>10000</v>
      </c>
      <c r="O405" s="1425">
        <v>150</v>
      </c>
      <c r="P405" s="1425">
        <v>0.8</v>
      </c>
      <c r="Q405" s="1427">
        <v>0.35</v>
      </c>
      <c r="R405" s="1428">
        <v>0.11</v>
      </c>
      <c r="S405" s="1457">
        <v>0.04</v>
      </c>
      <c r="T405" s="1624">
        <v>10</v>
      </c>
      <c r="U405" s="1616" t="s">
        <v>645</v>
      </c>
      <c r="V405" s="1622">
        <v>0.06</v>
      </c>
      <c r="W405" s="1602">
        <f>(G405*H405)^2*Q405*10^-3+G405*P405</f>
        <v>428.57142857142856</v>
      </c>
      <c r="X405" s="1602">
        <f>D405*W405</f>
        <v>428.57142857142856</v>
      </c>
      <c r="Y405" s="1602">
        <f>IF(A405=3,W405*6,IF(A405=1,W405*4,W405))</f>
        <v>428.57142857142856</v>
      </c>
      <c r="Z405" s="1579">
        <f>O405-5</f>
        <v>145</v>
      </c>
      <c r="AA405" s="1602">
        <f>D405*W405*V405+AB405</f>
        <v>80.714285714285708</v>
      </c>
      <c r="AB405" s="1588">
        <v>55</v>
      </c>
      <c r="AC405" s="1570"/>
      <c r="AD405" s="1754">
        <f>Q405*10^-3*H405^2</f>
        <v>3.5E-4</v>
      </c>
      <c r="AE405" s="1634">
        <f>P405</f>
        <v>0.8</v>
      </c>
      <c r="AF405" s="1635">
        <f>(AB405-Z405)/(R405+S405+D405*V405)</f>
        <v>-428.57142857142861</v>
      </c>
      <c r="AG405" s="1646">
        <f>AE405^2-4*AD405*AF405</f>
        <v>1.2400000000000002</v>
      </c>
      <c r="AH405" s="1741">
        <f>SUM(AJ405:AL405)</f>
        <v>31.86</v>
      </c>
      <c r="AI405" s="1607"/>
      <c r="AJ405" s="1733">
        <f>C405*LOOKUP(T405,'HS250-DATA'!C$7:C$10,'HS250-DATA'!F$7:F$10)</f>
        <v>19.86</v>
      </c>
      <c r="AK405" s="1733">
        <f>IF(U405="Y",C405*12,0)</f>
        <v>12</v>
      </c>
      <c r="AL405" s="1733">
        <f>C405*E405*VLOOKUP(K405,'SCR-Diode DATA'!D$7:M$43,10,FALSE)</f>
        <v>0</v>
      </c>
      <c r="AM405" s="507">
        <f>AH405/F405</f>
        <v>7.1126760273278383E-2</v>
      </c>
    </row>
    <row r="406" spans="1:39" ht="18.75">
      <c r="A406" s="1598" t="s">
        <v>501</v>
      </c>
      <c r="B406" s="1533">
        <f>IF(A406=3,6,IF(A406=1,4,IF(A406="bd",1,IF(A406="fwd",1,"Circuit Type"))))</f>
        <v>1</v>
      </c>
      <c r="C406" s="1600">
        <v>1</v>
      </c>
      <c r="D406" s="1575">
        <f>B406/C406</f>
        <v>1</v>
      </c>
      <c r="E406" s="1575">
        <v>1</v>
      </c>
      <c r="F406" s="1611">
        <f>IF(A406=3,3*G406,IF(A406=1,2*G406,IF(A406="bd",1*G406,IF(A406="fwd",1,"Error"))))</f>
        <v>436.1919685771532</v>
      </c>
      <c r="G406" s="1582">
        <f>(-AE406+SQRT(AG406))/2/AD406</f>
        <v>436.1919685771532</v>
      </c>
      <c r="H406" s="1583">
        <f>IF(A406=3,SQRT(3),IF(A406=1,SQRT(2),1))</f>
        <v>1</v>
      </c>
      <c r="I406" s="1594">
        <f>H406*G406</f>
        <v>436.1919685771532</v>
      </c>
      <c r="J406" s="1680" t="s">
        <v>548</v>
      </c>
      <c r="K406" s="1432" t="s">
        <v>572</v>
      </c>
      <c r="L406" s="1426">
        <v>350</v>
      </c>
      <c r="M406" s="1426">
        <v>550</v>
      </c>
      <c r="N406" s="1426">
        <v>7340</v>
      </c>
      <c r="O406" s="1425">
        <v>150</v>
      </c>
      <c r="P406" s="1425">
        <v>0.65400000000000003</v>
      </c>
      <c r="Q406" s="1427">
        <v>0.32</v>
      </c>
      <c r="R406" s="1428">
        <v>0.14000000000000001</v>
      </c>
      <c r="S406" s="1457">
        <v>0.06</v>
      </c>
      <c r="T406" s="1624">
        <v>10</v>
      </c>
      <c r="U406" s="1616" t="s">
        <v>645</v>
      </c>
      <c r="V406" s="1622">
        <v>0.06</v>
      </c>
      <c r="W406" s="1602">
        <f>(G406*H406)^2*Q406*10^-3+G406*P406</f>
        <v>346.15384615384613</v>
      </c>
      <c r="X406" s="1602">
        <f>D406*W406</f>
        <v>346.15384615384613</v>
      </c>
      <c r="Y406" s="1602">
        <f>IF(A406=3,W406*6,IF(A406=1,W406*4,W406))</f>
        <v>346.15384615384613</v>
      </c>
      <c r="Z406" s="1579">
        <f>O406-5</f>
        <v>145</v>
      </c>
      <c r="AA406" s="1602">
        <f>D406*W406*V406+AB406</f>
        <v>75.769230769230774</v>
      </c>
      <c r="AB406" s="1588">
        <v>55</v>
      </c>
      <c r="AC406" s="1570"/>
      <c r="AD406" s="1754">
        <f>Q406*10^-3*H406^2</f>
        <v>3.2000000000000003E-4</v>
      </c>
      <c r="AE406" s="1634">
        <f>P406</f>
        <v>0.65400000000000003</v>
      </c>
      <c r="AF406" s="1635">
        <f>(AB406-Z406)/(R406+S406+D406*V406)</f>
        <v>-346.15384615384613</v>
      </c>
      <c r="AG406" s="1646">
        <f>AE406^2-4*AD406*AF406</f>
        <v>0.87079292307692313</v>
      </c>
      <c r="AH406" s="1741">
        <f>SUM(AJ406:AL406)</f>
        <v>106.86</v>
      </c>
      <c r="AI406" s="1607"/>
      <c r="AJ406" s="1733">
        <f>C406*LOOKUP(T406,'HS250-DATA'!C$7:C$10,'HS250-DATA'!F$7:F$10)</f>
        <v>19.86</v>
      </c>
      <c r="AK406" s="1733">
        <f>IF(U406="Y",C406*12,0)</f>
        <v>12</v>
      </c>
      <c r="AL406" s="1733">
        <f>C406*E406*VLOOKUP(K406,'SCR-Diode DATA'!D$7:M$43,10,FALSE)</f>
        <v>75</v>
      </c>
      <c r="AM406" s="507">
        <f>AH406/F406</f>
        <v>0.24498387796679183</v>
      </c>
    </row>
    <row r="407" spans="1:39" ht="18.75">
      <c r="A407" s="1598" t="s">
        <v>501</v>
      </c>
      <c r="B407" s="1533">
        <f>IF(A407=3,6,IF(A407=1,4,IF(A407="bd",1,IF(A407="fwd",1,"Circuit Type"))))</f>
        <v>1</v>
      </c>
      <c r="C407" s="1600">
        <v>1</v>
      </c>
      <c r="D407" s="1575">
        <f>B407/C407</f>
        <v>1</v>
      </c>
      <c r="E407" s="1575">
        <v>1</v>
      </c>
      <c r="F407" s="1611">
        <f>IF(A407=3,3*G407,IF(A407=1,2*G407,IF(A407="bd",1*G407,IF(A407="fwd",1,"Error"))))</f>
        <v>680.34007783787206</v>
      </c>
      <c r="G407" s="1582">
        <f>(-AE407+SQRT(AG407))/2/AD407</f>
        <v>680.34007783787206</v>
      </c>
      <c r="H407" s="1583">
        <f>IF(A407=3,SQRT(3),IF(A407=1,SQRT(2),1))</f>
        <v>1</v>
      </c>
      <c r="I407" s="1594">
        <f>H407*G407</f>
        <v>680.34007783787206</v>
      </c>
      <c r="J407" s="1680" t="s">
        <v>548</v>
      </c>
      <c r="K407" s="1432" t="s">
        <v>508</v>
      </c>
      <c r="L407" s="1426">
        <v>600</v>
      </c>
      <c r="M407" s="1426">
        <v>950</v>
      </c>
      <c r="N407" s="1426">
        <v>19000</v>
      </c>
      <c r="O407" s="1425">
        <v>150</v>
      </c>
      <c r="P407" s="1425">
        <v>0.747</v>
      </c>
      <c r="Q407" s="1427">
        <v>0.24299999999999999</v>
      </c>
      <c r="R407" s="1428">
        <v>6.5000000000000002E-2</v>
      </c>
      <c r="S407" s="1457">
        <v>0.02</v>
      </c>
      <c r="T407" s="1624">
        <v>15</v>
      </c>
      <c r="U407" s="1616" t="s">
        <v>645</v>
      </c>
      <c r="V407" s="1622">
        <v>0.06</v>
      </c>
      <c r="W407" s="1602">
        <f>(G407*H407)^2*Q407*10^-3+G407*P407</f>
        <v>620.68965517241372</v>
      </c>
      <c r="X407" s="1602">
        <f>D407*W407</f>
        <v>620.68965517241372</v>
      </c>
      <c r="Y407" s="1602">
        <f>IF(A407=3,W407*6,IF(A407=1,W407*4,W407))</f>
        <v>620.68965517241372</v>
      </c>
      <c r="Z407" s="1579">
        <f>O407-5</f>
        <v>145</v>
      </c>
      <c r="AA407" s="1602">
        <f>D407*W407*V407+AB407</f>
        <v>92.241379310344826</v>
      </c>
      <c r="AB407" s="1588">
        <v>55</v>
      </c>
      <c r="AC407" s="1570"/>
      <c r="AD407" s="1754">
        <f>Q407*10^-3*H407^2</f>
        <v>2.43E-4</v>
      </c>
      <c r="AE407" s="1634">
        <f>P407</f>
        <v>0.747</v>
      </c>
      <c r="AF407" s="1635">
        <f>(AB407-Z407)/(R407+S407+D407*V407)</f>
        <v>-620.68965517241372</v>
      </c>
      <c r="AG407" s="1646">
        <f>AE407^2-4*AD407*AF407</f>
        <v>1.1613193448275863</v>
      </c>
      <c r="AH407" s="1741">
        <f>SUM(AJ407:AL407)</f>
        <v>132.26</v>
      </c>
      <c r="AI407" s="1607"/>
      <c r="AJ407" s="1733">
        <f>C407*LOOKUP(T407,'HS250-DATA'!C$7:C$10,'HS250-DATA'!F$7:F$10)</f>
        <v>28.26</v>
      </c>
      <c r="AK407" s="1733">
        <f>IF(U407="Y",C407*12,0)</f>
        <v>12</v>
      </c>
      <c r="AL407" s="1733">
        <f>C407*E407*VLOOKUP(K407,'SCR-Diode DATA'!D$7:M$43,10,FALSE)</f>
        <v>92</v>
      </c>
      <c r="AM407" s="507">
        <f>AH407/F407</f>
        <v>0.19440277635902867</v>
      </c>
    </row>
    <row r="408" spans="1:39" ht="18.75">
      <c r="A408" s="1598" t="s">
        <v>501</v>
      </c>
      <c r="B408" s="1533">
        <f>IF(A408=3,6,IF(A408=1,4,IF(A408="bd",1,IF(A408="fwd",1,"Circuit Type"))))</f>
        <v>1</v>
      </c>
      <c r="C408" s="1600">
        <v>1</v>
      </c>
      <c r="D408" s="1575">
        <f>B408/C408</f>
        <v>1</v>
      </c>
      <c r="E408" s="1575">
        <v>1</v>
      </c>
      <c r="F408" s="1611">
        <f>IF(A408=3,3*G408,IF(A408=1,2*G408,IF(A408="bd",1*G408,IF(A408="fwd",1,"Error"))))</f>
        <v>1356.9991001904859</v>
      </c>
      <c r="G408" s="1582">
        <f>(-AE408+SQRT(AG408))/2/AD408</f>
        <v>1356.9991001904859</v>
      </c>
      <c r="H408" s="1583">
        <f>IF(A408=3,SQRT(3),IF(A408=1,SQRT(2),1))</f>
        <v>1</v>
      </c>
      <c r="I408" s="1594">
        <f>H408*G408</f>
        <v>1356.9991001904859</v>
      </c>
      <c r="J408" s="1680" t="s">
        <v>548</v>
      </c>
      <c r="K408" s="1432" t="s">
        <v>509</v>
      </c>
      <c r="L408" s="1426">
        <v>2500</v>
      </c>
      <c r="M408" s="1426">
        <v>3925</v>
      </c>
      <c r="N408" s="1426">
        <v>48400</v>
      </c>
      <c r="O408" s="1425">
        <v>150</v>
      </c>
      <c r="P408" s="1425">
        <v>0.63200000000000001</v>
      </c>
      <c r="Q408" s="1427">
        <v>5.9799999999999999E-2</v>
      </c>
      <c r="R408" s="1428">
        <v>2.4E-2</v>
      </c>
      <c r="S408" s="1457">
        <v>8.9999999999999993E-3</v>
      </c>
      <c r="T408" s="1624">
        <v>10</v>
      </c>
      <c r="U408" s="1616" t="s">
        <v>645</v>
      </c>
      <c r="V408" s="1622">
        <v>0.06</v>
      </c>
      <c r="W408" s="1602">
        <f>(G408*H408)^2*Q408*10^-3+G408*P408</f>
        <v>967.74193548387086</v>
      </c>
      <c r="X408" s="1602">
        <f>D408*W408</f>
        <v>967.74193548387086</v>
      </c>
      <c r="Y408" s="1602">
        <f>IF(A408=3,W408*6,IF(A408=1,W408*4,W408))</f>
        <v>967.74193548387086</v>
      </c>
      <c r="Z408" s="1579">
        <f>O408-5</f>
        <v>145</v>
      </c>
      <c r="AA408" s="1602">
        <f>D408*W408*V408+AB408</f>
        <v>113.06451612903226</v>
      </c>
      <c r="AB408" s="1588">
        <v>55</v>
      </c>
      <c r="AC408" s="1570"/>
      <c r="AD408" s="1754">
        <f>Q408*10^-3*H408^2</f>
        <v>5.9800000000000003E-5</v>
      </c>
      <c r="AE408" s="1634">
        <f>P408</f>
        <v>0.63200000000000001</v>
      </c>
      <c r="AF408" s="1635">
        <f>(AB408-Z408)/(R408+S408+D408*V408)</f>
        <v>-967.74193548387098</v>
      </c>
      <c r="AG408" s="1646">
        <f>AE408^2-4*AD408*AF408</f>
        <v>0.63090787096774192</v>
      </c>
      <c r="AH408" s="1741">
        <f>SUM(AJ408:AL408)</f>
        <v>376.86</v>
      </c>
      <c r="AI408" s="1607"/>
      <c r="AJ408" s="1733">
        <f>C408*LOOKUP(T408,'HS250-DATA'!C$7:C$10,'HS250-DATA'!F$7:F$10)</f>
        <v>19.86</v>
      </c>
      <c r="AK408" s="1733">
        <f>IF(U408="Y",C408*12,0)</f>
        <v>12</v>
      </c>
      <c r="AL408" s="1733">
        <f>C408*E408*VLOOKUP(K408,'SCR-Diode DATA'!D$7:M$43,10,FALSE)</f>
        <v>345</v>
      </c>
      <c r="AM408" s="507">
        <f>AH408/F408</f>
        <v>0.27771573315494391</v>
      </c>
    </row>
    <row r="412" spans="1:39" ht="18.75">
      <c r="A412" s="1598" t="s">
        <v>501</v>
      </c>
      <c r="B412" s="1533">
        <f>IF(A412=3,6,IF(A412=1,4,IF(A412="bd",1,IF(A412="fwd",1,"Circuit Type"))))</f>
        <v>1</v>
      </c>
      <c r="C412" s="1600">
        <v>1</v>
      </c>
      <c r="D412" s="1575">
        <f>B412/C412</f>
        <v>1</v>
      </c>
      <c r="E412" s="1575">
        <v>1</v>
      </c>
      <c r="F412" s="1611">
        <f>IF(A412=3,3*G412,IF(A412=1,2*G412,IF(A412="bd",1*G412,IF(A412="fwd",1,"Error"))))</f>
        <v>395.61257368535968</v>
      </c>
      <c r="G412" s="1582">
        <f>(-AE412+SQRT(AG412))/2/AD412</f>
        <v>395.61257368535968</v>
      </c>
      <c r="H412" s="1583">
        <f>IF(A412=3,SQRT(3),IF(A412=1,SQRT(2),1))</f>
        <v>1</v>
      </c>
      <c r="I412" s="1594">
        <f>H412*G412</f>
        <v>395.61257368535968</v>
      </c>
      <c r="J412" s="1680" t="s">
        <v>548</v>
      </c>
      <c r="K412" s="1920" t="s">
        <v>680</v>
      </c>
      <c r="L412" s="1426">
        <v>320</v>
      </c>
      <c r="M412" s="1426">
        <v>502</v>
      </c>
      <c r="N412" s="1426">
        <v>8500</v>
      </c>
      <c r="O412" s="1425">
        <v>150</v>
      </c>
      <c r="P412" s="1425">
        <v>0.86</v>
      </c>
      <c r="Q412" s="1427">
        <v>0.44</v>
      </c>
      <c r="R412" s="1428">
        <v>0.125</v>
      </c>
      <c r="S412" s="1457">
        <v>3.5000000000000003E-2</v>
      </c>
      <c r="T412" s="1624">
        <v>10</v>
      </c>
      <c r="U412" s="1616" t="s">
        <v>645</v>
      </c>
      <c r="V412" s="1622">
        <v>0.06</v>
      </c>
      <c r="W412" s="1602">
        <f>(G412*H412)^2*Q412*10^-3+G412*P412</f>
        <v>409.09090909090918</v>
      </c>
      <c r="X412" s="1602">
        <f>D412*W412</f>
        <v>409.09090909090918</v>
      </c>
      <c r="Y412" s="1602">
        <f>IF(A412=3,W412*6,IF(A412=1,W412*4,W412))</f>
        <v>409.09090909090918</v>
      </c>
      <c r="Z412" s="1579">
        <f>O412-5</f>
        <v>145</v>
      </c>
      <c r="AA412" s="1602">
        <f>D412*W412*V412+AB412</f>
        <v>79.545454545454547</v>
      </c>
      <c r="AB412" s="1588">
        <v>55</v>
      </c>
      <c r="AC412" s="1570"/>
      <c r="AD412" s="1754">
        <f>Q412*10^-3*H412^2</f>
        <v>4.4000000000000002E-4</v>
      </c>
      <c r="AE412" s="1634">
        <f>P412</f>
        <v>0.86</v>
      </c>
      <c r="AF412" s="1635">
        <f>(AB412-Z412)/(R412+S412+D412*V412)</f>
        <v>-409.09090909090907</v>
      </c>
      <c r="AG412" s="1646">
        <f>AE412^2-4*AD412*AF412</f>
        <v>1.4596</v>
      </c>
      <c r="AH412" s="1741">
        <f>SUM(AJ412:AL412)</f>
        <v>86.06</v>
      </c>
      <c r="AI412" s="1607"/>
      <c r="AJ412" s="1733">
        <f>C412*LOOKUP(T412,'HS250-DATA'!C$7:C$10,'HS250-DATA'!F$7:F$10)</f>
        <v>19.86</v>
      </c>
      <c r="AK412" s="1733">
        <f>IF(U412="Y",C412*12,0)</f>
        <v>12</v>
      </c>
      <c r="AL412" s="1733">
        <f>C412*E412*VLOOKUP(K412,'SCR-Diode DATA'!D$7:M$43,10,FALSE)</f>
        <v>54.2</v>
      </c>
      <c r="AM412" s="507">
        <f>AH412/F412</f>
        <v>0.21753605856937605</v>
      </c>
    </row>
    <row r="413" spans="1:39" ht="18.75">
      <c r="A413" s="1598" t="s">
        <v>501</v>
      </c>
      <c r="B413" s="1533">
        <f>IF(A413=3,6,IF(A413=1,4,IF(A413="bd",1,IF(A413="fwd",1,"Circuit Type"))))</f>
        <v>1</v>
      </c>
      <c r="C413" s="1600">
        <v>1</v>
      </c>
      <c r="D413" s="1575">
        <f>B413/C413</f>
        <v>1</v>
      </c>
      <c r="E413" s="1575">
        <v>1</v>
      </c>
      <c r="F413" s="2078">
        <f>IF(A413=3,3*G413,IF(A413=1,2*G413,IF(A413="bd",1*G413,IF(A413="fwd",1,"Error"))))</f>
        <v>411.64338160392072</v>
      </c>
      <c r="G413" s="1582">
        <f>(-AE413+SQRT(AG413))/2/AD413</f>
        <v>411.64338160392072</v>
      </c>
      <c r="H413" s="1583">
        <f>IF(A413=3,SQRT(3),IF(A413=1,SQRT(2),1))</f>
        <v>1</v>
      </c>
      <c r="I413" s="1594">
        <f>H413*G413</f>
        <v>411.64338160392072</v>
      </c>
      <c r="J413" s="1680" t="s">
        <v>548</v>
      </c>
      <c r="K413" s="1920" t="s">
        <v>680</v>
      </c>
      <c r="L413" s="1426">
        <v>320</v>
      </c>
      <c r="M413" s="1426">
        <v>502</v>
      </c>
      <c r="N413" s="1426">
        <v>8500</v>
      </c>
      <c r="O413" s="1425">
        <v>150</v>
      </c>
      <c r="P413" s="1425">
        <v>0.86</v>
      </c>
      <c r="Q413" s="1427">
        <v>0.44</v>
      </c>
      <c r="R413" s="1428">
        <v>0.125</v>
      </c>
      <c r="S413" s="1457">
        <v>3.5000000000000003E-2</v>
      </c>
      <c r="T413" s="1624">
        <v>10</v>
      </c>
      <c r="U413" s="1616" t="s">
        <v>645</v>
      </c>
      <c r="V413" s="1622">
        <v>0.05</v>
      </c>
      <c r="W413" s="1602">
        <f>(G413*H413)^2*Q413*10^-3+G413*P413</f>
        <v>428.57142857142867</v>
      </c>
      <c r="X413" s="1602">
        <f>D413*W413</f>
        <v>428.57142857142867</v>
      </c>
      <c r="Y413" s="1602">
        <f>IF(A413=3,W413*6,IF(A413=1,W413*4,W413))</f>
        <v>428.57142857142867</v>
      </c>
      <c r="Z413" s="1579">
        <f>O413-5</f>
        <v>145</v>
      </c>
      <c r="AA413" s="1602">
        <f>D413*W413*V413+AB413</f>
        <v>76.428571428571431</v>
      </c>
      <c r="AB413" s="1588">
        <v>55</v>
      </c>
      <c r="AC413" s="1570"/>
      <c r="AD413" s="1754">
        <f>Q413*10^-3*H413^2</f>
        <v>4.4000000000000002E-4</v>
      </c>
      <c r="AE413" s="1634">
        <f>P413</f>
        <v>0.86</v>
      </c>
      <c r="AF413" s="1635">
        <f>(AB413-Z413)/(R413+S413+D413*V413)</f>
        <v>-428.57142857142856</v>
      </c>
      <c r="AG413" s="1646">
        <f>AE413^2-4*AD413*AF413</f>
        <v>1.4938857142857143</v>
      </c>
      <c r="AH413" s="1741">
        <f>SUM(AJ413:AL413)</f>
        <v>86.06</v>
      </c>
      <c r="AI413" s="1607"/>
      <c r="AJ413" s="1733">
        <f>C413*LOOKUP(T413,'HS250-DATA'!C$7:C$10,'HS250-DATA'!F$7:F$10)</f>
        <v>19.86</v>
      </c>
      <c r="AK413" s="1733">
        <f>IF(U413="Y",C413*12,0)</f>
        <v>12</v>
      </c>
      <c r="AL413" s="1733">
        <f>C413*E413*VLOOKUP(K413,'SCR-Diode DATA'!D$7:M$43,10,FALSE)</f>
        <v>54.2</v>
      </c>
      <c r="AM413" s="507">
        <f>AH413/F413</f>
        <v>0.20906445687205558</v>
      </c>
    </row>
    <row r="414" spans="1:39" ht="18.75">
      <c r="A414" s="1598" t="s">
        <v>501</v>
      </c>
      <c r="B414" s="1533">
        <f>IF(A414=3,6,IF(A414=1,4,IF(A414="bd",1,IF(A414="fwd",1,"Circuit Type"))))</f>
        <v>1</v>
      </c>
      <c r="C414" s="1600">
        <v>1</v>
      </c>
      <c r="D414" s="1575">
        <f>B414/C414</f>
        <v>1</v>
      </c>
      <c r="E414" s="1575">
        <v>1</v>
      </c>
      <c r="F414" s="1611">
        <f>IF(A414=3,3*G414,IF(A414=1,2*G414,IF(A414="bd",1*G414,IF(A414="fwd",1,"Error"))))</f>
        <v>429.06622767318032</v>
      </c>
      <c r="G414" s="1582">
        <f>(-AE414+SQRT(AG414))/2/AD414</f>
        <v>429.06622767318032</v>
      </c>
      <c r="H414" s="1583">
        <f>IF(A414=3,SQRT(3),IF(A414=1,SQRT(2),1))</f>
        <v>1</v>
      </c>
      <c r="I414" s="1594">
        <f>H414*G414</f>
        <v>429.06622767318032</v>
      </c>
      <c r="J414" s="1680" t="s">
        <v>548</v>
      </c>
      <c r="K414" s="1920" t="s">
        <v>680</v>
      </c>
      <c r="L414" s="1426">
        <v>320</v>
      </c>
      <c r="M414" s="1426">
        <v>502</v>
      </c>
      <c r="N414" s="1426">
        <v>8500</v>
      </c>
      <c r="O414" s="1425">
        <v>150</v>
      </c>
      <c r="P414" s="1425">
        <v>0.86</v>
      </c>
      <c r="Q414" s="1427">
        <v>0.44</v>
      </c>
      <c r="R414" s="1428">
        <v>0.125</v>
      </c>
      <c r="S414" s="1457">
        <v>3.5000000000000003E-2</v>
      </c>
      <c r="T414" s="1624">
        <v>10</v>
      </c>
      <c r="U414" s="1616" t="s">
        <v>645</v>
      </c>
      <c r="V414" s="1622">
        <v>0.04</v>
      </c>
      <c r="W414" s="1602">
        <f>(G414*H414)^2*Q414*10^-3+G414*P414</f>
        <v>450.00000000000017</v>
      </c>
      <c r="X414" s="1602">
        <f>D414*W414</f>
        <v>450.00000000000017</v>
      </c>
      <c r="Y414" s="1602">
        <f>IF(A414=3,W414*6,IF(A414=1,W414*4,W414))</f>
        <v>450.00000000000017</v>
      </c>
      <c r="Z414" s="1579">
        <f>O414-5</f>
        <v>145</v>
      </c>
      <c r="AA414" s="1602">
        <f>D414*W414*V414+AB414</f>
        <v>73</v>
      </c>
      <c r="AB414" s="1588">
        <v>55</v>
      </c>
      <c r="AC414" s="1570"/>
      <c r="AD414" s="1754">
        <f>Q414*10^-3*H414^2</f>
        <v>4.4000000000000002E-4</v>
      </c>
      <c r="AE414" s="1634">
        <f>P414</f>
        <v>0.86</v>
      </c>
      <c r="AF414" s="1635">
        <f>(AB414-Z414)/(R414+S414+D414*V414)</f>
        <v>-450</v>
      </c>
      <c r="AG414" s="1646">
        <f>AE414^2-4*AD414*AF414</f>
        <v>1.5316000000000001</v>
      </c>
      <c r="AH414" s="1741">
        <f>SUM(AJ414:AL414)</f>
        <v>86.06</v>
      </c>
      <c r="AI414" s="1607"/>
      <c r="AJ414" s="1733">
        <f>C414*LOOKUP(T414,'HS250-DATA'!C$7:C$10,'HS250-DATA'!F$7:F$10)</f>
        <v>19.86</v>
      </c>
      <c r="AK414" s="1733">
        <f>IF(U414="Y",C414*12,0)</f>
        <v>12</v>
      </c>
      <c r="AL414" s="1733">
        <f>C414*E414*VLOOKUP(K414,'SCR-Diode DATA'!D$7:M$43,10,FALSE)</f>
        <v>54.2</v>
      </c>
      <c r="AM414" s="507">
        <f>AH414/F414</f>
        <v>0.20057509645236374</v>
      </c>
    </row>
    <row r="415" spans="1:39" ht="18.75">
      <c r="A415" s="1598" t="s">
        <v>501</v>
      </c>
      <c r="B415" s="1533">
        <f>IF(A415=3,6,IF(A415=1,4,IF(A415="bd",1,IF(A415="fwd",1,"Circuit Type"))))</f>
        <v>1</v>
      </c>
      <c r="C415" s="1600">
        <v>1</v>
      </c>
      <c r="D415" s="1575">
        <f>B415/C415</f>
        <v>1</v>
      </c>
      <c r="E415" s="1575">
        <v>1</v>
      </c>
      <c r="F415" s="1611">
        <f>IF(A415=3,3*G415,IF(A415=1,2*G415,IF(A415="bd",1*G415,IF(A415="fwd",1,"Error"))))</f>
        <v>448.07530299725522</v>
      </c>
      <c r="G415" s="1582">
        <f>(-AE415+SQRT(AG415))/2/AD415</f>
        <v>448.07530299725522</v>
      </c>
      <c r="H415" s="1583">
        <f>IF(A415=3,SQRT(3),IF(A415=1,SQRT(2),1))</f>
        <v>1</v>
      </c>
      <c r="I415" s="1594">
        <f>H415*G415</f>
        <v>448.07530299725522</v>
      </c>
      <c r="J415" s="1680" t="s">
        <v>548</v>
      </c>
      <c r="K415" s="1920" t="s">
        <v>680</v>
      </c>
      <c r="L415" s="1426">
        <v>320</v>
      </c>
      <c r="M415" s="1426">
        <v>502</v>
      </c>
      <c r="N415" s="1426">
        <v>8500</v>
      </c>
      <c r="O415" s="1425">
        <v>150</v>
      </c>
      <c r="P415" s="1425">
        <v>0.86</v>
      </c>
      <c r="Q415" s="1427">
        <v>0.44</v>
      </c>
      <c r="R415" s="1428">
        <v>0.125</v>
      </c>
      <c r="S415" s="1457">
        <v>3.5000000000000003E-2</v>
      </c>
      <c r="T415" s="1624">
        <v>10</v>
      </c>
      <c r="U415" s="1616" t="s">
        <v>645</v>
      </c>
      <c r="V415" s="1622">
        <v>0.03</v>
      </c>
      <c r="W415" s="1602">
        <f>(G415*H415)^2*Q415*10^-3+G415*P415</f>
        <v>473.68421052631561</v>
      </c>
      <c r="X415" s="1602">
        <f>D415*W415</f>
        <v>473.68421052631561</v>
      </c>
      <c r="Y415" s="1602">
        <f>IF(A415=3,W415*6,IF(A415=1,W415*4,W415))</f>
        <v>473.68421052631561</v>
      </c>
      <c r="Z415" s="1579">
        <f>O415-5</f>
        <v>145</v>
      </c>
      <c r="AA415" s="1602">
        <f>D415*W415*V415+AB415</f>
        <v>69.210526315789465</v>
      </c>
      <c r="AB415" s="1588">
        <v>55</v>
      </c>
      <c r="AC415" s="1570"/>
      <c r="AD415" s="1754">
        <f>Q415*10^-3*H415^2</f>
        <v>4.4000000000000002E-4</v>
      </c>
      <c r="AE415" s="1634">
        <f>P415</f>
        <v>0.86</v>
      </c>
      <c r="AF415" s="1635">
        <f>(AB415-Z415)/(R415+S415+D415*V415)</f>
        <v>-473.68421052631578</v>
      </c>
      <c r="AG415" s="1646">
        <f>AE415^2-4*AD415*AF415</f>
        <v>1.5732842105263156</v>
      </c>
      <c r="AH415" s="1741">
        <f>SUM(AJ415:AL415)</f>
        <v>86.06</v>
      </c>
      <c r="AI415" s="1607"/>
      <c r="AJ415" s="1733">
        <f>C415*LOOKUP(T415,'HS250-DATA'!C$7:C$10,'HS250-DATA'!F$7:F$10)</f>
        <v>19.86</v>
      </c>
      <c r="AK415" s="1733">
        <f>IF(U415="Y",C415*12,0)</f>
        <v>12</v>
      </c>
      <c r="AL415" s="1733">
        <f>C415*E415*VLOOKUP(K415,'SCR-Diode DATA'!D$7:M$43,10,FALSE)</f>
        <v>54.2</v>
      </c>
      <c r="AM415" s="507">
        <f>AH415/F415</f>
        <v>0.19206593049054341</v>
      </c>
    </row>
    <row r="416" spans="1:39" ht="18.75">
      <c r="A416" s="1598" t="s">
        <v>501</v>
      </c>
      <c r="B416" s="1533">
        <f>IF(A416=3,6,IF(A416=1,4,IF(A416="bd",1,IF(A416="fwd",1,"Circuit Type"))))</f>
        <v>1</v>
      </c>
      <c r="C416" s="1600">
        <v>1</v>
      </c>
      <c r="D416" s="1575">
        <f>B416/C416</f>
        <v>1</v>
      </c>
      <c r="E416" s="1575">
        <v>1</v>
      </c>
      <c r="F416" s="1611">
        <f>IF(A416=3,3*G416,IF(A416=1,2*G416,IF(A416="bd",1*G416,IF(A416="fwd",1,"Error"))))</f>
        <v>468.90347908482124</v>
      </c>
      <c r="G416" s="1582">
        <f>(-AE416+SQRT(AG416))/2/AD416</f>
        <v>468.90347908482124</v>
      </c>
      <c r="H416" s="1583">
        <f>IF(A416=3,SQRT(3),IF(A416=1,SQRT(2),1))</f>
        <v>1</v>
      </c>
      <c r="I416" s="1594">
        <f>H416*G416</f>
        <v>468.90347908482124</v>
      </c>
      <c r="J416" s="1680" t="s">
        <v>548</v>
      </c>
      <c r="K416" s="1920" t="s">
        <v>680</v>
      </c>
      <c r="L416" s="1426">
        <v>320</v>
      </c>
      <c r="M416" s="1426">
        <v>502</v>
      </c>
      <c r="N416" s="1426">
        <v>8500</v>
      </c>
      <c r="O416" s="1425">
        <v>150</v>
      </c>
      <c r="P416" s="1425">
        <v>0.86</v>
      </c>
      <c r="Q416" s="1427">
        <v>0.44</v>
      </c>
      <c r="R416" s="1428">
        <v>0.125</v>
      </c>
      <c r="S416" s="1457">
        <v>3.5000000000000003E-2</v>
      </c>
      <c r="T416" s="1624">
        <v>10</v>
      </c>
      <c r="U416" s="1616" t="s">
        <v>645</v>
      </c>
      <c r="V416" s="1622">
        <v>0.02</v>
      </c>
      <c r="W416" s="1602">
        <f>(G416*H416)^2*Q416*10^-3+G416*P416</f>
        <v>500</v>
      </c>
      <c r="X416" s="1602">
        <f>D416*W416</f>
        <v>500</v>
      </c>
      <c r="Y416" s="1602">
        <f>IF(A416=3,W416*6,IF(A416=1,W416*4,W416))</f>
        <v>500</v>
      </c>
      <c r="Z416" s="1579">
        <f>O416-5</f>
        <v>145</v>
      </c>
      <c r="AA416" s="1602">
        <f>D416*W416*V416+AB416</f>
        <v>65</v>
      </c>
      <c r="AB416" s="1588">
        <v>55</v>
      </c>
      <c r="AC416" s="1570"/>
      <c r="AD416" s="1754">
        <f>Q416*10^-3*H416^2</f>
        <v>4.4000000000000002E-4</v>
      </c>
      <c r="AE416" s="1634">
        <f>P416</f>
        <v>0.86</v>
      </c>
      <c r="AF416" s="1635">
        <f>(AB416-Z416)/(R416+S416+D416*V416)</f>
        <v>-500</v>
      </c>
      <c r="AG416" s="1646">
        <f>AE416^2-4*AD416*AF416</f>
        <v>1.6195999999999999</v>
      </c>
      <c r="AH416" s="1741">
        <f>SUM(AJ416:AL416)</f>
        <v>86.06</v>
      </c>
      <c r="AI416" s="1607"/>
      <c r="AJ416" s="1733">
        <f>C416*LOOKUP(T416,'HS250-DATA'!C$7:C$10,'HS250-DATA'!F$7:F$10)</f>
        <v>19.86</v>
      </c>
      <c r="AK416" s="1733">
        <f>IF(U416="Y",C416*12,0)</f>
        <v>12</v>
      </c>
      <c r="AL416" s="1733">
        <f>C416*E416*VLOOKUP(K416,'SCR-Diode DATA'!D$7:M$43,10,FALSE)</f>
        <v>54.2</v>
      </c>
      <c r="AM416" s="507">
        <f>AH416/F416</f>
        <v>0.18353457340083495</v>
      </c>
    </row>
    <row r="418" spans="1:39" ht="18.75">
      <c r="A418" s="1598" t="s">
        <v>501</v>
      </c>
      <c r="B418" s="1533">
        <f>IF(A418=3,6,IF(A418=1,4,IF(A418="bd",1,IF(A418="fwd",1,"Circuit Type"))))</f>
        <v>1</v>
      </c>
      <c r="C418" s="1600">
        <v>1</v>
      </c>
      <c r="D418" s="1575">
        <f>B418/C418</f>
        <v>1</v>
      </c>
      <c r="E418" s="1575">
        <v>1</v>
      </c>
      <c r="F418" s="1611">
        <f>IF(A418=3,3*G418,IF(A418=1,2*G418,IF(A418="bd",1*G418,IF(A418="fwd",1,"Error"))))</f>
        <v>680.34007783787206</v>
      </c>
      <c r="G418" s="1582">
        <f>(-AE418+SQRT(AG418))/2/AD418</f>
        <v>680.34007783787206</v>
      </c>
      <c r="H418" s="1583">
        <f>IF(A418=3,SQRT(3),IF(A418=1,SQRT(2),1))</f>
        <v>1</v>
      </c>
      <c r="I418" s="1594">
        <f>H418*G418</f>
        <v>680.34007783787206</v>
      </c>
      <c r="J418" s="1680" t="s">
        <v>548</v>
      </c>
      <c r="K418" s="1432" t="s">
        <v>508</v>
      </c>
      <c r="L418" s="1426">
        <v>600</v>
      </c>
      <c r="M418" s="1426">
        <v>950</v>
      </c>
      <c r="N418" s="1426">
        <v>19000</v>
      </c>
      <c r="O418" s="1425">
        <v>150</v>
      </c>
      <c r="P418" s="1425">
        <v>0.747</v>
      </c>
      <c r="Q418" s="1427">
        <v>0.24299999999999999</v>
      </c>
      <c r="R418" s="1428">
        <v>6.5000000000000002E-2</v>
      </c>
      <c r="S418" s="1457">
        <v>0.02</v>
      </c>
      <c r="T418" s="1624">
        <v>15</v>
      </c>
      <c r="U418" s="1616" t="s">
        <v>645</v>
      </c>
      <c r="V418" s="1622">
        <v>0.06</v>
      </c>
      <c r="W418" s="1602">
        <f>(G418*H418)^2*Q418*10^-3+G418*P418</f>
        <v>620.68965517241372</v>
      </c>
      <c r="X418" s="1602">
        <f>D418*W418</f>
        <v>620.68965517241372</v>
      </c>
      <c r="Y418" s="1602">
        <f>IF(A418=3,W418*6,IF(A418=1,W418*4,W418))</f>
        <v>620.68965517241372</v>
      </c>
      <c r="Z418" s="1579">
        <f>O418-5</f>
        <v>145</v>
      </c>
      <c r="AA418" s="1602">
        <f>D418*W418*V418+AB418</f>
        <v>92.241379310344826</v>
      </c>
      <c r="AB418" s="1588">
        <v>55</v>
      </c>
      <c r="AC418" s="1570"/>
      <c r="AD418" s="1754">
        <f>Q418*10^-3*H418^2</f>
        <v>2.43E-4</v>
      </c>
      <c r="AE418" s="1634">
        <f>P418</f>
        <v>0.747</v>
      </c>
      <c r="AF418" s="1635">
        <f>(AB418-Z418)/(R418+S418+D418*V418)</f>
        <v>-620.68965517241372</v>
      </c>
      <c r="AG418" s="1646">
        <f>AE418^2-4*AD418*AF418</f>
        <v>1.1613193448275863</v>
      </c>
      <c r="AH418" s="1741">
        <f>SUM(AJ418:AL418)</f>
        <v>132.26</v>
      </c>
      <c r="AI418" s="1607"/>
      <c r="AJ418" s="1733">
        <f>C418*LOOKUP(T418,'HS250-DATA'!C$7:C$10,'HS250-DATA'!F$7:F$10)</f>
        <v>28.26</v>
      </c>
      <c r="AK418" s="1733">
        <f>IF(U418="Y",C418*12,0)</f>
        <v>12</v>
      </c>
      <c r="AL418" s="1733">
        <f>C418*E418*VLOOKUP(K418,'SCR-Diode DATA'!D$7:M$43,10,FALSE)</f>
        <v>92</v>
      </c>
      <c r="AM418" s="507">
        <f>AH418/F418</f>
        <v>0.19440277635902867</v>
      </c>
    </row>
    <row r="419" spans="1:39" ht="18.75">
      <c r="A419" s="1598" t="s">
        <v>501</v>
      </c>
      <c r="B419" s="1533">
        <f>IF(A419=3,6,IF(A419=1,4,IF(A419="bd",1,IF(A419="fwd",1,"Circuit Type"))))</f>
        <v>1</v>
      </c>
      <c r="C419" s="1600">
        <v>1</v>
      </c>
      <c r="D419" s="1575">
        <f>B419/C419</f>
        <v>1</v>
      </c>
      <c r="E419" s="1575">
        <v>1</v>
      </c>
      <c r="F419" s="2078">
        <f>IF(A419=3,3*G419,IF(A419=1,2*G419,IF(A419="bd",1*G419,IF(A419="fwd",1,"Error"))))</f>
        <v>722.60166819645667</v>
      </c>
      <c r="G419" s="1582">
        <f>(-AE419+SQRT(AG419))/2/AD419</f>
        <v>722.60166819645667</v>
      </c>
      <c r="H419" s="1583">
        <f>IF(A419=3,SQRT(3),IF(A419=1,SQRT(2),1))</f>
        <v>1</v>
      </c>
      <c r="I419" s="1594">
        <f>H419*G419</f>
        <v>722.60166819645667</v>
      </c>
      <c r="J419" s="1680" t="s">
        <v>548</v>
      </c>
      <c r="K419" s="1432" t="s">
        <v>508</v>
      </c>
      <c r="L419" s="1426">
        <v>600</v>
      </c>
      <c r="M419" s="1426">
        <v>950</v>
      </c>
      <c r="N419" s="1426">
        <v>19000</v>
      </c>
      <c r="O419" s="1425">
        <v>150</v>
      </c>
      <c r="P419" s="1425">
        <v>0.747</v>
      </c>
      <c r="Q419" s="1427">
        <v>0.24299999999999999</v>
      </c>
      <c r="R419" s="1428">
        <v>6.5000000000000002E-2</v>
      </c>
      <c r="S419" s="1457">
        <v>0.02</v>
      </c>
      <c r="T419" s="1624">
        <v>15</v>
      </c>
      <c r="U419" s="1616" t="s">
        <v>645</v>
      </c>
      <c r="V419" s="1622">
        <v>0.05</v>
      </c>
      <c r="W419" s="1602">
        <f>(G419*H419)^2*Q419*10^-3+G419*P419</f>
        <v>666.66666666666663</v>
      </c>
      <c r="X419" s="1602">
        <f>D419*W419</f>
        <v>666.66666666666663</v>
      </c>
      <c r="Y419" s="1602">
        <f>IF(A419=3,W419*6,IF(A419=1,W419*4,W419))</f>
        <v>666.66666666666663</v>
      </c>
      <c r="Z419" s="1579">
        <f>O419-5</f>
        <v>145</v>
      </c>
      <c r="AA419" s="1602">
        <f>D419*W419*V419+AB419</f>
        <v>88.333333333333343</v>
      </c>
      <c r="AB419" s="1588">
        <v>55</v>
      </c>
      <c r="AC419" s="1570"/>
      <c r="AD419" s="1754">
        <f>Q419*10^-3*H419^2</f>
        <v>2.43E-4</v>
      </c>
      <c r="AE419" s="1634">
        <f>P419</f>
        <v>0.747</v>
      </c>
      <c r="AF419" s="1635">
        <f>(AB419-Z419)/(R419+S419+D419*V419)</f>
        <v>-666.66666666666663</v>
      </c>
      <c r="AG419" s="1646">
        <f>AE419^2-4*AD419*AF419</f>
        <v>1.2060089999999999</v>
      </c>
      <c r="AH419" s="1741">
        <f>SUM(AJ419:AL419)</f>
        <v>132.26</v>
      </c>
      <c r="AI419" s="1607"/>
      <c r="AJ419" s="1733">
        <f>C419*LOOKUP(T419,'HS250-DATA'!C$7:C$10,'HS250-DATA'!F$7:F$10)</f>
        <v>28.26</v>
      </c>
      <c r="AK419" s="1733">
        <f>IF(U419="Y",C419*12,0)</f>
        <v>12</v>
      </c>
      <c r="AL419" s="1733">
        <f>C419*E419*VLOOKUP(K419,'SCR-Diode DATA'!D$7:M$43,10,FALSE)</f>
        <v>92</v>
      </c>
      <c r="AM419" s="507">
        <f>AH419/F419</f>
        <v>0.18303306762369931</v>
      </c>
    </row>
    <row r="420" spans="1:39" ht="18.75">
      <c r="A420" s="1598" t="s">
        <v>501</v>
      </c>
      <c r="B420" s="1533">
        <f>IF(A420=3,6,IF(A420=1,4,IF(A420="bd",1,IF(A420="fwd",1,"Circuit Type"))))</f>
        <v>1</v>
      </c>
      <c r="C420" s="1600">
        <v>1</v>
      </c>
      <c r="D420" s="1575">
        <f>B420/C420</f>
        <v>1</v>
      </c>
      <c r="E420" s="1575">
        <v>1</v>
      </c>
      <c r="F420" s="1611">
        <f>IF(A420=3,3*G420,IF(A420=1,2*G420,IF(A420="bd",1*G420,IF(A420="fwd",1,"Error"))))</f>
        <v>770.65571031616241</v>
      </c>
      <c r="G420" s="1582">
        <f>(-AE420+SQRT(AG420))/2/AD420</f>
        <v>770.65571031616241</v>
      </c>
      <c r="H420" s="1583">
        <f>IF(A420=3,SQRT(3),IF(A420=1,SQRT(2),1))</f>
        <v>1</v>
      </c>
      <c r="I420" s="1594">
        <f>H420*G420</f>
        <v>770.65571031616241</v>
      </c>
      <c r="J420" s="1680" t="s">
        <v>548</v>
      </c>
      <c r="K420" s="1432" t="s">
        <v>508</v>
      </c>
      <c r="L420" s="1426">
        <v>600</v>
      </c>
      <c r="M420" s="1426">
        <v>950</v>
      </c>
      <c r="N420" s="1426">
        <v>19000</v>
      </c>
      <c r="O420" s="1425">
        <v>150</v>
      </c>
      <c r="P420" s="1425">
        <v>0.747</v>
      </c>
      <c r="Q420" s="1427">
        <v>0.24299999999999999</v>
      </c>
      <c r="R420" s="1428">
        <v>6.5000000000000002E-2</v>
      </c>
      <c r="S420" s="1457">
        <v>0.02</v>
      </c>
      <c r="T420" s="1624">
        <v>15</v>
      </c>
      <c r="U420" s="1616" t="s">
        <v>645</v>
      </c>
      <c r="V420" s="1622">
        <v>0.04</v>
      </c>
      <c r="W420" s="1602">
        <f>(G420*H420)^2*Q420*10^-3+G420*P420</f>
        <v>720.00000000000011</v>
      </c>
      <c r="X420" s="1602">
        <f>D420*W420</f>
        <v>720.00000000000011</v>
      </c>
      <c r="Y420" s="1602">
        <f>IF(A420=3,W420*6,IF(A420=1,W420*4,W420))</f>
        <v>720.00000000000011</v>
      </c>
      <c r="Z420" s="1579">
        <f>O420-5</f>
        <v>145</v>
      </c>
      <c r="AA420" s="1602">
        <f>D420*W420*V420+AB420</f>
        <v>83.800000000000011</v>
      </c>
      <c r="AB420" s="1588">
        <v>55</v>
      </c>
      <c r="AC420" s="1570"/>
      <c r="AD420" s="1754">
        <f>Q420*10^-3*H420^2</f>
        <v>2.43E-4</v>
      </c>
      <c r="AE420" s="1634">
        <f>P420</f>
        <v>0.747</v>
      </c>
      <c r="AF420" s="1635">
        <f>(AB420-Z420)/(R420+S420+D420*V420)</f>
        <v>-720</v>
      </c>
      <c r="AG420" s="1646">
        <f>AE420^2-4*AD420*AF420</f>
        <v>1.257849</v>
      </c>
      <c r="AH420" s="1741">
        <f>SUM(AJ420:AL420)</f>
        <v>132.26</v>
      </c>
      <c r="AI420" s="1607"/>
      <c r="AJ420" s="1733">
        <f>C420*LOOKUP(T420,'HS250-DATA'!C$7:C$10,'HS250-DATA'!F$7:F$10)</f>
        <v>28.26</v>
      </c>
      <c r="AK420" s="1733">
        <f>IF(U420="Y",C420*12,0)</f>
        <v>12</v>
      </c>
      <c r="AL420" s="1733">
        <f>C420*E420*VLOOKUP(K420,'SCR-Diode DATA'!D$7:M$43,10,FALSE)</f>
        <v>92</v>
      </c>
      <c r="AM420" s="507">
        <f>AH420/F420</f>
        <v>0.17162008693316522</v>
      </c>
    </row>
    <row r="421" spans="1:39" ht="18.75">
      <c r="A421" s="1598" t="s">
        <v>501</v>
      </c>
      <c r="B421" s="1533">
        <f>IF(A421=3,6,IF(A421=1,4,IF(A421="bd",1,IF(A421="fwd",1,"Circuit Type"))))</f>
        <v>1</v>
      </c>
      <c r="C421" s="1600">
        <v>1</v>
      </c>
      <c r="D421" s="1575">
        <f>B421/C421</f>
        <v>1</v>
      </c>
      <c r="E421" s="1575">
        <v>1</v>
      </c>
      <c r="F421" s="1611">
        <f>IF(A421=3,3*G421,IF(A421=1,2*G421,IF(A421="bd",1*G421,IF(A421="fwd",1,"Error"))))</f>
        <v>825.82029456123018</v>
      </c>
      <c r="G421" s="1582">
        <f>(-AE421+SQRT(AG421))/2/AD421</f>
        <v>825.82029456123018</v>
      </c>
      <c r="H421" s="1583">
        <f>IF(A421=3,SQRT(3),IF(A421=1,SQRT(2),1))</f>
        <v>1</v>
      </c>
      <c r="I421" s="1594">
        <f>H421*G421</f>
        <v>825.82029456123018</v>
      </c>
      <c r="J421" s="1680" t="s">
        <v>548</v>
      </c>
      <c r="K421" s="1432" t="s">
        <v>508</v>
      </c>
      <c r="L421" s="1426">
        <v>600</v>
      </c>
      <c r="M421" s="1426">
        <v>950</v>
      </c>
      <c r="N421" s="1426">
        <v>19000</v>
      </c>
      <c r="O421" s="1425">
        <v>150</v>
      </c>
      <c r="P421" s="1425">
        <v>0.747</v>
      </c>
      <c r="Q421" s="1427">
        <v>0.24299999999999999</v>
      </c>
      <c r="R421" s="1428">
        <v>6.5000000000000002E-2</v>
      </c>
      <c r="S421" s="1457">
        <v>0.02</v>
      </c>
      <c r="T421" s="1624">
        <v>15</v>
      </c>
      <c r="U421" s="1616" t="s">
        <v>645</v>
      </c>
      <c r="V421" s="1622">
        <v>0.03</v>
      </c>
      <c r="W421" s="1602">
        <f>(G421*H421)^2*Q421*10^-3+G421*P421</f>
        <v>782.60869565217388</v>
      </c>
      <c r="X421" s="1602">
        <f>D421*W421</f>
        <v>782.60869565217388</v>
      </c>
      <c r="Y421" s="1602">
        <f>IF(A421=3,W421*6,IF(A421=1,W421*4,W421))</f>
        <v>782.60869565217388</v>
      </c>
      <c r="Z421" s="1579">
        <f>O421-5</f>
        <v>145</v>
      </c>
      <c r="AA421" s="1602">
        <f>D421*W421*V421+AB421</f>
        <v>78.478260869565219</v>
      </c>
      <c r="AB421" s="1588">
        <v>55</v>
      </c>
      <c r="AC421" s="1570"/>
      <c r="AD421" s="1754">
        <f>Q421*10^-3*H421^2</f>
        <v>2.43E-4</v>
      </c>
      <c r="AE421" s="1634">
        <f>P421</f>
        <v>0.747</v>
      </c>
      <c r="AF421" s="1635">
        <f>(AB421-Z421)/(R421+S421+D421*V421)</f>
        <v>-782.60869565217388</v>
      </c>
      <c r="AG421" s="1646">
        <f>AE421^2-4*AD421*AF421</f>
        <v>1.318704652173913</v>
      </c>
      <c r="AH421" s="1741">
        <f>SUM(AJ421:AL421)</f>
        <v>132.26</v>
      </c>
      <c r="AI421" s="1607"/>
      <c r="AJ421" s="1733">
        <f>C421*LOOKUP(T421,'HS250-DATA'!C$7:C$10,'HS250-DATA'!F$7:F$10)</f>
        <v>28.26</v>
      </c>
      <c r="AK421" s="1733">
        <f>IF(U421="Y",C421*12,0)</f>
        <v>12</v>
      </c>
      <c r="AL421" s="1733">
        <f>C421*E421*VLOOKUP(K421,'SCR-Diode DATA'!D$7:M$43,10,FALSE)</f>
        <v>92</v>
      </c>
      <c r="AM421" s="507">
        <f>AH421/F421</f>
        <v>0.16015590906526653</v>
      </c>
    </row>
    <row r="422" spans="1:39" ht="18.75">
      <c r="A422" s="1598" t="s">
        <v>501</v>
      </c>
      <c r="B422" s="1533">
        <f>IF(A422=3,6,IF(A422=1,4,IF(A422="bd",1,IF(A422="fwd",1,"Circuit Type"))))</f>
        <v>1</v>
      </c>
      <c r="C422" s="1600">
        <v>1</v>
      </c>
      <c r="D422" s="1575">
        <f>B422/C422</f>
        <v>1</v>
      </c>
      <c r="E422" s="1575">
        <v>1</v>
      </c>
      <c r="F422" s="1611">
        <f>IF(A422=3,3*G422,IF(A422=1,2*G422,IF(A422="bd",1*G422,IF(A422="fwd",1,"Error"))))</f>
        <v>889.85803978309332</v>
      </c>
      <c r="G422" s="1582">
        <f>(-AE422+SQRT(AG422))/2/AD422</f>
        <v>889.85803978309332</v>
      </c>
      <c r="H422" s="1583">
        <f>IF(A422=3,SQRT(3),IF(A422=1,SQRT(2),1))</f>
        <v>1</v>
      </c>
      <c r="I422" s="1594">
        <f>H422*G422</f>
        <v>889.85803978309332</v>
      </c>
      <c r="J422" s="1680" t="s">
        <v>548</v>
      </c>
      <c r="K422" s="1432" t="s">
        <v>508</v>
      </c>
      <c r="L422" s="1426">
        <v>600</v>
      </c>
      <c r="M422" s="1426">
        <v>950</v>
      </c>
      <c r="N422" s="1426">
        <v>19000</v>
      </c>
      <c r="O422" s="1425">
        <v>150</v>
      </c>
      <c r="P422" s="1425">
        <v>0.747</v>
      </c>
      <c r="Q422" s="1427">
        <v>0.24299999999999999</v>
      </c>
      <c r="R422" s="1428">
        <v>6.5000000000000002E-2</v>
      </c>
      <c r="S422" s="1457">
        <v>0.02</v>
      </c>
      <c r="T422" s="1624">
        <v>15</v>
      </c>
      <c r="U422" s="1616" t="s">
        <v>645</v>
      </c>
      <c r="V422" s="1622">
        <v>0.02</v>
      </c>
      <c r="W422" s="1602">
        <f>(G422*H422)^2*Q422*10^-3+G422*P422</f>
        <v>857.14285714285677</v>
      </c>
      <c r="X422" s="1602">
        <f>D422*W422</f>
        <v>857.14285714285677</v>
      </c>
      <c r="Y422" s="1602">
        <f>IF(A422=3,W422*6,IF(A422=1,W422*4,W422))</f>
        <v>857.14285714285677</v>
      </c>
      <c r="Z422" s="1579">
        <f>O422-5</f>
        <v>145</v>
      </c>
      <c r="AA422" s="1602">
        <f>D422*W422*V422+AB422</f>
        <v>72.142857142857139</v>
      </c>
      <c r="AB422" s="1588">
        <v>55</v>
      </c>
      <c r="AC422" s="1570"/>
      <c r="AD422" s="1754">
        <f>Q422*10^-3*H422^2</f>
        <v>2.43E-4</v>
      </c>
      <c r="AE422" s="1634">
        <f>P422</f>
        <v>0.747</v>
      </c>
      <c r="AF422" s="1635">
        <f>(AB422-Z422)/(R422+S422+D422*V422)</f>
        <v>-857.14285714285711</v>
      </c>
      <c r="AG422" s="1646">
        <f>AE422^2-4*AD422*AF422</f>
        <v>1.3911518571428569</v>
      </c>
      <c r="AH422" s="1741">
        <f>SUM(AJ422:AL422)</f>
        <v>132.26</v>
      </c>
      <c r="AI422" s="1607"/>
      <c r="AJ422" s="1733">
        <f>C422*LOOKUP(T422,'HS250-DATA'!C$7:C$10,'HS250-DATA'!F$7:F$10)</f>
        <v>28.26</v>
      </c>
      <c r="AK422" s="1733">
        <f>IF(U422="Y",C422*12,0)</f>
        <v>12</v>
      </c>
      <c r="AL422" s="1733">
        <f>C422*E422*VLOOKUP(K422,'SCR-Diode DATA'!D$7:M$43,10,FALSE)</f>
        <v>92</v>
      </c>
      <c r="AM422" s="507">
        <f>AH422/F422</f>
        <v>0.14863044900087538</v>
      </c>
    </row>
    <row r="424" spans="1:39" ht="18.75">
      <c r="A424" s="1598" t="s">
        <v>501</v>
      </c>
      <c r="B424" s="1533">
        <f>IF(A424=3,6,IF(A424=1,4,IF(A424="bd",1,IF(A424="fwd",1,"Circuit Type"))))</f>
        <v>1</v>
      </c>
      <c r="C424" s="1600">
        <v>1</v>
      </c>
      <c r="D424" s="1575">
        <f>B424/C424</f>
        <v>1</v>
      </c>
      <c r="E424" s="1575">
        <v>1</v>
      </c>
      <c r="F424" s="1611">
        <f>IF(A424=3,3*G424,IF(A424=1,2*G424,IF(A424="bd",1*G424,IF(A424="fwd",1,"Error"))))</f>
        <v>1356.9991001904859</v>
      </c>
      <c r="G424" s="1582">
        <f>(-AE424+SQRT(AG424))/2/AD424</f>
        <v>1356.9991001904859</v>
      </c>
      <c r="H424" s="1583">
        <f>IF(A424=3,SQRT(3),IF(A424=1,SQRT(2),1))</f>
        <v>1</v>
      </c>
      <c r="I424" s="1594">
        <f>H424*G424</f>
        <v>1356.9991001904859</v>
      </c>
      <c r="J424" s="1680" t="s">
        <v>548</v>
      </c>
      <c r="K424" s="1432" t="s">
        <v>509</v>
      </c>
      <c r="L424" s="1426">
        <v>2500</v>
      </c>
      <c r="M424" s="1426">
        <v>3925</v>
      </c>
      <c r="N424" s="1426">
        <v>48400</v>
      </c>
      <c r="O424" s="1425">
        <v>150</v>
      </c>
      <c r="P424" s="1425">
        <v>0.63200000000000001</v>
      </c>
      <c r="Q424" s="1427">
        <v>5.9799999999999999E-2</v>
      </c>
      <c r="R424" s="1428">
        <v>2.4E-2</v>
      </c>
      <c r="S424" s="1457">
        <v>8.9999999999999993E-3</v>
      </c>
      <c r="T424" s="1624">
        <v>10</v>
      </c>
      <c r="U424" s="1616" t="s">
        <v>645</v>
      </c>
      <c r="V424" s="1622">
        <v>0.06</v>
      </c>
      <c r="W424" s="1602">
        <f>(G424*H424)^2*Q424*10^-3+G424*P424</f>
        <v>967.74193548387086</v>
      </c>
      <c r="X424" s="1602">
        <f>D424*W424</f>
        <v>967.74193548387086</v>
      </c>
      <c r="Y424" s="1602">
        <f>IF(A424=3,W424*6,IF(A424=1,W424*4,W424))</f>
        <v>967.74193548387086</v>
      </c>
      <c r="Z424" s="1579">
        <f>O424-5</f>
        <v>145</v>
      </c>
      <c r="AA424" s="1602">
        <f>D424*W424*V424+AB424</f>
        <v>113.06451612903226</v>
      </c>
      <c r="AB424" s="1588">
        <v>55</v>
      </c>
      <c r="AC424" s="1570"/>
      <c r="AD424" s="1754">
        <f>Q424*10^-3*H424^2</f>
        <v>5.9800000000000003E-5</v>
      </c>
      <c r="AE424" s="1634">
        <f>P424</f>
        <v>0.63200000000000001</v>
      </c>
      <c r="AF424" s="1635">
        <f>(AB424-Z424)/(R424+S424+D424*V424)</f>
        <v>-967.74193548387098</v>
      </c>
      <c r="AG424" s="1646">
        <f>AE424^2-4*AD424*AF424</f>
        <v>0.63090787096774192</v>
      </c>
      <c r="AH424" s="1741">
        <f>SUM(AJ424:AL424)</f>
        <v>376.86</v>
      </c>
      <c r="AI424" s="1607"/>
      <c r="AJ424" s="1733">
        <f>C424*LOOKUP(T424,'HS250-DATA'!C$7:C$10,'HS250-DATA'!F$7:F$10)</f>
        <v>19.86</v>
      </c>
      <c r="AK424" s="1733">
        <f>IF(U424="Y",C424*12,0)</f>
        <v>12</v>
      </c>
      <c r="AL424" s="1733">
        <f>C424*E424*VLOOKUP(K424,'SCR-Diode DATA'!D$7:M$43,10,FALSE)</f>
        <v>345</v>
      </c>
      <c r="AM424" s="507">
        <f>AH424/F424</f>
        <v>0.27771573315494391</v>
      </c>
    </row>
    <row r="425" spans="1:39" ht="18.75">
      <c r="A425" s="1598" t="s">
        <v>501</v>
      </c>
      <c r="B425" s="1533">
        <f>IF(A425=3,6,IF(A425=1,4,IF(A425="bd",1,IF(A425="fwd",1,"Circuit Type"))))</f>
        <v>1</v>
      </c>
      <c r="C425" s="1600">
        <v>1</v>
      </c>
      <c r="D425" s="1575">
        <f>B425/C425</f>
        <v>1</v>
      </c>
      <c r="E425" s="1575">
        <v>1</v>
      </c>
      <c r="F425" s="2078">
        <f>IF(A425=3,3*G425,IF(A425=1,2*G425,IF(A425="bd",1*G425,IF(A425="fwd",1,"Error"))))</f>
        <v>1502.202439392878</v>
      </c>
      <c r="G425" s="1582">
        <f>(-AE425+SQRT(AG425))/2/AD425</f>
        <v>1502.202439392878</v>
      </c>
      <c r="H425" s="1583">
        <f>IF(A425=3,SQRT(3),IF(A425=1,SQRT(2),1))</f>
        <v>1</v>
      </c>
      <c r="I425" s="1594">
        <f>H425*G425</f>
        <v>1502.202439392878</v>
      </c>
      <c r="J425" s="1680" t="s">
        <v>548</v>
      </c>
      <c r="K425" s="1432" t="s">
        <v>509</v>
      </c>
      <c r="L425" s="1426">
        <v>2500</v>
      </c>
      <c r="M425" s="1426">
        <v>3925</v>
      </c>
      <c r="N425" s="1426">
        <v>48400</v>
      </c>
      <c r="O425" s="1425">
        <v>150</v>
      </c>
      <c r="P425" s="1425">
        <v>0.63200000000000001</v>
      </c>
      <c r="Q425" s="1427">
        <v>5.9799999999999999E-2</v>
      </c>
      <c r="R425" s="1428">
        <v>2.4E-2</v>
      </c>
      <c r="S425" s="1457">
        <v>8.9999999999999993E-3</v>
      </c>
      <c r="T425" s="1624">
        <v>10</v>
      </c>
      <c r="U425" s="1616" t="s">
        <v>645</v>
      </c>
      <c r="V425" s="1622">
        <v>0.05</v>
      </c>
      <c r="W425" s="1602">
        <f>(G425*H425)^2*Q425*10^-3+G425*P425</f>
        <v>1084.3373493975901</v>
      </c>
      <c r="X425" s="1602">
        <f>D425*W425</f>
        <v>1084.3373493975901</v>
      </c>
      <c r="Y425" s="1602">
        <f>IF(A425=3,W425*6,IF(A425=1,W425*4,W425))</f>
        <v>1084.3373493975901</v>
      </c>
      <c r="Z425" s="1579">
        <f>O425-5</f>
        <v>145</v>
      </c>
      <c r="AA425" s="1602">
        <f>D425*W425*V425+AB425</f>
        <v>109.2168674698795</v>
      </c>
      <c r="AB425" s="1588">
        <v>55</v>
      </c>
      <c r="AC425" s="1570"/>
      <c r="AD425" s="1754">
        <f>Q425*10^-3*H425^2</f>
        <v>5.9800000000000003E-5</v>
      </c>
      <c r="AE425" s="1634">
        <f>P425</f>
        <v>0.63200000000000001</v>
      </c>
      <c r="AF425" s="1635">
        <f>(AB425-Z425)/(R425+S425+D425*V425)</f>
        <v>-1084.3373493975903</v>
      </c>
      <c r="AG425" s="1646">
        <f>AE425^2-4*AD425*AF425</f>
        <v>0.65879749397590359</v>
      </c>
      <c r="AH425" s="1741">
        <f>SUM(AJ425:AL425)</f>
        <v>376.86</v>
      </c>
      <c r="AI425" s="1607"/>
      <c r="AJ425" s="1733">
        <f>C425*LOOKUP(T425,'HS250-DATA'!C$7:C$10,'HS250-DATA'!F$7:F$10)</f>
        <v>19.86</v>
      </c>
      <c r="AK425" s="1733">
        <f>IF(U425="Y",C425*12,0)</f>
        <v>12</v>
      </c>
      <c r="AL425" s="1733">
        <f>C425*E425*VLOOKUP(K425,'SCR-Diode DATA'!D$7:M$43,10,FALSE)</f>
        <v>345</v>
      </c>
      <c r="AM425" s="507">
        <f>AH425/F425</f>
        <v>0.25087164693482306</v>
      </c>
    </row>
    <row r="426" spans="1:39" ht="18.75">
      <c r="A426" s="1598" t="s">
        <v>501</v>
      </c>
      <c r="B426" s="1533">
        <f>IF(A426=3,6,IF(A426=1,4,IF(A426="bd",1,IF(A426="fwd",1,"Circuit Type"))))</f>
        <v>1</v>
      </c>
      <c r="C426" s="1600">
        <v>1</v>
      </c>
      <c r="D426" s="1575">
        <f>B426/C426</f>
        <v>1</v>
      </c>
      <c r="E426" s="1575">
        <v>1</v>
      </c>
      <c r="F426" s="1611">
        <f>IF(A426=3,3*G426,IF(A426=1,2*G426,IF(A426="bd",1*G426,IF(A426="fwd",1,"Error"))))</f>
        <v>1682.8054305731262</v>
      </c>
      <c r="G426" s="1582">
        <f>(-AE426+SQRT(AG426))/2/AD426</f>
        <v>1682.8054305731262</v>
      </c>
      <c r="H426" s="1583">
        <f>IF(A426=3,SQRT(3),IF(A426=1,SQRT(2),1))</f>
        <v>1</v>
      </c>
      <c r="I426" s="1594">
        <f>H426*G426</f>
        <v>1682.8054305731262</v>
      </c>
      <c r="J426" s="1680" t="s">
        <v>548</v>
      </c>
      <c r="K426" s="1432" t="s">
        <v>509</v>
      </c>
      <c r="L426" s="1426">
        <v>2500</v>
      </c>
      <c r="M426" s="1426">
        <v>3925</v>
      </c>
      <c r="N426" s="1426">
        <v>48400</v>
      </c>
      <c r="O426" s="1425">
        <v>150</v>
      </c>
      <c r="P426" s="1425">
        <v>0.63200000000000001</v>
      </c>
      <c r="Q426" s="1427">
        <v>5.9799999999999999E-2</v>
      </c>
      <c r="R426" s="1428">
        <v>2.4E-2</v>
      </c>
      <c r="S426" s="1457">
        <v>8.9999999999999993E-3</v>
      </c>
      <c r="T426" s="1624">
        <v>10</v>
      </c>
      <c r="U426" s="1616" t="s">
        <v>645</v>
      </c>
      <c r="V426" s="1622">
        <v>0.04</v>
      </c>
      <c r="W426" s="1602">
        <f>(G426*H426)^2*Q426*10^-3+G426*P426</f>
        <v>1232.8767123287666</v>
      </c>
      <c r="X426" s="1602">
        <f>D426*W426</f>
        <v>1232.8767123287666</v>
      </c>
      <c r="Y426" s="1602">
        <f>IF(A426=3,W426*6,IF(A426=1,W426*4,W426))</f>
        <v>1232.8767123287666</v>
      </c>
      <c r="Z426" s="1579">
        <f>O426-5</f>
        <v>145</v>
      </c>
      <c r="AA426" s="1602">
        <f>D426*W426*V426+AB426</f>
        <v>104.31506849315068</v>
      </c>
      <c r="AB426" s="1588">
        <v>55</v>
      </c>
      <c r="AC426" s="1570"/>
      <c r="AD426" s="1754">
        <f>Q426*10^-3*H426^2</f>
        <v>5.9800000000000003E-5</v>
      </c>
      <c r="AE426" s="1634">
        <f>P426</f>
        <v>0.63200000000000001</v>
      </c>
      <c r="AF426" s="1635">
        <f>(AB426-Z426)/(R426+S426+D426*V426)</f>
        <v>-1232.8767123287669</v>
      </c>
      <c r="AG426" s="1646">
        <f>AE426^2-4*AD426*AF426</f>
        <v>0.69432810958904101</v>
      </c>
      <c r="AH426" s="1741">
        <f>SUM(AJ426:AL426)</f>
        <v>376.86</v>
      </c>
      <c r="AI426" s="1607"/>
      <c r="AJ426" s="1733">
        <f>C426*LOOKUP(T426,'HS250-DATA'!C$7:C$10,'HS250-DATA'!F$7:F$10)</f>
        <v>19.86</v>
      </c>
      <c r="AK426" s="1733">
        <f>IF(U426="Y",C426*12,0)</f>
        <v>12</v>
      </c>
      <c r="AL426" s="1733">
        <f>C426*E426*VLOOKUP(K426,'SCR-Diode DATA'!D$7:M$43,10,FALSE)</f>
        <v>345</v>
      </c>
      <c r="AM426" s="507">
        <f>AH426/F426</f>
        <v>0.22394745890001666</v>
      </c>
    </row>
    <row r="427" spans="1:39" ht="18.75">
      <c r="A427" s="1598" t="s">
        <v>501</v>
      </c>
      <c r="B427" s="1533">
        <f>IF(A427=3,6,IF(A427=1,4,IF(A427="bd",1,IF(A427="fwd",1,"Circuit Type"))))</f>
        <v>1</v>
      </c>
      <c r="C427" s="1600">
        <v>1</v>
      </c>
      <c r="D427" s="1575">
        <f>B427/C427</f>
        <v>1</v>
      </c>
      <c r="E427" s="1575">
        <v>1</v>
      </c>
      <c r="F427" s="1611">
        <f>IF(A427=3,3*G427,IF(A427=1,2*G427,IF(A427="bd",1*G427,IF(A427="fwd",1,"Error"))))</f>
        <v>1913.8284916739756</v>
      </c>
      <c r="G427" s="1582">
        <f>(-AE427+SQRT(AG427))/2/AD427</f>
        <v>1913.8284916739756</v>
      </c>
      <c r="H427" s="1583">
        <f>IF(A427=3,SQRT(3),IF(A427=1,SQRT(2),1))</f>
        <v>1</v>
      </c>
      <c r="I427" s="1594">
        <f>H427*G427</f>
        <v>1913.8284916739756</v>
      </c>
      <c r="J427" s="1680" t="s">
        <v>548</v>
      </c>
      <c r="K427" s="1432" t="s">
        <v>509</v>
      </c>
      <c r="L427" s="1426">
        <v>2500</v>
      </c>
      <c r="M427" s="1426">
        <v>3925</v>
      </c>
      <c r="N427" s="1426">
        <v>48400</v>
      </c>
      <c r="O427" s="1425">
        <v>150</v>
      </c>
      <c r="P427" s="1425">
        <v>0.63200000000000001</v>
      </c>
      <c r="Q427" s="1427">
        <v>5.9799999999999999E-2</v>
      </c>
      <c r="R427" s="1428">
        <v>2.4E-2</v>
      </c>
      <c r="S427" s="1457">
        <v>8.9999999999999993E-3</v>
      </c>
      <c r="T427" s="1624">
        <v>10</v>
      </c>
      <c r="U427" s="1616" t="s">
        <v>645</v>
      </c>
      <c r="V427" s="1622">
        <v>0.03</v>
      </c>
      <c r="W427" s="1602">
        <f>(G427*H427)^2*Q427*10^-3+G427*P427</f>
        <v>1428.5714285714291</v>
      </c>
      <c r="X427" s="1602">
        <f>D427*W427</f>
        <v>1428.5714285714291</v>
      </c>
      <c r="Y427" s="1602">
        <f>IF(A427=3,W427*6,IF(A427=1,W427*4,W427))</f>
        <v>1428.5714285714291</v>
      </c>
      <c r="Z427" s="1579">
        <f>O427-5</f>
        <v>145</v>
      </c>
      <c r="AA427" s="1602">
        <f>D427*W427*V427+AB427</f>
        <v>97.857142857142875</v>
      </c>
      <c r="AB427" s="1588">
        <v>55</v>
      </c>
      <c r="AC427" s="1570"/>
      <c r="AD427" s="1754">
        <f>Q427*10^-3*H427^2</f>
        <v>5.9800000000000003E-5</v>
      </c>
      <c r="AE427" s="1634">
        <f>P427</f>
        <v>0.63200000000000001</v>
      </c>
      <c r="AF427" s="1635">
        <f>(AB427-Z427)/(R427+S427+D427*V427)</f>
        <v>-1428.5714285714287</v>
      </c>
      <c r="AG427" s="1646">
        <f>AE427^2-4*AD427*AF427</f>
        <v>0.74113828571428575</v>
      </c>
      <c r="AH427" s="1741">
        <f>SUM(AJ427:AL427)</f>
        <v>376.86</v>
      </c>
      <c r="AI427" s="1607"/>
      <c r="AJ427" s="1733">
        <f>C427*LOOKUP(T427,'HS250-DATA'!C$7:C$10,'HS250-DATA'!F$7:F$10)</f>
        <v>19.86</v>
      </c>
      <c r="AK427" s="1733">
        <f>IF(U427="Y",C427*12,0)</f>
        <v>12</v>
      </c>
      <c r="AL427" s="1733">
        <f>C427*E427*VLOOKUP(K427,'SCR-Diode DATA'!D$7:M$43,10,FALSE)</f>
        <v>345</v>
      </c>
      <c r="AM427" s="507">
        <f>AH427/F427</f>
        <v>0.19691419666888252</v>
      </c>
    </row>
    <row r="428" spans="1:39" ht="18.75">
      <c r="A428" s="1598" t="s">
        <v>501</v>
      </c>
      <c r="B428" s="1533">
        <f>IF(A428=3,6,IF(A428=1,4,IF(A428="bd",1,IF(A428="fwd",1,"Circuit Type"))))</f>
        <v>1</v>
      </c>
      <c r="C428" s="1600">
        <v>1</v>
      </c>
      <c r="D428" s="1575">
        <f>B428/C428</f>
        <v>1</v>
      </c>
      <c r="E428" s="1575">
        <v>1</v>
      </c>
      <c r="F428" s="1611">
        <f>IF(A428=3,3*G428,IF(A428=1,2*G428,IF(A428="bd",1*G428,IF(A428="fwd",1,"Error"))))</f>
        <v>2220.3954021760878</v>
      </c>
      <c r="G428" s="1582">
        <f>(-AE428+SQRT(AG428))/2/AD428</f>
        <v>2220.3954021760878</v>
      </c>
      <c r="H428" s="1583">
        <f>IF(A428=3,SQRT(3),IF(A428=1,SQRT(2),1))</f>
        <v>1</v>
      </c>
      <c r="I428" s="1594">
        <f>H428*G428</f>
        <v>2220.3954021760878</v>
      </c>
      <c r="J428" s="1680" t="s">
        <v>548</v>
      </c>
      <c r="K428" s="1432" t="s">
        <v>509</v>
      </c>
      <c r="L428" s="1426">
        <v>2500</v>
      </c>
      <c r="M428" s="1426">
        <v>3925</v>
      </c>
      <c r="N428" s="1426">
        <v>48400</v>
      </c>
      <c r="O428" s="1425">
        <v>150</v>
      </c>
      <c r="P428" s="1425">
        <v>0.63200000000000001</v>
      </c>
      <c r="Q428" s="1427">
        <v>5.9799999999999999E-2</v>
      </c>
      <c r="R428" s="1428">
        <v>2.4E-2</v>
      </c>
      <c r="S428" s="1457">
        <v>8.9999999999999993E-3</v>
      </c>
      <c r="T428" s="1624">
        <v>10</v>
      </c>
      <c r="U428" s="1616" t="s">
        <v>645</v>
      </c>
      <c r="V428" s="1622">
        <v>0.02</v>
      </c>
      <c r="W428" s="1602">
        <f>(G428*H428)^2*Q428*10^-3+G428*P428</f>
        <v>1698.1132075471694</v>
      </c>
      <c r="X428" s="1602">
        <f>D428*W428</f>
        <v>1698.1132075471694</v>
      </c>
      <c r="Y428" s="1602">
        <f>IF(A428=3,W428*6,IF(A428=1,W428*4,W428))</f>
        <v>1698.1132075471694</v>
      </c>
      <c r="Z428" s="1579">
        <f>O428-5</f>
        <v>145</v>
      </c>
      <c r="AA428" s="1602">
        <f>D428*W428*V428+AB428</f>
        <v>88.962264150943383</v>
      </c>
      <c r="AB428" s="1588">
        <v>55</v>
      </c>
      <c r="AC428" s="1570"/>
      <c r="AD428" s="1754">
        <f>Q428*10^-3*H428^2</f>
        <v>5.9800000000000003E-5</v>
      </c>
      <c r="AE428" s="1634">
        <f>P428</f>
        <v>0.63200000000000001</v>
      </c>
      <c r="AF428" s="1635">
        <f>(AB428-Z428)/(R428+S428+D428*V428)</f>
        <v>-1698.1132075471696</v>
      </c>
      <c r="AG428" s="1646">
        <f>AE428^2-4*AD428*AF428</f>
        <v>0.80561267924528301</v>
      </c>
      <c r="AH428" s="1741">
        <f>SUM(AJ428:AL428)</f>
        <v>376.86</v>
      </c>
      <c r="AI428" s="1607"/>
      <c r="AJ428" s="1733">
        <f>C428*LOOKUP(T428,'HS250-DATA'!C$7:C$10,'HS250-DATA'!F$7:F$10)</f>
        <v>19.86</v>
      </c>
      <c r="AK428" s="1733">
        <f>IF(U428="Y",C428*12,0)</f>
        <v>12</v>
      </c>
      <c r="AL428" s="1733">
        <f>C428*E428*VLOOKUP(K428,'SCR-Diode DATA'!D$7:M$43,10,FALSE)</f>
        <v>345</v>
      </c>
      <c r="AM428" s="507">
        <f>AH428/F428</f>
        <v>0.16972652691978202</v>
      </c>
    </row>
    <row r="434" spans="1:51" ht="18.75">
      <c r="A434" s="1598">
        <v>3</v>
      </c>
      <c r="B434" s="1533">
        <f t="shared" ref="B434:B443" si="222">IF(A434=3,6,IF(A434=1,4,IF(A434="bd",1,IF(A434="fwd",1,"Circuit Type"))))</f>
        <v>6</v>
      </c>
      <c r="C434" s="1600">
        <v>1</v>
      </c>
      <c r="D434" s="1575">
        <f t="shared" ref="D434:D443" si="223">B434/C434</f>
        <v>6</v>
      </c>
      <c r="E434" s="1575">
        <v>3</v>
      </c>
      <c r="F434" s="1611">
        <f t="shared" ref="F434:F443" si="224">IF(A434=3,3*G434,IF(A434=1,2*G434,IF(A434="bd",1*G434,IF(A434="fwd",1,"Error"))))</f>
        <v>555.44758780521943</v>
      </c>
      <c r="G434" s="1582">
        <f t="shared" ref="G434:G443" si="225">(-AE434+SQRT(AG434))/2/AD434</f>
        <v>185.14919593507315</v>
      </c>
      <c r="H434" s="1583">
        <f t="shared" ref="H434:H443" si="226">IF(A434=3,SQRT(3),IF(A434=1,SQRT(2),1))</f>
        <v>1.7320508075688772</v>
      </c>
      <c r="I434" s="1594">
        <f t="shared" ref="I434:I443" si="227">H434*G434</f>
        <v>320.68781434007172</v>
      </c>
      <c r="J434" s="1680" t="s">
        <v>548</v>
      </c>
      <c r="K434" s="1418" t="s">
        <v>471</v>
      </c>
      <c r="L434" s="1419">
        <v>700</v>
      </c>
      <c r="M434" s="1419">
        <v>1100</v>
      </c>
      <c r="N434" s="1419">
        <v>36500</v>
      </c>
      <c r="O434" s="1412">
        <v>125</v>
      </c>
      <c r="P434" s="1416">
        <v>0.70299999999999996</v>
      </c>
      <c r="Q434" s="1416">
        <v>0.184</v>
      </c>
      <c r="R434" s="1416">
        <v>5.8000000000000003E-2</v>
      </c>
      <c r="S434" s="1687">
        <v>1.7999999999999999E-2</v>
      </c>
      <c r="T434" s="1624">
        <v>15</v>
      </c>
      <c r="U434" s="1616" t="s">
        <v>645</v>
      </c>
      <c r="V434" s="1622">
        <v>0.06</v>
      </c>
      <c r="W434" s="1602">
        <f t="shared" ref="W434:W443" si="228">(G434*H434)^2*Q434*10^-3+G434*P434</f>
        <v>149.08256880733947</v>
      </c>
      <c r="X434" s="1602">
        <f t="shared" ref="X434:X443" si="229">D434*W434</f>
        <v>894.49541284403676</v>
      </c>
      <c r="Y434" s="1602">
        <f t="shared" ref="Y434:Y443" si="230">IF(A434=3,W434*6,IF(A434=1,W434*4,W434))</f>
        <v>894.49541284403676</v>
      </c>
      <c r="Z434" s="1579">
        <f t="shared" ref="Z434:Z443" si="231">O434-5</f>
        <v>120</v>
      </c>
      <c r="AA434" s="1602">
        <f t="shared" ref="AA434:AA443" si="232">D434*W434*V434+AB434</f>
        <v>108.6697247706422</v>
      </c>
      <c r="AB434" s="1588">
        <v>55</v>
      </c>
      <c r="AC434" s="1570"/>
      <c r="AD434" s="1754">
        <f t="shared" ref="AD434:AD443" si="233">Q434*10^-3*H434^2</f>
        <v>5.5199999999999986E-4</v>
      </c>
      <c r="AE434" s="1634">
        <f t="shared" ref="AE434:AE443" si="234">P434</f>
        <v>0.70299999999999996</v>
      </c>
      <c r="AF434" s="1635">
        <f t="shared" ref="AF434:AF443" si="235">(AB434-Z434)/(R434+S434+D434*V434)</f>
        <v>-149.08256880733944</v>
      </c>
      <c r="AG434" s="1646">
        <f t="shared" ref="AG434:AG443" si="236">AE434^2-4*AD434*AF434</f>
        <v>0.82338331192660541</v>
      </c>
      <c r="AH434" s="1741">
        <f t="shared" ref="AH434:AH443" si="237">SUM(AJ434:AL434)</f>
        <v>1015.26</v>
      </c>
      <c r="AI434" s="1607"/>
      <c r="AJ434" s="1733">
        <f>C434*LOOKUP(T434,'HS250-DATA'!C$7:C$10,'HS250-DATA'!F$7:F$10)</f>
        <v>28.26</v>
      </c>
      <c r="AK434" s="1733">
        <f t="shared" ref="AK434:AK443" si="238">IF(U434="Y",C434*12,0)</f>
        <v>12</v>
      </c>
      <c r="AL434" s="1733">
        <f>C434*E434*VLOOKUP(K434,'SCR-Diode DATA'!D$7:M$43,10,FALSE)</f>
        <v>975</v>
      </c>
      <c r="AM434" s="507">
        <f t="shared" ref="AM434:AM443" si="239">AH434/F434</f>
        <v>1.8278232227304665</v>
      </c>
      <c r="AO434" s="24">
        <f t="shared" ref="AO434:AO443" si="240">0.4*F434</f>
        <v>222.17903512208778</v>
      </c>
      <c r="AP434" s="24">
        <f t="shared" ref="AP434:AP443" si="241">F434/3</f>
        <v>185.14919593507315</v>
      </c>
      <c r="AQ434" s="24">
        <f t="shared" ref="AQ434:AQ443" si="242">1.8*F434</f>
        <v>999.80565804939499</v>
      </c>
      <c r="AR434">
        <v>900</v>
      </c>
      <c r="AS434">
        <f>LOOKUP(AR434,'FUSE DATA'!X$8:X$43,'FUSE DATA'!Y$8:Y$43)</f>
        <v>4708</v>
      </c>
      <c r="AT434" s="1795">
        <f t="shared" ref="AT434:AT443" si="243">AR434/F434</f>
        <v>1.6203148951573192</v>
      </c>
      <c r="AU434" s="1795" t="str">
        <f t="shared" ref="AU434:AU443" si="244">IF(AS434&lt;1950,"F1892Sxxxx",IF(AS434&lt;3350,"CS61xx16B",IF(A434&lt;7340,"ND41xx35",IF(A434&lt;19000,"LS41xx60","PS41xx25"))))</f>
        <v>ND41xx35</v>
      </c>
      <c r="AX434" s="1804">
        <v>600</v>
      </c>
      <c r="AY434" s="1802">
        <v>3532</v>
      </c>
    </row>
    <row r="435" spans="1:51" s="330" customFormat="1" ht="18.75">
      <c r="A435" s="1598">
        <v>3</v>
      </c>
      <c r="B435" s="1776">
        <f t="shared" si="222"/>
        <v>6</v>
      </c>
      <c r="C435" s="1600">
        <v>3</v>
      </c>
      <c r="D435" s="1600">
        <f t="shared" si="223"/>
        <v>2</v>
      </c>
      <c r="E435" s="1600">
        <v>1</v>
      </c>
      <c r="F435" s="1611">
        <f t="shared" si="224"/>
        <v>1199.4709889582837</v>
      </c>
      <c r="G435" s="1777">
        <f t="shared" si="225"/>
        <v>399.82366298609458</v>
      </c>
      <c r="H435" s="1778">
        <f t="shared" si="226"/>
        <v>1.7320508075688772</v>
      </c>
      <c r="I435" s="1779">
        <f t="shared" si="227"/>
        <v>692.51489836021165</v>
      </c>
      <c r="J435" s="1780" t="s">
        <v>548</v>
      </c>
      <c r="K435" s="1781" t="s">
        <v>471</v>
      </c>
      <c r="L435" s="1782">
        <v>700</v>
      </c>
      <c r="M435" s="1782">
        <v>1100</v>
      </c>
      <c r="N435" s="1782">
        <v>36500</v>
      </c>
      <c r="O435" s="1783">
        <v>125</v>
      </c>
      <c r="P435" s="1784">
        <v>0.70299999999999996</v>
      </c>
      <c r="Q435" s="1784">
        <v>0.184</v>
      </c>
      <c r="R435" s="1784">
        <v>5.8000000000000003E-2</v>
      </c>
      <c r="S435" s="1785">
        <v>1.7999999999999999E-2</v>
      </c>
      <c r="T435" s="1624">
        <v>15</v>
      </c>
      <c r="U435" s="1616" t="s">
        <v>645</v>
      </c>
      <c r="V435" s="1622">
        <v>0.05</v>
      </c>
      <c r="W435" s="1786">
        <f t="shared" si="228"/>
        <v>369.31818181818164</v>
      </c>
      <c r="X435" s="1786">
        <f t="shared" si="229"/>
        <v>738.63636363636328</v>
      </c>
      <c r="Y435" s="1786">
        <f t="shared" si="230"/>
        <v>2215.9090909090901</v>
      </c>
      <c r="Z435" s="1579">
        <f t="shared" si="231"/>
        <v>120</v>
      </c>
      <c r="AA435" s="1786">
        <f t="shared" si="232"/>
        <v>91.931818181818159</v>
      </c>
      <c r="AB435" s="1787">
        <v>55</v>
      </c>
      <c r="AC435" s="1788"/>
      <c r="AD435" s="1754">
        <f t="shared" si="233"/>
        <v>5.5199999999999986E-4</v>
      </c>
      <c r="AE435" s="1634">
        <f t="shared" si="234"/>
        <v>0.70299999999999996</v>
      </c>
      <c r="AF435" s="1635">
        <f t="shared" si="235"/>
        <v>-369.31818181818181</v>
      </c>
      <c r="AG435" s="1789">
        <f t="shared" si="236"/>
        <v>1.3096635454545451</v>
      </c>
      <c r="AH435" s="1790">
        <f t="shared" si="237"/>
        <v>1095.78</v>
      </c>
      <c r="AI435" s="1791"/>
      <c r="AJ435" s="1792">
        <f>C435*LOOKUP(T435,'HS250-DATA'!C$7:C$10,'HS250-DATA'!F$7:F$10)</f>
        <v>84.78</v>
      </c>
      <c r="AK435" s="1792">
        <f t="shared" si="238"/>
        <v>36</v>
      </c>
      <c r="AL435" s="1792">
        <f>C435*E435*VLOOKUP(K435,'SCR-Diode DATA'!D$7:M$43,10,FALSE)</f>
        <v>975</v>
      </c>
      <c r="AM435" s="1793">
        <f t="shared" si="239"/>
        <v>0.9135527329024129</v>
      </c>
      <c r="AO435" s="24">
        <f t="shared" si="240"/>
        <v>479.7883955833135</v>
      </c>
      <c r="AP435" s="24">
        <f t="shared" si="241"/>
        <v>399.82366298609458</v>
      </c>
      <c r="AQ435" s="24">
        <f t="shared" si="242"/>
        <v>2159.0477801249108</v>
      </c>
      <c r="AR435">
        <v>1500</v>
      </c>
      <c r="AS435">
        <f>LOOKUP(AR435,'FUSE DATA'!X$8:X$43,'FUSE DATA'!Y$8:Y$43)</f>
        <v>10000</v>
      </c>
      <c r="AT435" s="1795">
        <f t="shared" si="243"/>
        <v>1.2505512962032701</v>
      </c>
      <c r="AU435" s="1795" t="str">
        <f t="shared" si="244"/>
        <v>ND41xx35</v>
      </c>
      <c r="AX435" s="1804">
        <v>700</v>
      </c>
      <c r="AY435" s="1802">
        <v>3677</v>
      </c>
    </row>
    <row r="436" spans="1:51" ht="18.75">
      <c r="A436" s="1598">
        <v>3</v>
      </c>
      <c r="B436" s="1533">
        <f t="shared" si="222"/>
        <v>6</v>
      </c>
      <c r="C436" s="1600">
        <v>1</v>
      </c>
      <c r="D436" s="1575">
        <f t="shared" si="223"/>
        <v>6</v>
      </c>
      <c r="E436" s="1575">
        <v>3</v>
      </c>
      <c r="F436" s="1611">
        <f t="shared" si="224"/>
        <v>736.00877301260061</v>
      </c>
      <c r="G436" s="1582">
        <f t="shared" si="225"/>
        <v>245.33625767086687</v>
      </c>
      <c r="H436" s="1583">
        <f t="shared" si="226"/>
        <v>1.7320508075688772</v>
      </c>
      <c r="I436" s="1594">
        <f t="shared" si="227"/>
        <v>424.9348632247511</v>
      </c>
      <c r="J436" s="1680" t="s">
        <v>548</v>
      </c>
      <c r="K436" s="1418" t="s">
        <v>471</v>
      </c>
      <c r="L436" s="1419">
        <v>700</v>
      </c>
      <c r="M436" s="1419">
        <v>1100</v>
      </c>
      <c r="N436" s="1419">
        <v>36500</v>
      </c>
      <c r="O436" s="1412">
        <v>125</v>
      </c>
      <c r="P436" s="1416">
        <v>0.70299999999999996</v>
      </c>
      <c r="Q436" s="1416">
        <v>0.184</v>
      </c>
      <c r="R436" s="1416">
        <v>5.8000000000000003E-2</v>
      </c>
      <c r="S436" s="1687">
        <v>1.7999999999999999E-2</v>
      </c>
      <c r="T436" s="1624">
        <v>15</v>
      </c>
      <c r="U436" s="1616" t="s">
        <v>645</v>
      </c>
      <c r="V436" s="1622">
        <v>0.04</v>
      </c>
      <c r="W436" s="1602">
        <f t="shared" si="228"/>
        <v>205.69620253164555</v>
      </c>
      <c r="X436" s="1602">
        <f t="shared" si="229"/>
        <v>1234.1772151898733</v>
      </c>
      <c r="Y436" s="1602">
        <f t="shared" si="230"/>
        <v>1234.1772151898733</v>
      </c>
      <c r="Z436" s="1579">
        <f t="shared" si="231"/>
        <v>120</v>
      </c>
      <c r="AA436" s="1602">
        <f t="shared" si="232"/>
        <v>104.36708860759494</v>
      </c>
      <c r="AB436" s="1588">
        <v>55</v>
      </c>
      <c r="AC436" s="1570"/>
      <c r="AD436" s="1754">
        <f t="shared" si="233"/>
        <v>5.5199999999999986E-4</v>
      </c>
      <c r="AE436" s="1634">
        <f t="shared" si="234"/>
        <v>0.70299999999999996</v>
      </c>
      <c r="AF436" s="1635">
        <f t="shared" si="235"/>
        <v>-205.69620253164555</v>
      </c>
      <c r="AG436" s="1646">
        <f t="shared" si="236"/>
        <v>0.94838621518987321</v>
      </c>
      <c r="AH436" s="1741">
        <f t="shared" si="237"/>
        <v>1015.26</v>
      </c>
      <c r="AI436" s="1607"/>
      <c r="AJ436" s="1733">
        <f>C436*LOOKUP(T436,'HS250-DATA'!C$7:C$10,'HS250-DATA'!F$7:F$10)</f>
        <v>28.26</v>
      </c>
      <c r="AK436" s="1733">
        <f t="shared" si="238"/>
        <v>12</v>
      </c>
      <c r="AL436" s="1733">
        <f>C436*E436*VLOOKUP(K436,'SCR-Diode DATA'!D$7:M$43,10,FALSE)</f>
        <v>975</v>
      </c>
      <c r="AM436" s="507">
        <f t="shared" si="239"/>
        <v>1.3794129054255424</v>
      </c>
      <c r="AO436" s="24">
        <f t="shared" si="240"/>
        <v>294.40350920504028</v>
      </c>
      <c r="AP436" s="24">
        <f t="shared" si="241"/>
        <v>245.33625767086687</v>
      </c>
      <c r="AQ436" s="24">
        <f t="shared" si="242"/>
        <v>1324.8157914226811</v>
      </c>
      <c r="AR436">
        <v>900</v>
      </c>
      <c r="AS436">
        <f>LOOKUP(AR436,'FUSE DATA'!X$8:X$43,'FUSE DATA'!Y$8:Y$43)</f>
        <v>4708</v>
      </c>
      <c r="AT436" s="1795">
        <f t="shared" si="243"/>
        <v>1.2228115112217444</v>
      </c>
      <c r="AU436" s="1795" t="str">
        <f t="shared" si="244"/>
        <v>ND41xx35</v>
      </c>
      <c r="AX436" s="1804">
        <v>600</v>
      </c>
      <c r="AY436" s="1802">
        <v>3532</v>
      </c>
    </row>
    <row r="437" spans="1:51" s="330" customFormat="1" ht="18.75">
      <c r="A437" s="1598">
        <v>3</v>
      </c>
      <c r="B437" s="1776">
        <f t="shared" si="222"/>
        <v>6</v>
      </c>
      <c r="C437" s="1600">
        <v>3</v>
      </c>
      <c r="D437" s="1600">
        <f t="shared" si="223"/>
        <v>2</v>
      </c>
      <c r="E437" s="1600">
        <v>1</v>
      </c>
      <c r="F437" s="1611">
        <f t="shared" si="224"/>
        <v>1472.2564974148186</v>
      </c>
      <c r="G437" s="1777">
        <f t="shared" si="225"/>
        <v>490.75216580493952</v>
      </c>
      <c r="H437" s="1778">
        <f t="shared" si="226"/>
        <v>1.7320508075688772</v>
      </c>
      <c r="I437" s="1779">
        <f t="shared" si="227"/>
        <v>850.00768509862098</v>
      </c>
      <c r="J437" s="1780" t="s">
        <v>548</v>
      </c>
      <c r="K437" s="1781" t="s">
        <v>471</v>
      </c>
      <c r="L437" s="1782">
        <v>700</v>
      </c>
      <c r="M437" s="1782">
        <v>1100</v>
      </c>
      <c r="N437" s="1782">
        <v>36500</v>
      </c>
      <c r="O437" s="1783">
        <v>125</v>
      </c>
      <c r="P437" s="1784">
        <v>0.70299999999999996</v>
      </c>
      <c r="Q437" s="1784">
        <v>0.184</v>
      </c>
      <c r="R437" s="1784">
        <v>5.8000000000000003E-2</v>
      </c>
      <c r="S437" s="1785">
        <v>1.7999999999999999E-2</v>
      </c>
      <c r="T437" s="1624">
        <v>15</v>
      </c>
      <c r="U437" s="1616" t="s">
        <v>645</v>
      </c>
      <c r="V437" s="1622">
        <v>0.03</v>
      </c>
      <c r="W437" s="1786">
        <f t="shared" si="228"/>
        <v>477.94117647058829</v>
      </c>
      <c r="X437" s="1786">
        <f t="shared" si="229"/>
        <v>955.88235294117658</v>
      </c>
      <c r="Y437" s="1786">
        <f t="shared" si="230"/>
        <v>2867.6470588235297</v>
      </c>
      <c r="Z437" s="1579">
        <f t="shared" si="231"/>
        <v>120</v>
      </c>
      <c r="AA437" s="1786">
        <f t="shared" si="232"/>
        <v>83.676470588235304</v>
      </c>
      <c r="AB437" s="1787">
        <v>55</v>
      </c>
      <c r="AC437" s="1788"/>
      <c r="AD437" s="1754">
        <f t="shared" si="233"/>
        <v>5.5199999999999986E-4</v>
      </c>
      <c r="AE437" s="1634">
        <f t="shared" si="234"/>
        <v>0.70299999999999996</v>
      </c>
      <c r="AF437" s="1635">
        <f t="shared" si="235"/>
        <v>-477.94117647058818</v>
      </c>
      <c r="AG437" s="1789">
        <f t="shared" si="236"/>
        <v>1.5495031176470584</v>
      </c>
      <c r="AH437" s="1790">
        <f t="shared" si="237"/>
        <v>1095.78</v>
      </c>
      <c r="AI437" s="1791"/>
      <c r="AJ437" s="1792">
        <f>C437*LOOKUP(T437,'HS250-DATA'!C$7:C$10,'HS250-DATA'!F$7:F$10)</f>
        <v>84.78</v>
      </c>
      <c r="AK437" s="1792">
        <f t="shared" si="238"/>
        <v>36</v>
      </c>
      <c r="AL437" s="1792">
        <f>C437*E437*VLOOKUP(K437,'SCR-Diode DATA'!D$7:M$43,10,FALSE)</f>
        <v>975</v>
      </c>
      <c r="AM437" s="1793">
        <f t="shared" si="239"/>
        <v>0.74428606830678923</v>
      </c>
      <c r="AO437" s="24">
        <f t="shared" si="240"/>
        <v>588.9025989659275</v>
      </c>
      <c r="AP437" s="24">
        <f t="shared" si="241"/>
        <v>490.75216580493952</v>
      </c>
      <c r="AQ437" s="24">
        <f t="shared" si="242"/>
        <v>2650.0616953466733</v>
      </c>
      <c r="AR437">
        <v>1500</v>
      </c>
      <c r="AS437">
        <f>LOOKUP(AR437,'FUSE DATA'!X$8:X$43,'FUSE DATA'!Y$8:Y$43)</f>
        <v>10000</v>
      </c>
      <c r="AT437" s="1795">
        <f t="shared" si="243"/>
        <v>1.0188442045485262</v>
      </c>
      <c r="AU437" s="1795" t="str">
        <f t="shared" si="244"/>
        <v>ND41xx35</v>
      </c>
      <c r="AX437" s="1804">
        <v>700</v>
      </c>
      <c r="AY437" s="1802">
        <v>3677</v>
      </c>
    </row>
    <row r="438" spans="1:51" ht="18.75">
      <c r="A438" s="1598">
        <v>3</v>
      </c>
      <c r="B438" s="1533">
        <f t="shared" si="222"/>
        <v>6</v>
      </c>
      <c r="C438" s="1600">
        <v>3</v>
      </c>
      <c r="D438" s="1575">
        <f t="shared" si="223"/>
        <v>2</v>
      </c>
      <c r="E438" s="1575">
        <v>1</v>
      </c>
      <c r="F438" s="1611">
        <f t="shared" si="224"/>
        <v>1665.3420645951376</v>
      </c>
      <c r="G438" s="1582">
        <f t="shared" si="225"/>
        <v>555.11402153171252</v>
      </c>
      <c r="H438" s="1583">
        <f t="shared" si="226"/>
        <v>1.7320508075688772</v>
      </c>
      <c r="I438" s="1594">
        <f t="shared" si="227"/>
        <v>961.48568928680982</v>
      </c>
      <c r="J438" s="1680" t="s">
        <v>548</v>
      </c>
      <c r="K438" s="1418" t="s">
        <v>471</v>
      </c>
      <c r="L438" s="1419">
        <v>700</v>
      </c>
      <c r="M438" s="1419">
        <v>1100</v>
      </c>
      <c r="N438" s="1419">
        <v>36500</v>
      </c>
      <c r="O438" s="1412">
        <v>125</v>
      </c>
      <c r="P438" s="1416">
        <v>0.70299999999999996</v>
      </c>
      <c r="Q438" s="1416">
        <v>0.184</v>
      </c>
      <c r="R438" s="1416">
        <v>5.8000000000000003E-2</v>
      </c>
      <c r="S438" s="1687">
        <v>1.7999999999999999E-2</v>
      </c>
      <c r="T438" s="1624">
        <v>15</v>
      </c>
      <c r="U438" s="1616" t="s">
        <v>645</v>
      </c>
      <c r="V438" s="1622">
        <v>0.02</v>
      </c>
      <c r="W438" s="1602">
        <f t="shared" si="228"/>
        <v>560.34482758620697</v>
      </c>
      <c r="X438" s="1602">
        <f t="shared" si="229"/>
        <v>1120.6896551724139</v>
      </c>
      <c r="Y438" s="1602">
        <f t="shared" si="230"/>
        <v>3362.0689655172418</v>
      </c>
      <c r="Z438" s="1579">
        <f t="shared" si="231"/>
        <v>120</v>
      </c>
      <c r="AA438" s="1602">
        <f t="shared" si="232"/>
        <v>77.413793103448285</v>
      </c>
      <c r="AB438" s="1588">
        <v>55</v>
      </c>
      <c r="AC438" s="1570"/>
      <c r="AD438" s="1754">
        <f t="shared" si="233"/>
        <v>5.5199999999999986E-4</v>
      </c>
      <c r="AE438" s="1634">
        <f t="shared" si="234"/>
        <v>0.70299999999999996</v>
      </c>
      <c r="AF438" s="1635">
        <f t="shared" si="235"/>
        <v>-560.34482758620697</v>
      </c>
      <c r="AG438" s="1646">
        <f t="shared" si="236"/>
        <v>1.7314503793103446</v>
      </c>
      <c r="AH438" s="1741">
        <f t="shared" si="237"/>
        <v>1095.78</v>
      </c>
      <c r="AI438" s="1607"/>
      <c r="AJ438" s="1733">
        <f>C438*LOOKUP(T438,'HS250-DATA'!C$7:C$10,'HS250-DATA'!F$7:F$10)</f>
        <v>84.78</v>
      </c>
      <c r="AK438" s="1733">
        <f t="shared" si="238"/>
        <v>36</v>
      </c>
      <c r="AL438" s="1733">
        <f>C438*E438*VLOOKUP(K438,'SCR-Diode DATA'!D$7:M$43,10,FALSE)</f>
        <v>975</v>
      </c>
      <c r="AM438" s="507">
        <f t="shared" si="239"/>
        <v>0.65799094570183436</v>
      </c>
      <c r="AO438" s="24">
        <f t="shared" si="240"/>
        <v>666.13682583805507</v>
      </c>
      <c r="AP438" s="24">
        <f t="shared" si="241"/>
        <v>555.11402153171252</v>
      </c>
      <c r="AQ438" s="24">
        <f t="shared" si="242"/>
        <v>2997.6157162712475</v>
      </c>
      <c r="AR438">
        <v>1500</v>
      </c>
      <c r="AS438">
        <f>LOOKUP(AR438,'FUSE DATA'!X$8:X$43,'FUSE DATA'!Y$8:Y$43)</f>
        <v>10000</v>
      </c>
      <c r="AT438" s="1795">
        <f t="shared" si="243"/>
        <v>0.90071585405168153</v>
      </c>
      <c r="AU438" s="1795" t="str">
        <f t="shared" si="244"/>
        <v>ND41xx35</v>
      </c>
      <c r="AX438" s="1804">
        <v>700</v>
      </c>
      <c r="AY438" s="1802">
        <v>3677</v>
      </c>
    </row>
    <row r="439" spans="1:51" ht="18.75">
      <c r="A439" s="1598">
        <v>3</v>
      </c>
      <c r="B439" s="1533">
        <f t="shared" si="222"/>
        <v>6</v>
      </c>
      <c r="C439" s="1600">
        <v>1</v>
      </c>
      <c r="D439" s="1575">
        <f t="shared" si="223"/>
        <v>6</v>
      </c>
      <c r="E439" s="1575">
        <v>6</v>
      </c>
      <c r="F439" s="1611">
        <f t="shared" si="224"/>
        <v>654.77886919937612</v>
      </c>
      <c r="G439" s="1582">
        <f t="shared" si="225"/>
        <v>218.25962306645872</v>
      </c>
      <c r="H439" s="1583">
        <f t="shared" si="226"/>
        <v>1.7320508075688772</v>
      </c>
      <c r="I439" s="1594">
        <f t="shared" si="227"/>
        <v>378.03675639193858</v>
      </c>
      <c r="J439" s="1680" t="s">
        <v>558</v>
      </c>
      <c r="K439" s="1418" t="s">
        <v>472</v>
      </c>
      <c r="L439" s="1419">
        <v>1500</v>
      </c>
      <c r="M439" s="1419">
        <v>2355</v>
      </c>
      <c r="N439" s="1419">
        <v>62000</v>
      </c>
      <c r="O439" s="1412">
        <v>125</v>
      </c>
      <c r="P439" s="1416">
        <v>0.69099999999999995</v>
      </c>
      <c r="Q439" s="1412">
        <v>0.10199999999999999</v>
      </c>
      <c r="R439" s="1412">
        <v>2.4E-2</v>
      </c>
      <c r="S439" s="1687">
        <v>8.9999999999999993E-3</v>
      </c>
      <c r="T439" s="1624">
        <v>15</v>
      </c>
      <c r="U439" s="1616" t="s">
        <v>645</v>
      </c>
      <c r="V439" s="1622">
        <v>0.06</v>
      </c>
      <c r="W439" s="1602">
        <f t="shared" si="228"/>
        <v>165.39440203562341</v>
      </c>
      <c r="X439" s="1602">
        <f t="shared" si="229"/>
        <v>992.36641221374043</v>
      </c>
      <c r="Y439" s="1602">
        <f t="shared" si="230"/>
        <v>992.36641221374043</v>
      </c>
      <c r="Z439" s="1579">
        <f t="shared" si="231"/>
        <v>120</v>
      </c>
      <c r="AA439" s="1602">
        <f t="shared" si="232"/>
        <v>114.54198473282443</v>
      </c>
      <c r="AB439" s="1588">
        <v>55</v>
      </c>
      <c r="AC439" s="1570"/>
      <c r="AD439" s="1754">
        <f t="shared" si="233"/>
        <v>3.0599999999999996E-4</v>
      </c>
      <c r="AE439" s="1634">
        <f t="shared" si="234"/>
        <v>0.69099999999999995</v>
      </c>
      <c r="AF439" s="1635">
        <f t="shared" si="235"/>
        <v>-165.39440203562341</v>
      </c>
      <c r="AG439" s="1646">
        <f t="shared" si="236"/>
        <v>0.67992374809160294</v>
      </c>
      <c r="AH439" s="1741">
        <f t="shared" si="237"/>
        <v>1180.26</v>
      </c>
      <c r="AI439" s="1607"/>
      <c r="AJ439" s="1733">
        <f>C439*LOOKUP(T439,'HS250-DATA'!C$7:C$10,'HS250-DATA'!F$7:F$10)</f>
        <v>28.26</v>
      </c>
      <c r="AK439" s="1733">
        <f t="shared" si="238"/>
        <v>12</v>
      </c>
      <c r="AL439" s="1733">
        <f>C439*E439*VLOOKUP(K439,'SCR-Diode DATA'!D$7:M$43,10,FALSE)</f>
        <v>1140</v>
      </c>
      <c r="AM439" s="507">
        <f t="shared" si="239"/>
        <v>1.8025322067023182</v>
      </c>
      <c r="AO439" s="24">
        <f t="shared" si="240"/>
        <v>261.91154767975047</v>
      </c>
      <c r="AP439" s="24">
        <f t="shared" si="241"/>
        <v>218.25962306645872</v>
      </c>
      <c r="AQ439" s="24">
        <f t="shared" si="242"/>
        <v>1178.6019645588769</v>
      </c>
      <c r="AR439">
        <v>1200</v>
      </c>
      <c r="AS439">
        <f>LOOKUP(AR439,'FUSE DATA'!X$8:X$43,'FUSE DATA'!Y$8:Y$43)</f>
        <v>7286</v>
      </c>
      <c r="AT439" s="1795">
        <f t="shared" si="243"/>
        <v>1.8326797892352378</v>
      </c>
      <c r="AU439" s="1795" t="str">
        <f t="shared" si="244"/>
        <v>ND41xx35</v>
      </c>
      <c r="AX439" s="1804">
        <v>900</v>
      </c>
      <c r="AY439" s="1802">
        <v>4708</v>
      </c>
    </row>
    <row r="440" spans="1:51" ht="18.75">
      <c r="A440" s="1598">
        <v>3</v>
      </c>
      <c r="B440" s="1533">
        <f t="shared" si="222"/>
        <v>6</v>
      </c>
      <c r="C440" s="1600">
        <v>2</v>
      </c>
      <c r="D440" s="1575">
        <f t="shared" si="223"/>
        <v>3</v>
      </c>
      <c r="E440" s="1575">
        <v>3</v>
      </c>
      <c r="F440" s="1611">
        <f t="shared" si="224"/>
        <v>1294.6568274875217</v>
      </c>
      <c r="G440" s="1582">
        <f t="shared" si="225"/>
        <v>431.55227582917394</v>
      </c>
      <c r="H440" s="1583">
        <f t="shared" si="226"/>
        <v>1.7320508075688772</v>
      </c>
      <c r="I440" s="1594">
        <f t="shared" si="227"/>
        <v>747.47046785810755</v>
      </c>
      <c r="J440" s="1680" t="s">
        <v>558</v>
      </c>
      <c r="K440" s="1418" t="s">
        <v>472</v>
      </c>
      <c r="L440" s="1419">
        <v>1500</v>
      </c>
      <c r="M440" s="1419">
        <v>2355</v>
      </c>
      <c r="N440" s="1419">
        <v>62000</v>
      </c>
      <c r="O440" s="1412">
        <v>125</v>
      </c>
      <c r="P440" s="1416">
        <v>0.69099999999999995</v>
      </c>
      <c r="Q440" s="1412">
        <v>0.10199999999999999</v>
      </c>
      <c r="R440" s="1412">
        <v>2.4E-2</v>
      </c>
      <c r="S440" s="1687">
        <v>8.9999999999999993E-3</v>
      </c>
      <c r="T440" s="1624">
        <v>15</v>
      </c>
      <c r="U440" s="1616" t="s">
        <v>645</v>
      </c>
      <c r="V440" s="1622">
        <v>0.05</v>
      </c>
      <c r="W440" s="1602">
        <f t="shared" si="228"/>
        <v>355.19125683060105</v>
      </c>
      <c r="X440" s="1602">
        <f t="shared" si="229"/>
        <v>1065.5737704918031</v>
      </c>
      <c r="Y440" s="1602">
        <f t="shared" si="230"/>
        <v>2131.1475409836062</v>
      </c>
      <c r="Z440" s="1579">
        <f t="shared" si="231"/>
        <v>120</v>
      </c>
      <c r="AA440" s="1602">
        <f t="shared" si="232"/>
        <v>108.27868852459017</v>
      </c>
      <c r="AB440" s="1588">
        <v>55</v>
      </c>
      <c r="AC440" s="1570"/>
      <c r="AD440" s="1754">
        <f t="shared" si="233"/>
        <v>3.0599999999999996E-4</v>
      </c>
      <c r="AE440" s="1634">
        <f t="shared" si="234"/>
        <v>0.69099999999999995</v>
      </c>
      <c r="AF440" s="1635">
        <f t="shared" si="235"/>
        <v>-355.19125683060105</v>
      </c>
      <c r="AG440" s="1646">
        <f t="shared" si="236"/>
        <v>0.91223509836065553</v>
      </c>
      <c r="AH440" s="1741">
        <f t="shared" si="237"/>
        <v>1220.52</v>
      </c>
      <c r="AI440" s="1607"/>
      <c r="AJ440" s="1733">
        <f>C440*LOOKUP(T440,'HS250-DATA'!C$7:C$10,'HS250-DATA'!F$7:F$10)</f>
        <v>56.52</v>
      </c>
      <c r="AK440" s="1733">
        <f t="shared" si="238"/>
        <v>24</v>
      </c>
      <c r="AL440" s="1733">
        <f>C440*E440*VLOOKUP(K440,'SCR-Diode DATA'!D$7:M$43,10,FALSE)</f>
        <v>1140</v>
      </c>
      <c r="AM440" s="507">
        <f t="shared" si="239"/>
        <v>0.94273630979771261</v>
      </c>
      <c r="AO440" s="24">
        <f t="shared" si="240"/>
        <v>517.86273099500875</v>
      </c>
      <c r="AP440" s="24">
        <f t="shared" si="241"/>
        <v>431.55227582917388</v>
      </c>
      <c r="AQ440" s="24">
        <f t="shared" si="242"/>
        <v>2330.382289477539</v>
      </c>
      <c r="AR440">
        <v>1800</v>
      </c>
      <c r="AS440">
        <f>LOOKUP(AR440,'FUSE DATA'!X$8:X$43,'FUSE DATA'!Y$8:Y$43)</f>
        <v>11777</v>
      </c>
      <c r="AT440" s="1795">
        <f t="shared" si="243"/>
        <v>1.3903298246942963</v>
      </c>
      <c r="AU440" s="1795" t="str">
        <f t="shared" si="244"/>
        <v>ND41xx35</v>
      </c>
      <c r="AX440" s="1804">
        <v>1000</v>
      </c>
      <c r="AY440" s="1802">
        <v>5564</v>
      </c>
    </row>
    <row r="441" spans="1:51" ht="18.75">
      <c r="A441" s="1598">
        <v>3</v>
      </c>
      <c r="B441" s="1533">
        <f t="shared" si="222"/>
        <v>6</v>
      </c>
      <c r="C441" s="1600">
        <v>3</v>
      </c>
      <c r="D441" s="1575">
        <f t="shared" si="223"/>
        <v>2</v>
      </c>
      <c r="E441" s="1575">
        <v>2</v>
      </c>
      <c r="F441" s="1611">
        <f t="shared" si="224"/>
        <v>1941.1376797029866</v>
      </c>
      <c r="G441" s="1582">
        <f t="shared" si="225"/>
        <v>647.0458932343289</v>
      </c>
      <c r="H441" s="1583">
        <f t="shared" si="226"/>
        <v>1.7320508075688772</v>
      </c>
      <c r="I441" s="1594">
        <f t="shared" si="227"/>
        <v>1120.7163619106448</v>
      </c>
      <c r="J441" s="1680" t="s">
        <v>558</v>
      </c>
      <c r="K441" s="1418" t="s">
        <v>472</v>
      </c>
      <c r="L441" s="1419">
        <v>1500</v>
      </c>
      <c r="M441" s="1419">
        <v>2355</v>
      </c>
      <c r="N441" s="1419">
        <v>62000</v>
      </c>
      <c r="O441" s="1412">
        <v>125</v>
      </c>
      <c r="P441" s="1416">
        <v>0.69099999999999995</v>
      </c>
      <c r="Q441" s="1412">
        <v>0.10199999999999999</v>
      </c>
      <c r="R441" s="1412">
        <v>2.4E-2</v>
      </c>
      <c r="S441" s="1687">
        <v>8.9999999999999993E-3</v>
      </c>
      <c r="T441" s="1624">
        <v>15</v>
      </c>
      <c r="U441" s="1616" t="s">
        <v>645</v>
      </c>
      <c r="V441" s="1622">
        <v>0.04</v>
      </c>
      <c r="W441" s="1602">
        <f t="shared" si="228"/>
        <v>575.22123893805281</v>
      </c>
      <c r="X441" s="1602">
        <f t="shared" si="229"/>
        <v>1150.4424778761056</v>
      </c>
      <c r="Y441" s="1602">
        <f t="shared" si="230"/>
        <v>3451.3274336283166</v>
      </c>
      <c r="Z441" s="1579">
        <f t="shared" si="231"/>
        <v>120</v>
      </c>
      <c r="AA441" s="1602">
        <f t="shared" si="232"/>
        <v>101.01769911504422</v>
      </c>
      <c r="AB441" s="1588">
        <v>55</v>
      </c>
      <c r="AC441" s="1570"/>
      <c r="AD441" s="1754">
        <f t="shared" si="233"/>
        <v>3.0599999999999996E-4</v>
      </c>
      <c r="AE441" s="1634">
        <f t="shared" si="234"/>
        <v>0.69099999999999995</v>
      </c>
      <c r="AF441" s="1635">
        <f t="shared" si="235"/>
        <v>-575.22123893805303</v>
      </c>
      <c r="AG441" s="1646">
        <f t="shared" si="236"/>
        <v>1.1815517964601767</v>
      </c>
      <c r="AH441" s="1741">
        <f t="shared" si="237"/>
        <v>1260.78</v>
      </c>
      <c r="AI441" s="1607"/>
      <c r="AJ441" s="1733">
        <f>C441*LOOKUP(T441,'HS250-DATA'!C$7:C$10,'HS250-DATA'!F$7:F$10)</f>
        <v>84.78</v>
      </c>
      <c r="AK441" s="1733">
        <f t="shared" si="238"/>
        <v>36</v>
      </c>
      <c r="AL441" s="1733">
        <f>C441*E441*VLOOKUP(K441,'SCR-Diode DATA'!D$7:M$43,10,FALSE)</f>
        <v>1140</v>
      </c>
      <c r="AM441" s="507">
        <f t="shared" si="239"/>
        <v>0.64950570646432038</v>
      </c>
      <c r="AO441" s="24">
        <f t="shared" si="240"/>
        <v>776.45507188119473</v>
      </c>
      <c r="AP441" s="24">
        <f t="shared" si="241"/>
        <v>647.0458932343289</v>
      </c>
      <c r="AQ441" s="24">
        <f t="shared" si="242"/>
        <v>3494.047823465376</v>
      </c>
      <c r="AR441">
        <v>2500</v>
      </c>
      <c r="AS441">
        <f>LOOKUP(AR441,'FUSE DATA'!X$8:X$43,'FUSE DATA'!Y$8:Y$43)</f>
        <v>16826</v>
      </c>
      <c r="AT441" s="1795">
        <f t="shared" si="243"/>
        <v>1.2879045243109828</v>
      </c>
      <c r="AU441" s="1795" t="str">
        <f t="shared" si="244"/>
        <v>ND41xx35</v>
      </c>
      <c r="AX441" s="1804">
        <v>1200</v>
      </c>
      <c r="AY441" s="1802">
        <v>7286</v>
      </c>
    </row>
    <row r="442" spans="1:51" s="330" customFormat="1" ht="18.75">
      <c r="A442" s="1598">
        <v>3</v>
      </c>
      <c r="B442" s="1776">
        <f t="shared" si="222"/>
        <v>6</v>
      </c>
      <c r="C442" s="1600">
        <v>6</v>
      </c>
      <c r="D442" s="1600">
        <f t="shared" si="223"/>
        <v>1</v>
      </c>
      <c r="E442" s="1600">
        <v>1</v>
      </c>
      <c r="F442" s="1611">
        <f t="shared" si="224"/>
        <v>3079.5037368628014</v>
      </c>
      <c r="G442" s="1777">
        <f t="shared" si="225"/>
        <v>1026.5012456209338</v>
      </c>
      <c r="H442" s="1778">
        <f t="shared" si="226"/>
        <v>1.7320508075688772</v>
      </c>
      <c r="I442" s="1779">
        <f t="shared" si="227"/>
        <v>1777.9523114481967</v>
      </c>
      <c r="J442" s="1780" t="s">
        <v>558</v>
      </c>
      <c r="K442" s="1781" t="s">
        <v>472</v>
      </c>
      <c r="L442" s="1782">
        <v>1500</v>
      </c>
      <c r="M442" s="1782">
        <v>2355</v>
      </c>
      <c r="N442" s="1782">
        <v>62000</v>
      </c>
      <c r="O442" s="1783">
        <v>125</v>
      </c>
      <c r="P442" s="1784">
        <v>0.69099999999999995</v>
      </c>
      <c r="Q442" s="1783">
        <v>0.10199999999999999</v>
      </c>
      <c r="R442" s="1783">
        <v>2.4E-2</v>
      </c>
      <c r="S442" s="1785">
        <v>8.9999999999999993E-3</v>
      </c>
      <c r="T442" s="1624">
        <v>15</v>
      </c>
      <c r="U442" s="1616" t="s">
        <v>645</v>
      </c>
      <c r="V442" s="1622">
        <v>0.03</v>
      </c>
      <c r="W442" s="1786">
        <f t="shared" si="228"/>
        <v>1031.7460317460318</v>
      </c>
      <c r="X442" s="1786">
        <f t="shared" si="229"/>
        <v>1031.7460317460318</v>
      </c>
      <c r="Y442" s="1786">
        <f t="shared" si="230"/>
        <v>6190.4761904761908</v>
      </c>
      <c r="Z442" s="1579">
        <f t="shared" si="231"/>
        <v>120</v>
      </c>
      <c r="AA442" s="1786">
        <f t="shared" si="232"/>
        <v>85.952380952380949</v>
      </c>
      <c r="AB442" s="1787">
        <v>55</v>
      </c>
      <c r="AC442" s="1788"/>
      <c r="AD442" s="1754">
        <f t="shared" si="233"/>
        <v>3.0599999999999996E-4</v>
      </c>
      <c r="AE442" s="1634">
        <f t="shared" si="234"/>
        <v>0.69099999999999995</v>
      </c>
      <c r="AF442" s="1635">
        <f t="shared" si="235"/>
        <v>-1031.7460317460318</v>
      </c>
      <c r="AG442" s="1789">
        <f t="shared" si="236"/>
        <v>1.7403381428571425</v>
      </c>
      <c r="AH442" s="1790">
        <f t="shared" si="237"/>
        <v>1381.56</v>
      </c>
      <c r="AI442" s="1791"/>
      <c r="AJ442" s="1792">
        <f>C442*LOOKUP(T442,'HS250-DATA'!C$7:C$10,'HS250-DATA'!F$7:F$10)</f>
        <v>169.56</v>
      </c>
      <c r="AK442" s="1792">
        <f t="shared" si="238"/>
        <v>72</v>
      </c>
      <c r="AL442" s="1792">
        <f>C442*E442*VLOOKUP(K442,'SCR-Diode DATA'!D$7:M$43,10,FALSE)</f>
        <v>1140</v>
      </c>
      <c r="AM442" s="1793">
        <f t="shared" si="239"/>
        <v>0.448630726912981</v>
      </c>
      <c r="AO442" s="24">
        <f t="shared" si="240"/>
        <v>1231.8014947451206</v>
      </c>
      <c r="AP442" s="24">
        <f t="shared" si="241"/>
        <v>1026.5012456209338</v>
      </c>
      <c r="AQ442" s="24">
        <f t="shared" si="242"/>
        <v>5543.1067263530422</v>
      </c>
      <c r="AR442">
        <v>3000</v>
      </c>
      <c r="AS442">
        <f>LOOKUP(AR442,'FUSE DATA'!X$8:X$43,'FUSE DATA'!Y$8:Y$43)</f>
        <v>19339</v>
      </c>
      <c r="AT442" s="1795">
        <f t="shared" si="243"/>
        <v>0.97418293866277472</v>
      </c>
      <c r="AU442" s="1795" t="str">
        <f t="shared" si="244"/>
        <v>ND41xx35</v>
      </c>
      <c r="AX442" s="1804">
        <v>1500</v>
      </c>
      <c r="AY442" s="1802">
        <v>10000</v>
      </c>
    </row>
    <row r="443" spans="1:51" ht="18.75">
      <c r="A443" s="1598">
        <v>3</v>
      </c>
      <c r="B443" s="1533">
        <f t="shared" si="222"/>
        <v>6</v>
      </c>
      <c r="C443" s="1600">
        <v>7</v>
      </c>
      <c r="D443" s="1575">
        <f t="shared" si="223"/>
        <v>0.8571428571428571</v>
      </c>
      <c r="E443" s="1575">
        <v>-1</v>
      </c>
      <c r="F443" s="1611">
        <f t="shared" si="224"/>
        <v>3904.0459968040736</v>
      </c>
      <c r="G443" s="1582">
        <f t="shared" si="225"/>
        <v>1301.3486656013579</v>
      </c>
      <c r="H443" s="1583">
        <f t="shared" si="226"/>
        <v>1.7320508075688772</v>
      </c>
      <c r="I443" s="1594">
        <f t="shared" si="227"/>
        <v>2254.0020071835124</v>
      </c>
      <c r="J443" s="1680" t="s">
        <v>558</v>
      </c>
      <c r="K443" s="1418" t="s">
        <v>472</v>
      </c>
      <c r="L443" s="1419">
        <v>1500</v>
      </c>
      <c r="M443" s="1419">
        <v>2355</v>
      </c>
      <c r="N443" s="1419">
        <v>62000</v>
      </c>
      <c r="O443" s="1412">
        <v>125</v>
      </c>
      <c r="P443" s="1416">
        <v>0.69099999999999995</v>
      </c>
      <c r="Q443" s="1412">
        <v>0.10199999999999999</v>
      </c>
      <c r="R443" s="1412">
        <v>2.4E-2</v>
      </c>
      <c r="S443" s="1687">
        <v>8.9999999999999993E-3</v>
      </c>
      <c r="T443" s="1624">
        <v>15</v>
      </c>
      <c r="U443" s="1616" t="s">
        <v>645</v>
      </c>
      <c r="V443" s="1622">
        <v>1.4999999999999999E-2</v>
      </c>
      <c r="W443" s="1602">
        <f t="shared" si="228"/>
        <v>1417.445482866043</v>
      </c>
      <c r="X443" s="1602">
        <f t="shared" si="229"/>
        <v>1214.9532710280369</v>
      </c>
      <c r="Y443" s="1602">
        <f t="shared" si="230"/>
        <v>8504.6728971962584</v>
      </c>
      <c r="Z443" s="1579">
        <f t="shared" si="231"/>
        <v>120</v>
      </c>
      <c r="AA443" s="1602">
        <f t="shared" si="232"/>
        <v>73.224299065420553</v>
      </c>
      <c r="AB443" s="1588">
        <v>55</v>
      </c>
      <c r="AC443" s="1570"/>
      <c r="AD443" s="1754">
        <f t="shared" si="233"/>
        <v>3.0599999999999996E-4</v>
      </c>
      <c r="AE443" s="1634">
        <f t="shared" si="234"/>
        <v>0.69099999999999995</v>
      </c>
      <c r="AF443" s="1635">
        <f t="shared" si="235"/>
        <v>-1417.4454828660434</v>
      </c>
      <c r="AG443" s="1646">
        <f t="shared" si="236"/>
        <v>2.2124342710280369</v>
      </c>
      <c r="AH443" s="1741">
        <f t="shared" si="237"/>
        <v>-1048.1799999999998</v>
      </c>
      <c r="AI443" s="1607"/>
      <c r="AJ443" s="1733">
        <f>C443*LOOKUP(T443,'HS250-DATA'!C$7:C$10,'HS250-DATA'!F$7:F$10)</f>
        <v>197.82000000000002</v>
      </c>
      <c r="AK443" s="1733">
        <f t="shared" si="238"/>
        <v>84</v>
      </c>
      <c r="AL443" s="1733">
        <f>C443*E443*VLOOKUP(K443,'SCR-Diode DATA'!D$7:M$43,10,FALSE)</f>
        <v>-1330</v>
      </c>
      <c r="AM443" s="507">
        <f t="shared" si="239"/>
        <v>-0.26848556621977815</v>
      </c>
      <c r="AO443" s="24">
        <f t="shared" si="240"/>
        <v>1561.6183987216295</v>
      </c>
      <c r="AP443" s="24">
        <f t="shared" si="241"/>
        <v>1301.3486656013579</v>
      </c>
      <c r="AQ443" s="24">
        <f t="shared" si="242"/>
        <v>7027.2827942473323</v>
      </c>
      <c r="AR443">
        <v>3650</v>
      </c>
      <c r="AS443">
        <f>LOOKUP(AR443,'FUSE DATA'!X$8:X$43,'FUSE DATA'!Y$8:Y$43)</f>
        <v>23280</v>
      </c>
      <c r="AT443" s="1795">
        <f t="shared" si="243"/>
        <v>0.9349275093039271</v>
      </c>
      <c r="AU443" s="1795" t="str">
        <f t="shared" si="244"/>
        <v>ND41xx35</v>
      </c>
      <c r="AX443" s="1804">
        <v>1650</v>
      </c>
      <c r="AY443" s="1802">
        <v>11289</v>
      </c>
    </row>
  </sheetData>
  <phoneticPr fontId="2" type="noConversion"/>
  <pageMargins left="0.75" right="0.75" top="1" bottom="1" header="0.5" footer="0.5"/>
  <pageSetup orientation="portrait" horizont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>
    <tabColor rgb="FFFFC000"/>
  </sheetPr>
  <dimension ref="A3:R43"/>
  <sheetViews>
    <sheetView topLeftCell="A13" zoomScale="125" workbookViewId="0">
      <selection activeCell="A25" sqref="A25:IV25"/>
    </sheetView>
  </sheetViews>
  <sheetFormatPr baseColWidth="10" defaultColWidth="9.140625" defaultRowHeight="12.75"/>
  <cols>
    <col min="1" max="1" width="15.140625" customWidth="1"/>
    <col min="3" max="3" width="9.140625" style="22" customWidth="1"/>
    <col min="4" max="4" width="11.42578125" style="22" customWidth="1"/>
    <col min="6" max="6" width="9.140625" style="24" customWidth="1"/>
    <col min="11" max="11" width="9.140625" style="4" customWidth="1"/>
    <col min="13" max="15" width="10.5703125" customWidth="1"/>
  </cols>
  <sheetData>
    <row r="3" spans="1:18" ht="15.75" thickBot="1">
      <c r="A3" s="1406"/>
      <c r="B3" s="1406"/>
      <c r="C3" s="1406"/>
      <c r="E3" s="1406"/>
      <c r="F3" s="1406"/>
      <c r="G3" s="1406"/>
      <c r="H3" s="1406"/>
      <c r="I3" s="1406"/>
      <c r="J3" s="1406"/>
      <c r="K3" s="1406"/>
      <c r="L3" s="1406"/>
      <c r="M3" s="1406"/>
      <c r="N3" s="1406"/>
      <c r="O3" s="1406"/>
      <c r="P3" s="1406"/>
      <c r="Q3" s="1406"/>
      <c r="R3" s="1406"/>
    </row>
    <row r="4" spans="1:18" ht="30.75" thickBot="1">
      <c r="A4" s="1701" t="s">
        <v>519</v>
      </c>
      <c r="B4" s="1702"/>
      <c r="C4" s="1408"/>
      <c r="D4" s="1407" t="s">
        <v>520</v>
      </c>
      <c r="E4" s="1408"/>
      <c r="F4" s="1424"/>
      <c r="G4" s="1424"/>
      <c r="H4" s="1424"/>
      <c r="I4" s="1424"/>
      <c r="J4" s="1424"/>
      <c r="K4" s="1424"/>
      <c r="L4" s="1424"/>
      <c r="M4" s="1465" t="s">
        <v>579</v>
      </c>
      <c r="N4" s="1759"/>
      <c r="O4" s="1406" t="s">
        <v>521</v>
      </c>
      <c r="P4" s="1406"/>
      <c r="Q4" s="1406"/>
      <c r="R4" s="1406"/>
    </row>
    <row r="5" spans="1:18" ht="48">
      <c r="A5" s="1697" t="s">
        <v>522</v>
      </c>
      <c r="B5" s="1698" t="s">
        <v>154</v>
      </c>
      <c r="C5" s="1445"/>
      <c r="D5" s="1417" t="s">
        <v>523</v>
      </c>
      <c r="E5" s="1414" t="s">
        <v>524</v>
      </c>
      <c r="F5" s="1414" t="s">
        <v>525</v>
      </c>
      <c r="G5" s="1414" t="s">
        <v>526</v>
      </c>
      <c r="H5" s="1413" t="s">
        <v>527</v>
      </c>
      <c r="I5" s="1413" t="s">
        <v>528</v>
      </c>
      <c r="J5" s="1413" t="s">
        <v>529</v>
      </c>
      <c r="K5" s="1413" t="s">
        <v>530</v>
      </c>
      <c r="L5" s="1405" t="s">
        <v>531</v>
      </c>
      <c r="M5" s="1452"/>
      <c r="N5" s="1759"/>
      <c r="O5" s="1409" t="s">
        <v>532</v>
      </c>
      <c r="P5" s="1420" t="s">
        <v>153</v>
      </c>
      <c r="Q5" s="1421" t="s">
        <v>533</v>
      </c>
      <c r="R5" s="1420" t="s">
        <v>507</v>
      </c>
    </row>
    <row r="6" spans="1:18" ht="15.75">
      <c r="A6" s="1417"/>
      <c r="B6" s="1431"/>
      <c r="C6" s="1446"/>
      <c r="D6" s="1417" t="s">
        <v>311</v>
      </c>
      <c r="E6" s="1414" t="s">
        <v>22</v>
      </c>
      <c r="F6" s="1414" t="s">
        <v>22</v>
      </c>
      <c r="G6" s="1414" t="s">
        <v>22</v>
      </c>
      <c r="H6" s="1413" t="s">
        <v>534</v>
      </c>
      <c r="I6" s="1413" t="s">
        <v>53</v>
      </c>
      <c r="J6" s="1415" t="s">
        <v>535</v>
      </c>
      <c r="K6" s="1413" t="s">
        <v>536</v>
      </c>
      <c r="L6" s="1405" t="s">
        <v>536</v>
      </c>
      <c r="M6" s="1452"/>
      <c r="N6" s="1759"/>
      <c r="O6" s="1409"/>
      <c r="P6" s="1406"/>
      <c r="Q6" s="1406"/>
      <c r="R6" s="1406"/>
    </row>
    <row r="7" spans="1:18" ht="24.75">
      <c r="A7" s="1436" t="s">
        <v>537</v>
      </c>
      <c r="B7" s="1430" t="s">
        <v>538</v>
      </c>
      <c r="C7" s="1445" t="s">
        <v>539</v>
      </c>
      <c r="D7" s="1417" t="s">
        <v>540</v>
      </c>
      <c r="E7" s="1414">
        <v>42</v>
      </c>
      <c r="F7" s="1414"/>
      <c r="G7" s="1414">
        <v>280</v>
      </c>
      <c r="H7" s="1413">
        <v>125</v>
      </c>
      <c r="I7" s="1413">
        <v>1.1000000000000001</v>
      </c>
      <c r="J7" s="1415">
        <v>20</v>
      </c>
      <c r="K7" s="1413">
        <v>1.6</v>
      </c>
      <c r="L7" s="1405">
        <v>0.1</v>
      </c>
      <c r="M7" s="1452">
        <v>22.5</v>
      </c>
      <c r="N7" s="1759"/>
      <c r="O7" s="1409"/>
      <c r="P7" s="1406"/>
      <c r="Q7" s="1406"/>
      <c r="R7" s="1406"/>
    </row>
    <row r="8" spans="1:18" ht="15.75">
      <c r="A8" s="1436" t="s">
        <v>541</v>
      </c>
      <c r="B8" s="1430" t="s">
        <v>538</v>
      </c>
      <c r="C8" s="1445" t="s">
        <v>542</v>
      </c>
      <c r="D8" s="1417" t="s">
        <v>543</v>
      </c>
      <c r="E8" s="1414">
        <v>68</v>
      </c>
      <c r="F8" s="1414"/>
      <c r="G8" s="1414">
        <v>380</v>
      </c>
      <c r="H8" s="1413">
        <v>125</v>
      </c>
      <c r="I8" s="1413">
        <v>1</v>
      </c>
      <c r="J8" s="1415">
        <v>10</v>
      </c>
      <c r="K8" s="1413">
        <v>1.1000000000000001</v>
      </c>
      <c r="L8" s="1405">
        <v>0.1</v>
      </c>
      <c r="M8" s="1452">
        <v>28.8</v>
      </c>
      <c r="N8" s="1759"/>
      <c r="O8" s="1409"/>
      <c r="P8" s="1406"/>
      <c r="Q8" s="1406"/>
      <c r="R8" s="1406"/>
    </row>
    <row r="9" spans="1:18" ht="24.75">
      <c r="A9" s="1437" t="s">
        <v>544</v>
      </c>
      <c r="B9" s="1433" t="s">
        <v>152</v>
      </c>
      <c r="C9" s="1447" t="s">
        <v>545</v>
      </c>
      <c r="D9" s="1417" t="s">
        <v>503</v>
      </c>
      <c r="E9" s="1414">
        <v>125</v>
      </c>
      <c r="F9" s="1414"/>
      <c r="G9" s="1414">
        <v>1950</v>
      </c>
      <c r="H9" s="1413">
        <v>125</v>
      </c>
      <c r="I9" s="1413">
        <v>0.86</v>
      </c>
      <c r="J9" s="1415">
        <v>5.5</v>
      </c>
      <c r="K9" s="1413">
        <v>0.3</v>
      </c>
      <c r="L9" s="1405">
        <v>0.1</v>
      </c>
      <c r="M9" s="1452">
        <v>23.94</v>
      </c>
      <c r="N9" s="1759"/>
      <c r="O9" s="1409"/>
      <c r="P9" s="1406"/>
      <c r="Q9" s="1406"/>
      <c r="R9" s="1406"/>
    </row>
    <row r="10" spans="1:18" ht="24.75">
      <c r="A10" s="1436" t="s">
        <v>546</v>
      </c>
      <c r="B10" s="1433" t="s">
        <v>152</v>
      </c>
      <c r="C10" s="1447" t="s">
        <v>542</v>
      </c>
      <c r="D10" s="1417" t="s">
        <v>326</v>
      </c>
      <c r="E10" s="1414">
        <v>170</v>
      </c>
      <c r="F10" s="1423"/>
      <c r="G10" s="1414">
        <v>1950</v>
      </c>
      <c r="H10" s="1413">
        <v>125</v>
      </c>
      <c r="I10" s="1413">
        <v>0.86</v>
      </c>
      <c r="J10" s="1415">
        <v>5.5</v>
      </c>
      <c r="K10" s="1413">
        <v>0.3</v>
      </c>
      <c r="L10" s="1405">
        <v>0.1</v>
      </c>
      <c r="M10" s="1452">
        <v>30.87</v>
      </c>
      <c r="N10" s="1759"/>
      <c r="O10" s="1409"/>
      <c r="P10" s="1406"/>
      <c r="Q10" s="1406"/>
      <c r="R10" s="1406"/>
    </row>
    <row r="11" spans="1:18" ht="15">
      <c r="A11" s="1418" t="s">
        <v>547</v>
      </c>
      <c r="B11" s="1433" t="s">
        <v>152</v>
      </c>
      <c r="C11" s="1447" t="s">
        <v>548</v>
      </c>
      <c r="D11" s="1418" t="s">
        <v>549</v>
      </c>
      <c r="E11" s="1419">
        <v>90</v>
      </c>
      <c r="F11" s="1419">
        <v>150</v>
      </c>
      <c r="G11" s="1419">
        <v>1950</v>
      </c>
      <c r="H11" s="1412">
        <v>125</v>
      </c>
      <c r="I11" s="1416">
        <v>0.9</v>
      </c>
      <c r="J11" s="1416">
        <v>2</v>
      </c>
      <c r="K11" s="1416">
        <v>0.28000000000000003</v>
      </c>
      <c r="L11" s="1404">
        <v>0.2</v>
      </c>
      <c r="M11" s="1453">
        <v>13</v>
      </c>
      <c r="N11" s="1760"/>
      <c r="O11" s="1441" t="s">
        <v>550</v>
      </c>
      <c r="P11" s="1406"/>
      <c r="Q11" s="1406"/>
      <c r="R11" s="1406"/>
    </row>
    <row r="12" spans="1:18" ht="15">
      <c r="A12" s="1418" t="s">
        <v>551</v>
      </c>
      <c r="B12" s="1433" t="s">
        <v>152</v>
      </c>
      <c r="C12" s="1447" t="s">
        <v>552</v>
      </c>
      <c r="D12" s="1418" t="s">
        <v>553</v>
      </c>
      <c r="E12" s="1419">
        <v>90</v>
      </c>
      <c r="F12" s="1419">
        <v>150</v>
      </c>
      <c r="G12" s="1419">
        <v>1950</v>
      </c>
      <c r="H12" s="1412">
        <v>125</v>
      </c>
      <c r="I12" s="1416">
        <v>0.9</v>
      </c>
      <c r="J12" s="1416">
        <v>2</v>
      </c>
      <c r="K12" s="1416">
        <v>0.28000000000000003</v>
      </c>
      <c r="L12" s="1404">
        <v>0.2</v>
      </c>
      <c r="M12" s="1453">
        <v>13</v>
      </c>
      <c r="N12" s="1760"/>
      <c r="O12" s="1441" t="s">
        <v>510</v>
      </c>
      <c r="P12" s="1406"/>
      <c r="Q12" s="1406"/>
      <c r="R12" s="1406"/>
    </row>
    <row r="13" spans="1:18" ht="15">
      <c r="A13" s="1418" t="s">
        <v>547</v>
      </c>
      <c r="B13" s="1433" t="s">
        <v>532</v>
      </c>
      <c r="C13" s="1447" t="s">
        <v>548</v>
      </c>
      <c r="D13" s="1418" t="s">
        <v>554</v>
      </c>
      <c r="E13" s="1419">
        <v>160</v>
      </c>
      <c r="F13" s="1419">
        <v>250</v>
      </c>
      <c r="G13" s="1419">
        <v>4100</v>
      </c>
      <c r="H13" s="1412">
        <v>125</v>
      </c>
      <c r="I13" s="1416">
        <v>0.85</v>
      </c>
      <c r="J13" s="1416">
        <v>1.5</v>
      </c>
      <c r="K13" s="1416">
        <v>0.17</v>
      </c>
      <c r="L13" s="1404">
        <v>0.1</v>
      </c>
      <c r="M13" s="1453">
        <v>36</v>
      </c>
      <c r="N13" s="1760"/>
      <c r="O13" s="1441"/>
      <c r="P13" s="1406"/>
      <c r="Q13" s="1406"/>
      <c r="R13" s="1406"/>
    </row>
    <row r="14" spans="1:18" ht="15">
      <c r="A14" s="1418" t="s">
        <v>547</v>
      </c>
      <c r="B14" s="1919" t="s">
        <v>507</v>
      </c>
      <c r="C14" s="1921" t="s">
        <v>548</v>
      </c>
      <c r="D14" s="3" t="s">
        <v>683</v>
      </c>
      <c r="E14" s="1419">
        <v>160</v>
      </c>
      <c r="F14" s="1419">
        <v>355</v>
      </c>
      <c r="G14" s="1419">
        <v>4100</v>
      </c>
      <c r="H14" s="1412">
        <v>125</v>
      </c>
      <c r="I14" s="1416">
        <v>0.98</v>
      </c>
      <c r="J14" s="1416">
        <v>1.38</v>
      </c>
      <c r="K14" s="1416">
        <v>0.16</v>
      </c>
      <c r="L14" s="1404">
        <v>0.1</v>
      </c>
      <c r="M14" s="1453">
        <v>31.8</v>
      </c>
      <c r="N14" s="1760"/>
      <c r="O14" s="1441"/>
      <c r="P14" s="1406"/>
      <c r="Q14" s="1406"/>
      <c r="R14" s="1406"/>
    </row>
    <row r="15" spans="1:18" ht="15">
      <c r="A15" s="1418" t="s">
        <v>551</v>
      </c>
      <c r="B15" s="1433" t="s">
        <v>532</v>
      </c>
      <c r="C15" s="1447" t="s">
        <v>552</v>
      </c>
      <c r="D15" s="1418" t="s">
        <v>555</v>
      </c>
      <c r="E15" s="1419">
        <v>160</v>
      </c>
      <c r="F15" s="1419">
        <v>250</v>
      </c>
      <c r="G15" s="1419">
        <v>4100</v>
      </c>
      <c r="H15" s="1412">
        <v>125</v>
      </c>
      <c r="I15" s="1416">
        <v>0.85</v>
      </c>
      <c r="J15" s="1416">
        <v>1.5</v>
      </c>
      <c r="K15" s="1416">
        <v>0.17</v>
      </c>
      <c r="L15" s="1404">
        <v>0.1</v>
      </c>
      <c r="M15" s="1453">
        <v>36</v>
      </c>
      <c r="N15" s="1760"/>
      <c r="O15" s="1441"/>
      <c r="P15" s="1406"/>
      <c r="Q15" s="1406"/>
      <c r="R15" s="1406"/>
    </row>
    <row r="16" spans="1:18" ht="15">
      <c r="A16" s="1418" t="s">
        <v>551</v>
      </c>
      <c r="B16" s="1919" t="s">
        <v>507</v>
      </c>
      <c r="C16" s="1447" t="s">
        <v>552</v>
      </c>
      <c r="D16" s="3" t="s">
        <v>684</v>
      </c>
      <c r="E16" s="1419">
        <v>160</v>
      </c>
      <c r="F16" s="1419">
        <v>355</v>
      </c>
      <c r="G16" s="1419">
        <v>4100</v>
      </c>
      <c r="H16" s="1412">
        <v>125</v>
      </c>
      <c r="I16" s="1416">
        <v>0.98</v>
      </c>
      <c r="J16" s="1416">
        <v>1.38</v>
      </c>
      <c r="K16" s="1416">
        <v>0.16</v>
      </c>
      <c r="L16" s="1404">
        <v>0.1</v>
      </c>
      <c r="M16" s="1453">
        <v>40.299999999999997</v>
      </c>
      <c r="N16" s="1760"/>
      <c r="O16" s="1441"/>
      <c r="P16" s="1406"/>
      <c r="Q16" s="1406"/>
      <c r="R16" s="1406"/>
    </row>
    <row r="17" spans="1:18" ht="15">
      <c r="A17" s="1418" t="s">
        <v>547</v>
      </c>
      <c r="B17" s="1433" t="s">
        <v>532</v>
      </c>
      <c r="C17" s="1447" t="s">
        <v>548</v>
      </c>
      <c r="D17" s="1418" t="s">
        <v>469</v>
      </c>
      <c r="E17" s="1419">
        <v>250</v>
      </c>
      <c r="F17" s="1419">
        <v>393</v>
      </c>
      <c r="G17" s="1419">
        <v>8800</v>
      </c>
      <c r="H17" s="1412">
        <v>125</v>
      </c>
      <c r="I17" s="1416">
        <v>0.81899999999999995</v>
      </c>
      <c r="J17" s="1416">
        <v>0.58899999999999997</v>
      </c>
      <c r="K17" s="1416">
        <v>0.14000000000000001</v>
      </c>
      <c r="L17" s="1404">
        <v>0.06</v>
      </c>
      <c r="M17" s="1453">
        <v>75</v>
      </c>
      <c r="N17" s="1760"/>
      <c r="O17" s="1441"/>
      <c r="P17" s="1406"/>
      <c r="Q17" s="1406"/>
      <c r="R17" s="1406"/>
    </row>
    <row r="18" spans="1:18" ht="15">
      <c r="A18" s="1418" t="s">
        <v>551</v>
      </c>
      <c r="B18" s="1433" t="s">
        <v>532</v>
      </c>
      <c r="C18" s="1447" t="s">
        <v>552</v>
      </c>
      <c r="D18" s="1418" t="s">
        <v>556</v>
      </c>
      <c r="E18" s="1419">
        <v>250</v>
      </c>
      <c r="F18" s="1419">
        <v>393</v>
      </c>
      <c r="G18" s="1419">
        <v>8800</v>
      </c>
      <c r="H18" s="1412">
        <v>125</v>
      </c>
      <c r="I18" s="1416">
        <v>0.81899999999999995</v>
      </c>
      <c r="J18" s="1416">
        <v>0.58899999999999997</v>
      </c>
      <c r="K18" s="1416">
        <v>0.14000000000000001</v>
      </c>
      <c r="L18" s="1404">
        <v>0.06</v>
      </c>
      <c r="M18" s="1453">
        <v>75</v>
      </c>
      <c r="N18" s="1760"/>
      <c r="O18" s="1441"/>
      <c r="P18" s="1406"/>
      <c r="Q18" s="1406"/>
      <c r="R18" s="1406"/>
    </row>
    <row r="19" spans="1:18" ht="15">
      <c r="A19" s="1418" t="s">
        <v>547</v>
      </c>
      <c r="B19" s="1433" t="s">
        <v>532</v>
      </c>
      <c r="C19" s="1447" t="s">
        <v>548</v>
      </c>
      <c r="D19" s="1418" t="s">
        <v>470</v>
      </c>
      <c r="E19" s="1419">
        <v>500</v>
      </c>
      <c r="F19" s="1419">
        <v>900</v>
      </c>
      <c r="G19" s="1419">
        <v>16300</v>
      </c>
      <c r="H19" s="1412">
        <v>125</v>
      </c>
      <c r="I19" s="1416">
        <v>0.81</v>
      </c>
      <c r="J19" s="1416">
        <v>0.32</v>
      </c>
      <c r="K19" s="1416">
        <v>6.5000000000000002E-2</v>
      </c>
      <c r="L19" s="1404">
        <v>0.02</v>
      </c>
      <c r="M19" s="1453">
        <v>135</v>
      </c>
      <c r="N19" s="1760"/>
      <c r="O19" s="1441"/>
      <c r="P19" s="1406"/>
      <c r="Q19" s="1406"/>
      <c r="R19" s="1406"/>
    </row>
    <row r="20" spans="1:18" ht="15">
      <c r="A20" s="1418" t="s">
        <v>551</v>
      </c>
      <c r="B20" s="1433" t="s">
        <v>532</v>
      </c>
      <c r="C20" s="1447" t="s">
        <v>552</v>
      </c>
      <c r="D20" s="1418" t="s">
        <v>665</v>
      </c>
      <c r="E20" s="1419">
        <v>500</v>
      </c>
      <c r="F20" s="1419">
        <v>900</v>
      </c>
      <c r="G20" s="1419">
        <v>16300</v>
      </c>
      <c r="H20" s="1412">
        <v>125</v>
      </c>
      <c r="I20" s="1416">
        <v>0.81</v>
      </c>
      <c r="J20" s="1416">
        <v>0.32</v>
      </c>
      <c r="K20" s="1416">
        <v>6.5000000000000002E-2</v>
      </c>
      <c r="L20" s="1404">
        <v>0.02</v>
      </c>
      <c r="M20" s="1453">
        <v>135</v>
      </c>
      <c r="N20" s="1760"/>
      <c r="O20" s="1441"/>
      <c r="P20" s="1406"/>
      <c r="Q20" s="1406"/>
      <c r="R20" s="1406"/>
    </row>
    <row r="21" spans="1:18" ht="15">
      <c r="A21" s="1418" t="s">
        <v>547</v>
      </c>
      <c r="B21" s="1433" t="s">
        <v>532</v>
      </c>
      <c r="C21" s="1447" t="s">
        <v>548</v>
      </c>
      <c r="D21" s="1418" t="s">
        <v>471</v>
      </c>
      <c r="E21" s="1419">
        <v>700</v>
      </c>
      <c r="F21" s="1419">
        <v>1100</v>
      </c>
      <c r="G21" s="1419">
        <v>36500</v>
      </c>
      <c r="H21" s="1412">
        <v>125</v>
      </c>
      <c r="I21" s="1416">
        <v>0.70299999999999996</v>
      </c>
      <c r="J21" s="1416">
        <v>0.184</v>
      </c>
      <c r="K21" s="1416">
        <v>5.8000000000000003E-2</v>
      </c>
      <c r="L21" s="1404">
        <v>1.7999999999999999E-2</v>
      </c>
      <c r="M21" s="1453">
        <v>325</v>
      </c>
      <c r="N21" s="1760"/>
      <c r="O21" s="1441"/>
      <c r="P21" s="1406"/>
      <c r="Q21" s="1406"/>
      <c r="R21" s="1406"/>
    </row>
    <row r="22" spans="1:18" ht="15">
      <c r="A22" s="1418" t="s">
        <v>551</v>
      </c>
      <c r="B22" s="1433" t="s">
        <v>532</v>
      </c>
      <c r="C22" s="1447" t="s">
        <v>552</v>
      </c>
      <c r="D22" s="1418" t="s">
        <v>666</v>
      </c>
      <c r="E22" s="1419">
        <v>700</v>
      </c>
      <c r="F22" s="1419">
        <v>1100</v>
      </c>
      <c r="G22" s="1419">
        <v>36500</v>
      </c>
      <c r="H22" s="1412">
        <v>125</v>
      </c>
      <c r="I22" s="1416">
        <v>0.70299999999999996</v>
      </c>
      <c r="J22" s="1416">
        <v>0.184</v>
      </c>
      <c r="K22" s="1416">
        <v>5.8000000000000003E-2</v>
      </c>
      <c r="L22" s="1404">
        <v>1.7999999999999999E-2</v>
      </c>
      <c r="M22" s="1453">
        <v>325</v>
      </c>
      <c r="N22" s="1760"/>
      <c r="O22" s="1441"/>
      <c r="P22" s="1406"/>
      <c r="Q22" s="1406"/>
      <c r="R22" s="1406"/>
    </row>
    <row r="23" spans="1:18" ht="15">
      <c r="A23" s="1418" t="s">
        <v>557</v>
      </c>
      <c r="B23" s="1433" t="s">
        <v>532</v>
      </c>
      <c r="C23" s="1447" t="s">
        <v>558</v>
      </c>
      <c r="D23" s="1418" t="s">
        <v>472</v>
      </c>
      <c r="E23" s="1419">
        <v>1500</v>
      </c>
      <c r="F23" s="1419">
        <v>2355</v>
      </c>
      <c r="G23" s="1419">
        <v>62000</v>
      </c>
      <c r="H23" s="1412">
        <v>125</v>
      </c>
      <c r="I23" s="1416">
        <v>0.69099999999999995</v>
      </c>
      <c r="J23" s="1412">
        <v>0.10199999999999999</v>
      </c>
      <c r="K23" s="1412">
        <v>2.4E-2</v>
      </c>
      <c r="L23" s="1404">
        <v>8.9999999999999993E-3</v>
      </c>
      <c r="M23" s="1453">
        <v>190</v>
      </c>
      <c r="N23" s="1760"/>
      <c r="O23" s="1441"/>
    </row>
    <row r="24" spans="1:18" ht="15.75" thickBot="1">
      <c r="A24" s="1438"/>
      <c r="B24" s="1435"/>
      <c r="C24" s="1448"/>
      <c r="D24" s="1438"/>
      <c r="E24" s="1439"/>
      <c r="F24" s="1439"/>
      <c r="G24" s="1439"/>
      <c r="H24" s="1439"/>
      <c r="I24" s="1439"/>
      <c r="J24" s="1439"/>
      <c r="K24" s="1439"/>
      <c r="L24" s="1403"/>
      <c r="M24" s="1454"/>
      <c r="N24" s="1761"/>
      <c r="O24" s="1442"/>
    </row>
    <row r="26" spans="1:18" ht="15.75" thickBot="1">
      <c r="A26" s="1406"/>
      <c r="B26" s="1422"/>
      <c r="C26" s="1422"/>
      <c r="E26" s="1406"/>
      <c r="F26" s="1406"/>
      <c r="G26" s="1406"/>
      <c r="H26" s="1406"/>
      <c r="I26" s="1406"/>
      <c r="J26" s="1406"/>
      <c r="K26" s="1406"/>
      <c r="L26" s="1406"/>
      <c r="M26" s="1406"/>
      <c r="N26" s="1406"/>
      <c r="O26" s="1406"/>
    </row>
    <row r="27" spans="1:18" ht="30.75" thickBot="1">
      <c r="A27" s="1699" t="s">
        <v>559</v>
      </c>
      <c r="B27" s="1700"/>
      <c r="C27" s="1449"/>
      <c r="D27" s="1407" t="s">
        <v>520</v>
      </c>
      <c r="E27" s="1408"/>
      <c r="F27" s="1424"/>
      <c r="G27" s="1424"/>
      <c r="H27" s="1424"/>
      <c r="I27" s="1424"/>
      <c r="J27" s="1424"/>
      <c r="K27" s="1424"/>
      <c r="L27" s="1424"/>
      <c r="M27" s="1451"/>
      <c r="N27" s="1760"/>
      <c r="O27" s="1410"/>
    </row>
    <row r="28" spans="1:18" ht="50.25">
      <c r="A28" s="1697" t="s">
        <v>522</v>
      </c>
      <c r="B28" s="1698" t="s">
        <v>154</v>
      </c>
      <c r="C28" s="1445"/>
      <c r="D28" s="1696" t="s">
        <v>523</v>
      </c>
      <c r="E28" s="1414" t="s">
        <v>524</v>
      </c>
      <c r="F28" s="1414" t="s">
        <v>525</v>
      </c>
      <c r="G28" s="1414" t="s">
        <v>526</v>
      </c>
      <c r="H28" s="1414" t="s">
        <v>560</v>
      </c>
      <c r="I28" s="1414" t="s">
        <v>561</v>
      </c>
      <c r="J28" s="1414" t="s">
        <v>562</v>
      </c>
      <c r="K28" s="1414" t="s">
        <v>563</v>
      </c>
      <c r="L28" s="1455" t="s">
        <v>564</v>
      </c>
      <c r="M28" s="1459"/>
      <c r="N28" s="1762"/>
      <c r="O28" s="1411"/>
    </row>
    <row r="29" spans="1:18" ht="15.75">
      <c r="A29" s="1429"/>
      <c r="B29" s="1431"/>
      <c r="C29" s="1446"/>
      <c r="D29" s="1696" t="s">
        <v>311</v>
      </c>
      <c r="E29" s="1414" t="s">
        <v>22</v>
      </c>
      <c r="F29" s="1414" t="s">
        <v>22</v>
      </c>
      <c r="G29" s="1414" t="s">
        <v>22</v>
      </c>
      <c r="H29" s="1414" t="s">
        <v>565</v>
      </c>
      <c r="I29" s="1414" t="s">
        <v>53</v>
      </c>
      <c r="J29" s="1414" t="s">
        <v>566</v>
      </c>
      <c r="K29" s="1414" t="s">
        <v>567</v>
      </c>
      <c r="L29" s="1455" t="s">
        <v>567</v>
      </c>
      <c r="M29" s="1459"/>
      <c r="N29" s="1762"/>
      <c r="O29" s="1411"/>
    </row>
    <row r="30" spans="1:18" ht="15.75">
      <c r="A30" s="1432" t="s">
        <v>568</v>
      </c>
      <c r="B30" s="1433" t="s">
        <v>152</v>
      </c>
      <c r="C30" s="1446" t="s">
        <v>243</v>
      </c>
      <c r="D30" s="1429" t="s">
        <v>502</v>
      </c>
      <c r="E30" s="1414">
        <v>100</v>
      </c>
      <c r="F30" s="1414"/>
      <c r="G30" s="1414">
        <v>1500</v>
      </c>
      <c r="H30" s="1414">
        <v>125</v>
      </c>
      <c r="I30" s="1414">
        <v>1.2</v>
      </c>
      <c r="J30" s="1414"/>
      <c r="K30" s="1450">
        <v>0.3</v>
      </c>
      <c r="L30" s="1456">
        <v>0.1</v>
      </c>
      <c r="M30" s="1459">
        <v>15</v>
      </c>
      <c r="N30" s="1762"/>
      <c r="O30" s="1411"/>
    </row>
    <row r="31" spans="1:18" ht="15.75">
      <c r="A31" s="1432" t="s">
        <v>568</v>
      </c>
      <c r="B31" s="1433" t="s">
        <v>152</v>
      </c>
      <c r="C31" s="1447" t="s">
        <v>243</v>
      </c>
      <c r="D31" s="1432" t="s">
        <v>569</v>
      </c>
      <c r="E31" s="1426">
        <v>90</v>
      </c>
      <c r="F31" s="1426">
        <v>150</v>
      </c>
      <c r="G31" s="1426">
        <v>1950</v>
      </c>
      <c r="H31" s="1425">
        <v>125</v>
      </c>
      <c r="I31" s="1425">
        <v>0.9</v>
      </c>
      <c r="J31" s="1427">
        <v>2</v>
      </c>
      <c r="K31" s="1428">
        <v>0.28000000000000003</v>
      </c>
      <c r="L31" s="1457">
        <v>0.2</v>
      </c>
      <c r="M31" s="1460">
        <v>13</v>
      </c>
      <c r="N31" s="1763"/>
      <c r="O31" s="1443"/>
    </row>
    <row r="32" spans="1:18" ht="15.75">
      <c r="A32" s="1432" t="s">
        <v>568</v>
      </c>
      <c r="B32" s="1433" t="s">
        <v>532</v>
      </c>
      <c r="C32" s="1447" t="s">
        <v>243</v>
      </c>
      <c r="D32" s="1432" t="s">
        <v>505</v>
      </c>
      <c r="E32" s="1426">
        <v>160</v>
      </c>
      <c r="F32" s="1426">
        <v>250</v>
      </c>
      <c r="G32" s="1426">
        <v>3350</v>
      </c>
      <c r="H32" s="1425">
        <v>150</v>
      </c>
      <c r="I32" s="1425">
        <v>0.85</v>
      </c>
      <c r="J32" s="1427">
        <v>1.2</v>
      </c>
      <c r="K32" s="1428">
        <v>0.18</v>
      </c>
      <c r="L32" s="1457">
        <v>0.1</v>
      </c>
      <c r="M32" s="1460">
        <v>30</v>
      </c>
      <c r="N32" s="1763"/>
      <c r="O32" s="1443"/>
    </row>
    <row r="33" spans="1:15" ht="15.75">
      <c r="A33" s="1432" t="s">
        <v>568</v>
      </c>
      <c r="B33" s="1919" t="s">
        <v>507</v>
      </c>
      <c r="C33" s="1447" t="s">
        <v>243</v>
      </c>
      <c r="D33" s="3" t="s">
        <v>685</v>
      </c>
      <c r="E33" s="1426">
        <v>165</v>
      </c>
      <c r="F33" s="1426">
        <v>260</v>
      </c>
      <c r="G33" s="1426">
        <v>3350</v>
      </c>
      <c r="H33" s="1425">
        <v>150</v>
      </c>
      <c r="I33" s="1425">
        <v>0.88</v>
      </c>
      <c r="J33" s="1427">
        <v>1.26</v>
      </c>
      <c r="K33" s="1428">
        <v>0.2</v>
      </c>
      <c r="L33" s="1457">
        <v>0.1</v>
      </c>
      <c r="M33" s="1922">
        <v>25.7</v>
      </c>
      <c r="N33" s="1763"/>
      <c r="O33" s="1443"/>
    </row>
    <row r="34" spans="1:15" ht="15.75">
      <c r="A34" s="1432" t="s">
        <v>568</v>
      </c>
      <c r="B34" s="1919" t="s">
        <v>507</v>
      </c>
      <c r="C34" s="1447" t="s">
        <v>243</v>
      </c>
      <c r="D34" s="1920" t="s">
        <v>678</v>
      </c>
      <c r="E34" s="1426">
        <v>250</v>
      </c>
      <c r="F34" s="1426">
        <v>393</v>
      </c>
      <c r="G34" s="1426">
        <v>5900</v>
      </c>
      <c r="H34" s="1425">
        <v>150</v>
      </c>
      <c r="I34" s="1425">
        <v>0.92</v>
      </c>
      <c r="J34" s="1427">
        <v>0.49</v>
      </c>
      <c r="K34" s="1428">
        <v>0.16</v>
      </c>
      <c r="L34" s="1457">
        <v>3.5000000000000003E-2</v>
      </c>
      <c r="M34" s="1922">
        <v>46.1</v>
      </c>
      <c r="N34" s="1763"/>
      <c r="O34" s="1443"/>
    </row>
    <row r="35" spans="1:15" ht="15.75">
      <c r="A35" s="1432" t="s">
        <v>568</v>
      </c>
      <c r="B35" s="1919" t="s">
        <v>507</v>
      </c>
      <c r="C35" s="1447" t="s">
        <v>243</v>
      </c>
      <c r="D35" s="1920" t="s">
        <v>679</v>
      </c>
      <c r="E35" s="1426">
        <v>270</v>
      </c>
      <c r="F35" s="1426">
        <v>424</v>
      </c>
      <c r="G35" s="1426">
        <v>7500</v>
      </c>
      <c r="H35" s="1425">
        <v>150</v>
      </c>
      <c r="I35" s="1425">
        <v>0.87</v>
      </c>
      <c r="J35" s="1427">
        <v>0.81</v>
      </c>
      <c r="K35" s="1428">
        <v>0.125</v>
      </c>
      <c r="L35" s="1457">
        <v>3.5000000000000003E-2</v>
      </c>
      <c r="M35" s="1460"/>
      <c r="N35" s="1763"/>
      <c r="O35" s="1443"/>
    </row>
    <row r="36" spans="1:15" ht="15.75">
      <c r="A36" s="1432" t="s">
        <v>568</v>
      </c>
      <c r="B36" s="1919" t="s">
        <v>507</v>
      </c>
      <c r="C36" s="1447" t="s">
        <v>243</v>
      </c>
      <c r="D36" s="1920" t="s">
        <v>680</v>
      </c>
      <c r="E36" s="1426">
        <v>320</v>
      </c>
      <c r="F36" s="1426">
        <v>502</v>
      </c>
      <c r="G36" s="1426">
        <v>8500</v>
      </c>
      <c r="H36" s="1425">
        <v>150</v>
      </c>
      <c r="I36" s="1425">
        <v>0.86</v>
      </c>
      <c r="J36" s="1427">
        <v>0.44</v>
      </c>
      <c r="K36" s="1428">
        <v>0.125</v>
      </c>
      <c r="L36" s="1457">
        <v>3.5000000000000003E-2</v>
      </c>
      <c r="M36" s="1922">
        <v>54.2</v>
      </c>
      <c r="N36" s="1763"/>
      <c r="O36" s="1443"/>
    </row>
    <row r="37" spans="1:15" ht="15.75">
      <c r="A37" s="1432" t="s">
        <v>568</v>
      </c>
      <c r="B37" s="1919" t="s">
        <v>153</v>
      </c>
      <c r="C37" s="1447" t="s">
        <v>243</v>
      </c>
      <c r="D37" s="1920" t="s">
        <v>682</v>
      </c>
      <c r="E37" s="1426">
        <v>320</v>
      </c>
      <c r="F37" s="1426">
        <v>600</v>
      </c>
      <c r="G37" s="1426">
        <v>10000</v>
      </c>
      <c r="H37" s="1425">
        <v>150</v>
      </c>
      <c r="I37" s="1425">
        <v>0.8</v>
      </c>
      <c r="J37" s="1427">
        <v>0.35</v>
      </c>
      <c r="K37" s="1428">
        <v>0.11</v>
      </c>
      <c r="L37" s="1457">
        <v>0.04</v>
      </c>
      <c r="M37" s="1460"/>
      <c r="N37" s="1763"/>
      <c r="O37" s="1443"/>
    </row>
    <row r="38" spans="1:15" ht="15.75">
      <c r="A38" s="1432"/>
      <c r="B38" s="1433"/>
      <c r="C38" s="1447"/>
      <c r="D38" s="1432"/>
      <c r="E38" s="1426"/>
      <c r="F38" s="1426"/>
      <c r="G38" s="1426"/>
      <c r="H38" s="1425"/>
      <c r="I38" s="1425"/>
      <c r="J38" s="1427"/>
      <c r="K38" s="1428"/>
      <c r="L38" s="1457"/>
      <c r="M38" s="1460"/>
      <c r="N38" s="1763"/>
      <c r="O38" s="1443"/>
    </row>
    <row r="39" spans="1:15" ht="15.75">
      <c r="A39" s="1432" t="s">
        <v>570</v>
      </c>
      <c r="B39" s="1433" t="s">
        <v>532</v>
      </c>
      <c r="C39" s="1447" t="s">
        <v>571</v>
      </c>
      <c r="D39" s="1432" t="s">
        <v>572</v>
      </c>
      <c r="E39" s="1426">
        <v>350</v>
      </c>
      <c r="F39" s="1426">
        <v>550</v>
      </c>
      <c r="G39" s="1426">
        <v>7340</v>
      </c>
      <c r="H39" s="1425">
        <v>150</v>
      </c>
      <c r="I39" s="1425">
        <v>0.65400000000000003</v>
      </c>
      <c r="J39" s="1427">
        <v>0.32</v>
      </c>
      <c r="K39" s="1428">
        <v>0.14000000000000001</v>
      </c>
      <c r="L39" s="1457">
        <v>0.06</v>
      </c>
      <c r="M39" s="1460">
        <v>75</v>
      </c>
      <c r="N39" s="1763"/>
      <c r="O39" s="1443"/>
    </row>
    <row r="40" spans="1:15" ht="15.75">
      <c r="A40" s="1432" t="s">
        <v>568</v>
      </c>
      <c r="B40" s="1433" t="s">
        <v>532</v>
      </c>
      <c r="C40" s="1447" t="s">
        <v>243</v>
      </c>
      <c r="D40" s="1432" t="s">
        <v>508</v>
      </c>
      <c r="E40" s="1426">
        <v>600</v>
      </c>
      <c r="F40" s="1426">
        <v>950</v>
      </c>
      <c r="G40" s="1426">
        <v>19000</v>
      </c>
      <c r="H40" s="1425">
        <v>150</v>
      </c>
      <c r="I40" s="1425">
        <v>0.747</v>
      </c>
      <c r="J40" s="1427">
        <v>0.24299999999999999</v>
      </c>
      <c r="K40" s="1428">
        <v>6.5000000000000002E-2</v>
      </c>
      <c r="L40" s="1457">
        <v>0.02</v>
      </c>
      <c r="M40" s="1460">
        <v>92</v>
      </c>
      <c r="N40" s="1763"/>
      <c r="O40" s="1443"/>
    </row>
    <row r="41" spans="1:15" ht="15.75">
      <c r="A41" s="1432" t="s">
        <v>568</v>
      </c>
      <c r="B41" s="1433" t="s">
        <v>532</v>
      </c>
      <c r="C41" s="1447" t="s">
        <v>243</v>
      </c>
      <c r="D41" s="1432" t="s">
        <v>509</v>
      </c>
      <c r="E41" s="1426">
        <v>2500</v>
      </c>
      <c r="F41" s="1426">
        <v>3925</v>
      </c>
      <c r="G41" s="1426">
        <v>48400</v>
      </c>
      <c r="H41" s="1425">
        <v>150</v>
      </c>
      <c r="I41" s="1425">
        <v>0.63200000000000001</v>
      </c>
      <c r="J41" s="1427">
        <v>5.9799999999999999E-2</v>
      </c>
      <c r="K41" s="1428">
        <v>2.4E-2</v>
      </c>
      <c r="L41" s="1457">
        <v>8.9999999999999993E-3</v>
      </c>
      <c r="M41" s="1460">
        <v>345</v>
      </c>
      <c r="N41" s="1763"/>
      <c r="O41" s="1443"/>
    </row>
    <row r="42" spans="1:15" ht="15.75">
      <c r="A42" s="1432"/>
      <c r="B42" s="1433"/>
      <c r="C42" s="1447"/>
      <c r="D42" s="1432"/>
      <c r="E42" s="1426"/>
      <c r="F42" s="1426"/>
      <c r="G42" s="1426"/>
      <c r="H42" s="1425"/>
      <c r="I42" s="1425"/>
      <c r="J42" s="1425"/>
      <c r="K42" s="1425"/>
      <c r="L42" s="1457"/>
      <c r="M42" s="1460"/>
      <c r="N42" s="1763"/>
      <c r="O42" s="1443"/>
    </row>
    <row r="43" spans="1:15" ht="16.5" thickBot="1">
      <c r="A43" s="1434"/>
      <c r="B43" s="1435"/>
      <c r="C43" s="1448"/>
      <c r="D43" s="1434"/>
      <c r="E43" s="1440"/>
      <c r="F43" s="1440"/>
      <c r="G43" s="1440"/>
      <c r="H43" s="1440"/>
      <c r="I43" s="1440"/>
      <c r="J43" s="1440"/>
      <c r="K43" s="1440"/>
      <c r="L43" s="1458"/>
      <c r="M43" s="1461"/>
      <c r="N43" s="1764"/>
      <c r="O43" s="1444"/>
    </row>
  </sheetData>
  <phoneticPr fontId="2" type="noConversion"/>
  <pageMargins left="0.35433070866141736" right="0.31496062992125984" top="0.19685039370078741" bottom="0.19685039370078741" header="0.19685039370078741" footer="0.19685039370078741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59999389629810485"/>
  </sheetPr>
  <dimension ref="A2:L58"/>
  <sheetViews>
    <sheetView workbookViewId="0">
      <selection activeCell="E43" sqref="E43"/>
    </sheetView>
  </sheetViews>
  <sheetFormatPr baseColWidth="10" defaultColWidth="9.140625" defaultRowHeight="12.75"/>
  <cols>
    <col min="1" max="1" width="20.42578125" style="726" customWidth="1"/>
    <col min="2" max="2" width="20.140625" style="4" customWidth="1"/>
    <col min="3" max="3" width="18" style="4" customWidth="1"/>
    <col min="4" max="4" width="7.85546875" style="4" customWidth="1"/>
    <col min="5" max="5" width="11.85546875" style="4" customWidth="1"/>
    <col min="6" max="6" width="8" style="4" customWidth="1"/>
    <col min="7" max="7" width="8.28515625" style="4" customWidth="1"/>
    <col min="8" max="8" width="10.5703125" style="4" customWidth="1"/>
    <col min="9" max="9" width="8" style="4" customWidth="1"/>
    <col min="10" max="10" width="7.7109375" customWidth="1"/>
    <col min="11" max="11" width="14" customWidth="1"/>
  </cols>
  <sheetData>
    <row r="2" spans="1:12" ht="13.5" thickBot="1"/>
    <row r="3" spans="1:12" ht="13.5" thickBot="1">
      <c r="A3" s="734" t="s">
        <v>532</v>
      </c>
      <c r="B3" s="734" t="s">
        <v>153</v>
      </c>
      <c r="C3" s="735" t="s">
        <v>277</v>
      </c>
      <c r="D3" s="735" t="s">
        <v>152</v>
      </c>
      <c r="E3" s="735"/>
      <c r="F3" s="764" t="s">
        <v>278</v>
      </c>
      <c r="G3" s="733"/>
      <c r="H3" s="737"/>
      <c r="I3" s="762" t="s">
        <v>278</v>
      </c>
      <c r="J3" s="733"/>
      <c r="K3" s="96"/>
      <c r="L3" s="80"/>
    </row>
    <row r="4" spans="1:12" ht="13.5" thickBot="1">
      <c r="A4" s="743"/>
      <c r="B4" s="743"/>
      <c r="C4" s="748"/>
      <c r="D4" s="748"/>
      <c r="E4" s="750"/>
      <c r="F4" s="1765" t="s">
        <v>290</v>
      </c>
      <c r="G4" s="1766"/>
      <c r="H4" s="738"/>
      <c r="I4" s="763" t="s">
        <v>279</v>
      </c>
      <c r="J4" s="318"/>
      <c r="K4" s="7"/>
      <c r="L4" s="741"/>
    </row>
    <row r="5" spans="1:12" ht="13.5" thickBot="1">
      <c r="A5" s="744"/>
      <c r="B5" s="744"/>
      <c r="C5" s="749"/>
      <c r="D5" s="749"/>
      <c r="E5" s="760" t="s">
        <v>310</v>
      </c>
      <c r="F5" s="1767" t="s">
        <v>288</v>
      </c>
      <c r="G5" s="1768" t="s">
        <v>294</v>
      </c>
      <c r="H5" s="1768" t="s">
        <v>296</v>
      </c>
      <c r="I5" s="761" t="s">
        <v>288</v>
      </c>
      <c r="J5" s="735" t="s">
        <v>294</v>
      </c>
      <c r="K5" s="736" t="s">
        <v>296</v>
      </c>
      <c r="L5" s="742"/>
    </row>
    <row r="6" spans="1:12" ht="13.5" thickBot="1">
      <c r="A6" s="734" t="s">
        <v>311</v>
      </c>
      <c r="B6" s="734" t="s">
        <v>311</v>
      </c>
      <c r="C6" s="734" t="s">
        <v>311</v>
      </c>
      <c r="D6" s="734" t="s">
        <v>311</v>
      </c>
      <c r="E6" s="735"/>
      <c r="F6" s="1768" t="s">
        <v>651</v>
      </c>
      <c r="G6" s="1768" t="s">
        <v>651</v>
      </c>
      <c r="H6" s="1768" t="s">
        <v>651</v>
      </c>
      <c r="I6" s="752" t="s">
        <v>295</v>
      </c>
      <c r="J6" s="752" t="s">
        <v>295</v>
      </c>
      <c r="K6" s="753" t="s">
        <v>295</v>
      </c>
      <c r="L6" s="502"/>
    </row>
    <row r="7" spans="1:12" ht="15" customHeight="1">
      <c r="A7" s="561"/>
      <c r="B7" s="745" t="s">
        <v>289</v>
      </c>
      <c r="C7" s="561"/>
      <c r="D7" s="561"/>
      <c r="E7" s="561">
        <v>1</v>
      </c>
      <c r="F7" s="1769">
        <v>2.5</v>
      </c>
      <c r="G7" s="1770">
        <f t="shared" ref="G7:G15" si="0">F7*0.7376</f>
        <v>1.8440000000000001</v>
      </c>
      <c r="H7" s="1771">
        <f t="shared" ref="H7:H15" si="1">12*G7</f>
        <v>22.128</v>
      </c>
      <c r="I7" s="561" t="s">
        <v>19</v>
      </c>
      <c r="J7" s="561" t="s">
        <v>19</v>
      </c>
      <c r="K7" s="751" t="s">
        <v>19</v>
      </c>
      <c r="L7" s="516"/>
    </row>
    <row r="8" spans="1:12" ht="15" customHeight="1">
      <c r="A8" s="577"/>
      <c r="B8" s="746" t="s">
        <v>281</v>
      </c>
      <c r="C8" s="577" t="s">
        <v>280</v>
      </c>
      <c r="D8" s="577" t="s">
        <v>291</v>
      </c>
      <c r="E8" s="577">
        <v>2</v>
      </c>
      <c r="F8" s="1772">
        <v>5</v>
      </c>
      <c r="G8" s="1773">
        <f t="shared" si="0"/>
        <v>3.6880000000000002</v>
      </c>
      <c r="H8" s="1772">
        <f t="shared" si="1"/>
        <v>44.256</v>
      </c>
      <c r="I8" s="520">
        <v>3</v>
      </c>
      <c r="J8" s="739">
        <f t="shared" ref="J8:J14" si="2">I8*0.7376</f>
        <v>2.2128000000000001</v>
      </c>
      <c r="K8" s="740">
        <f t="shared" ref="K8:K14" si="3">12*J8</f>
        <v>26.553600000000003</v>
      </c>
      <c r="L8" s="517"/>
    </row>
    <row r="9" spans="1:12" ht="15" customHeight="1">
      <c r="A9" s="577"/>
      <c r="B9" s="746" t="s">
        <v>282</v>
      </c>
      <c r="C9" s="577" t="s">
        <v>283</v>
      </c>
      <c r="D9" s="577"/>
      <c r="E9" s="577">
        <v>3</v>
      </c>
      <c r="F9" s="1772">
        <v>5</v>
      </c>
      <c r="G9" s="1773">
        <f t="shared" si="0"/>
        <v>3.6880000000000002</v>
      </c>
      <c r="H9" s="1772">
        <f t="shared" si="1"/>
        <v>44.256</v>
      </c>
      <c r="I9" s="520">
        <v>5</v>
      </c>
      <c r="J9" s="739">
        <f t="shared" si="2"/>
        <v>3.6880000000000002</v>
      </c>
      <c r="K9" s="740">
        <f t="shared" si="3"/>
        <v>44.256</v>
      </c>
      <c r="L9" s="517"/>
    </row>
    <row r="10" spans="1:12" ht="15" customHeight="1">
      <c r="A10" s="577"/>
      <c r="B10" s="746" t="s">
        <v>284</v>
      </c>
      <c r="C10" s="577" t="s">
        <v>285</v>
      </c>
      <c r="D10" s="577"/>
      <c r="E10" s="577">
        <v>4</v>
      </c>
      <c r="F10" s="1772">
        <v>5</v>
      </c>
      <c r="G10" s="1773">
        <f t="shared" si="0"/>
        <v>3.6880000000000002</v>
      </c>
      <c r="H10" s="1772">
        <f t="shared" si="1"/>
        <v>44.256</v>
      </c>
      <c r="I10" s="520">
        <v>9</v>
      </c>
      <c r="J10" s="739">
        <f t="shared" si="2"/>
        <v>6.6384000000000007</v>
      </c>
      <c r="K10" s="740">
        <f t="shared" si="3"/>
        <v>79.660800000000009</v>
      </c>
      <c r="L10" s="517"/>
    </row>
    <row r="11" spans="1:12" ht="15" customHeight="1">
      <c r="A11" s="577"/>
      <c r="B11" s="746" t="s">
        <v>286</v>
      </c>
      <c r="C11" s="577" t="s">
        <v>287</v>
      </c>
      <c r="D11" s="577"/>
      <c r="E11" s="577">
        <v>5</v>
      </c>
      <c r="F11" s="1772">
        <v>5</v>
      </c>
      <c r="G11" s="1773">
        <f t="shared" si="0"/>
        <v>3.6880000000000002</v>
      </c>
      <c r="H11" s="1772">
        <f t="shared" si="1"/>
        <v>44.256</v>
      </c>
      <c r="I11" s="520">
        <v>12</v>
      </c>
      <c r="J11" s="739">
        <f t="shared" si="2"/>
        <v>8.8512000000000004</v>
      </c>
      <c r="K11" s="740">
        <f t="shared" si="3"/>
        <v>106.21440000000001</v>
      </c>
      <c r="L11" s="517"/>
    </row>
    <row r="12" spans="1:12" ht="15" customHeight="1">
      <c r="A12" s="577"/>
      <c r="B12" s="746"/>
      <c r="C12" s="577"/>
      <c r="D12" s="577" t="s">
        <v>292</v>
      </c>
      <c r="E12" s="577">
        <v>6</v>
      </c>
      <c r="F12" s="1774">
        <v>1.81</v>
      </c>
      <c r="G12" s="1773">
        <f t="shared" si="0"/>
        <v>1.335056</v>
      </c>
      <c r="H12" s="1772">
        <f t="shared" si="1"/>
        <v>16.020672000000001</v>
      </c>
      <c r="I12" s="577">
        <v>5.5</v>
      </c>
      <c r="J12" s="739">
        <f t="shared" si="2"/>
        <v>4.0568</v>
      </c>
      <c r="K12" s="740">
        <f t="shared" si="3"/>
        <v>48.681600000000003</v>
      </c>
      <c r="L12" s="517"/>
    </row>
    <row r="13" spans="1:12" ht="15" customHeight="1">
      <c r="A13" s="577"/>
      <c r="B13" s="746"/>
      <c r="C13" s="577"/>
      <c r="D13" s="577" t="s">
        <v>293</v>
      </c>
      <c r="E13" s="577">
        <v>7</v>
      </c>
      <c r="F13" s="1774">
        <v>1.81</v>
      </c>
      <c r="G13" s="1773">
        <f t="shared" si="0"/>
        <v>1.335056</v>
      </c>
      <c r="H13" s="1772">
        <f t="shared" si="1"/>
        <v>16.020672000000001</v>
      </c>
      <c r="I13" s="577">
        <v>7</v>
      </c>
      <c r="J13" s="739">
        <f t="shared" si="2"/>
        <v>5.1631999999999998</v>
      </c>
      <c r="K13" s="740">
        <f t="shared" si="3"/>
        <v>61.958399999999997</v>
      </c>
      <c r="L13" s="517"/>
    </row>
    <row r="14" spans="1:12" ht="15" customHeight="1">
      <c r="A14" s="577" t="s">
        <v>508</v>
      </c>
      <c r="B14" s="746"/>
      <c r="C14" s="577"/>
      <c r="D14" s="577"/>
      <c r="E14" s="577">
        <v>8</v>
      </c>
      <c r="F14" s="1774">
        <v>6</v>
      </c>
      <c r="G14" s="1773">
        <f t="shared" si="0"/>
        <v>4.4256000000000002</v>
      </c>
      <c r="H14" s="1772">
        <f t="shared" si="1"/>
        <v>53.107200000000006</v>
      </c>
      <c r="I14" s="577">
        <v>12</v>
      </c>
      <c r="J14" s="739">
        <f t="shared" si="2"/>
        <v>8.8512000000000004</v>
      </c>
      <c r="K14" s="740">
        <f t="shared" si="3"/>
        <v>106.21440000000001</v>
      </c>
      <c r="L14" s="517"/>
    </row>
    <row r="15" spans="1:12" ht="15" customHeight="1">
      <c r="A15" s="1039" t="s">
        <v>509</v>
      </c>
      <c r="B15" s="746"/>
      <c r="C15" s="577"/>
      <c r="D15" s="577"/>
      <c r="E15" s="577">
        <v>9</v>
      </c>
      <c r="F15" s="1774">
        <v>15</v>
      </c>
      <c r="G15" s="1772">
        <f t="shared" si="0"/>
        <v>11.064</v>
      </c>
      <c r="H15" s="1772">
        <f t="shared" si="1"/>
        <v>132.768</v>
      </c>
      <c r="I15" s="577">
        <v>12</v>
      </c>
      <c r="J15" s="739">
        <f>I15*0.7376</f>
        <v>8.8512000000000004</v>
      </c>
      <c r="K15" s="740">
        <f>12*J15</f>
        <v>106.21440000000001</v>
      </c>
      <c r="L15" s="517"/>
    </row>
    <row r="16" spans="1:12" ht="15" customHeight="1">
      <c r="A16" s="1039" t="s">
        <v>472</v>
      </c>
      <c r="B16" s="746"/>
      <c r="C16" s="577"/>
      <c r="D16" s="577"/>
      <c r="E16" s="577">
        <v>10</v>
      </c>
      <c r="F16" s="1774">
        <v>15</v>
      </c>
      <c r="G16" s="1772">
        <f>F16*0.7376</f>
        <v>11.064</v>
      </c>
      <c r="H16" s="1772">
        <f>12*G16</f>
        <v>132.768</v>
      </c>
      <c r="I16" s="577">
        <v>12</v>
      </c>
      <c r="J16" s="739">
        <f>I16*0.7376</f>
        <v>8.8512000000000004</v>
      </c>
      <c r="K16" s="740">
        <f>12*J16</f>
        <v>106.21440000000001</v>
      </c>
      <c r="L16" s="517"/>
    </row>
    <row r="17" spans="1:12" ht="15" customHeight="1">
      <c r="A17" s="583" t="s">
        <v>470</v>
      </c>
      <c r="B17" s="746"/>
      <c r="C17" s="577"/>
      <c r="D17" s="577"/>
      <c r="E17" s="577">
        <v>11</v>
      </c>
      <c r="F17" s="1774">
        <v>6</v>
      </c>
      <c r="G17" s="1773">
        <f>F17*0.7376</f>
        <v>4.4256000000000002</v>
      </c>
      <c r="H17" s="1772">
        <f>12*G17</f>
        <v>53.107200000000006</v>
      </c>
      <c r="I17" s="577">
        <v>12</v>
      </c>
      <c r="J17" s="739">
        <f>I17*0.7376</f>
        <v>8.8512000000000004</v>
      </c>
      <c r="K17" s="740">
        <f>12*J17</f>
        <v>106.21440000000001</v>
      </c>
      <c r="L17" s="517"/>
    </row>
    <row r="18" spans="1:12" ht="15" customHeight="1">
      <c r="A18" s="1039" t="s">
        <v>471</v>
      </c>
      <c r="B18" s="746"/>
      <c r="C18" s="577"/>
      <c r="D18" s="577"/>
      <c r="E18" s="4">
        <v>12</v>
      </c>
      <c r="F18" s="1774">
        <v>15</v>
      </c>
      <c r="G18" s="1772">
        <f>F18*0.7376</f>
        <v>11.064</v>
      </c>
      <c r="H18" s="1772">
        <f>12*G18</f>
        <v>132.768</v>
      </c>
      <c r="I18" s="577">
        <v>12</v>
      </c>
      <c r="J18" s="739">
        <f>I18*0.7376</f>
        <v>8.8512000000000004</v>
      </c>
      <c r="K18" s="740">
        <f>12*J18</f>
        <v>106.21440000000001</v>
      </c>
      <c r="L18" s="517"/>
    </row>
    <row r="19" spans="1:12" ht="15" customHeight="1" thickBot="1">
      <c r="A19" s="200"/>
      <c r="B19" s="747"/>
      <c r="C19" s="200"/>
      <c r="D19" s="200"/>
      <c r="E19" s="200"/>
      <c r="F19" s="1775"/>
      <c r="G19" s="1775"/>
      <c r="H19" s="1775"/>
      <c r="I19" s="200"/>
      <c r="J19" s="200"/>
      <c r="K19" s="512"/>
      <c r="L19" s="515"/>
    </row>
    <row r="21" spans="1:12">
      <c r="E21" s="756" t="s">
        <v>297</v>
      </c>
      <c r="F21" s="757"/>
      <c r="G21" s="730"/>
      <c r="H21" s="758"/>
    </row>
    <row r="22" spans="1:12" ht="15.75">
      <c r="A22" s="754"/>
      <c r="E22" s="729" t="s">
        <v>298</v>
      </c>
      <c r="F22" s="3" t="s">
        <v>288</v>
      </c>
      <c r="G22" s="61" t="s">
        <v>294</v>
      </c>
      <c r="H22" s="3" t="s">
        <v>319</v>
      </c>
    </row>
    <row r="23" spans="1:12" ht="15.75">
      <c r="A23" s="754"/>
      <c r="E23" s="728" t="s">
        <v>299</v>
      </c>
      <c r="F23" s="732">
        <f>0.1129848*H23</f>
        <v>1.8077567999999999</v>
      </c>
      <c r="G23" s="683">
        <f t="shared" ref="G23:G33" si="4">F23*0.7376</f>
        <v>1.33340141568</v>
      </c>
      <c r="H23" s="759">
        <v>16</v>
      </c>
    </row>
    <row r="24" spans="1:12" ht="15.75">
      <c r="A24" s="754"/>
      <c r="E24" s="728" t="s">
        <v>300</v>
      </c>
      <c r="F24" s="732">
        <f t="shared" ref="F24:F33" si="5">0.1129848*H24</f>
        <v>2.0337263999999999</v>
      </c>
      <c r="G24" s="683">
        <f t="shared" si="4"/>
        <v>1.5000765926399999</v>
      </c>
      <c r="H24" s="727">
        <v>18</v>
      </c>
    </row>
    <row r="25" spans="1:12" ht="15.75">
      <c r="A25" s="754" t="s">
        <v>312</v>
      </c>
      <c r="B25" s="754" t="s">
        <v>316</v>
      </c>
      <c r="C25" s="754" t="s">
        <v>652</v>
      </c>
      <c r="E25" s="728" t="s">
        <v>301</v>
      </c>
      <c r="F25" s="732">
        <f t="shared" si="5"/>
        <v>3.3895439999999999</v>
      </c>
      <c r="G25" s="683">
        <f t="shared" si="4"/>
        <v>2.5001276544</v>
      </c>
      <c r="H25" s="727">
        <v>30</v>
      </c>
    </row>
    <row r="26" spans="1:12">
      <c r="E26" s="728" t="s">
        <v>302</v>
      </c>
      <c r="F26" s="732">
        <f t="shared" si="5"/>
        <v>3.5025287999999999</v>
      </c>
      <c r="G26" s="683">
        <f t="shared" si="4"/>
        <v>2.58346524288</v>
      </c>
      <c r="H26" s="727">
        <v>31</v>
      </c>
    </row>
    <row r="27" spans="1:12">
      <c r="E27" s="728" t="s">
        <v>303</v>
      </c>
      <c r="F27" s="732">
        <f t="shared" si="5"/>
        <v>4.8583464000000003</v>
      </c>
      <c r="G27" s="683">
        <f t="shared" si="4"/>
        <v>3.5835163046400003</v>
      </c>
      <c r="H27" s="727">
        <v>43</v>
      </c>
      <c r="K27" s="4"/>
    </row>
    <row r="28" spans="1:12" ht="15.75">
      <c r="A28" s="754"/>
      <c r="E28" s="728" t="s">
        <v>304</v>
      </c>
      <c r="F28" s="732">
        <f t="shared" si="5"/>
        <v>5.5362551999999994</v>
      </c>
      <c r="G28" s="683">
        <f t="shared" si="4"/>
        <v>4.0835418355200002</v>
      </c>
      <c r="H28" s="727">
        <v>49</v>
      </c>
    </row>
    <row r="29" spans="1:12" ht="15.75">
      <c r="A29" s="754"/>
      <c r="E29" s="731" t="s">
        <v>305</v>
      </c>
      <c r="F29" s="727">
        <f t="shared" si="5"/>
        <v>10.8465408</v>
      </c>
      <c r="G29" s="683">
        <f t="shared" si="4"/>
        <v>8.0004084940800002</v>
      </c>
      <c r="H29" s="727">
        <v>96</v>
      </c>
    </row>
    <row r="30" spans="1:12" ht="15.75">
      <c r="A30" s="754"/>
      <c r="E30" s="728" t="s">
        <v>306</v>
      </c>
      <c r="F30" s="727">
        <f t="shared" si="5"/>
        <v>23.048899200000001</v>
      </c>
      <c r="G30" s="683">
        <f t="shared" si="4"/>
        <v>17.000868049920001</v>
      </c>
      <c r="H30" s="727">
        <v>204</v>
      </c>
    </row>
    <row r="31" spans="1:12" ht="15.75">
      <c r="A31" s="754" t="s">
        <v>313</v>
      </c>
      <c r="B31" s="754" t="s">
        <v>317</v>
      </c>
      <c r="C31" s="754" t="s">
        <v>654</v>
      </c>
      <c r="E31" s="3" t="s">
        <v>307</v>
      </c>
      <c r="F31" s="727">
        <f t="shared" si="5"/>
        <v>40.674527999999995</v>
      </c>
      <c r="G31" s="683">
        <f t="shared" si="4"/>
        <v>30.001531852799999</v>
      </c>
      <c r="H31" s="3">
        <v>360</v>
      </c>
    </row>
    <row r="32" spans="1:12">
      <c r="E32" s="3" t="s">
        <v>308</v>
      </c>
      <c r="F32" s="727">
        <f t="shared" si="5"/>
        <v>67.790880000000001</v>
      </c>
      <c r="G32" s="683">
        <f t="shared" si="4"/>
        <v>50.002553088000006</v>
      </c>
      <c r="H32" s="3">
        <v>600</v>
      </c>
    </row>
    <row r="33" spans="1:9">
      <c r="E33" s="3" t="s">
        <v>309</v>
      </c>
      <c r="F33" s="727">
        <f t="shared" si="5"/>
        <v>101.68631999999999</v>
      </c>
      <c r="G33" s="683">
        <f t="shared" si="4"/>
        <v>75.003829632000006</v>
      </c>
      <c r="H33" s="3">
        <v>900</v>
      </c>
    </row>
    <row r="34" spans="1:9" ht="15.75">
      <c r="A34" s="754"/>
      <c r="E34" s="3"/>
      <c r="F34" s="3"/>
      <c r="G34" s="3"/>
      <c r="H34" s="3"/>
    </row>
    <row r="35" spans="1:9" ht="15.75">
      <c r="A35" s="754"/>
      <c r="E35" s="3"/>
      <c r="F35" s="3"/>
      <c r="G35" s="3"/>
      <c r="H35" s="3"/>
    </row>
    <row r="36" spans="1:9" ht="15.75">
      <c r="A36" s="754"/>
      <c r="E36" s="3"/>
      <c r="F36" s="3"/>
      <c r="G36" s="3"/>
      <c r="H36" s="3"/>
    </row>
    <row r="37" spans="1:9" ht="15.75">
      <c r="A37" s="754" t="s">
        <v>314</v>
      </c>
      <c r="B37" s="754" t="s">
        <v>318</v>
      </c>
      <c r="C37" s="754" t="s">
        <v>653</v>
      </c>
      <c r="E37" s="3"/>
      <c r="F37" s="3"/>
      <c r="G37" s="3"/>
      <c r="H37" s="3"/>
    </row>
    <row r="39" spans="1:9" ht="15.75">
      <c r="A39" s="755"/>
    </row>
    <row r="40" spans="1:9" ht="15.75">
      <c r="A40" s="754"/>
    </row>
    <row r="42" spans="1:9" ht="15.75">
      <c r="A42" s="754" t="s">
        <v>315</v>
      </c>
      <c r="B42" s="754" t="s">
        <v>650</v>
      </c>
    </row>
    <row r="43" spans="1:9" ht="15.75">
      <c r="A43" s="754"/>
      <c r="C43" s="754" t="s">
        <v>655</v>
      </c>
    </row>
    <row r="46" spans="1:9" ht="15.75">
      <c r="A46" s="625"/>
      <c r="I46"/>
    </row>
    <row r="47" spans="1:9" ht="15.75">
      <c r="A47" s="754"/>
      <c r="I47"/>
    </row>
    <row r="48" spans="1:9" ht="15.75">
      <c r="A48" s="754"/>
    </row>
    <row r="49" spans="1:1" ht="15.75">
      <c r="A49" s="754"/>
    </row>
    <row r="50" spans="1:1" ht="15.75">
      <c r="A50" s="754"/>
    </row>
    <row r="58" spans="1:1">
      <c r="A58" s="628"/>
    </row>
  </sheetData>
  <phoneticPr fontId="2" type="noConversion"/>
  <pageMargins left="0.75" right="0.21" top="0.17" bottom="0.2" header="0.19" footer="0.13"/>
  <pageSetup orientation="landscape" horizontalDpi="4294967295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Y130"/>
  <sheetViews>
    <sheetView topLeftCell="D96" zoomScale="90" zoomScaleNormal="90" workbookViewId="0">
      <pane xSplit="8" topLeftCell="L1" activePane="topRight" state="frozen"/>
      <selection activeCell="D91" sqref="D91"/>
      <selection pane="topRight" activeCell="F119" sqref="F119"/>
    </sheetView>
  </sheetViews>
  <sheetFormatPr baseColWidth="10" defaultColWidth="9.140625" defaultRowHeight="15"/>
  <cols>
    <col min="6" max="6" width="9.28515625" bestFit="1" customWidth="1"/>
    <col min="27" max="27" width="9.140625" style="1908" customWidth="1"/>
    <col min="38" max="38" width="10" bestFit="1" customWidth="1"/>
    <col min="42" max="42" width="11.7109375" customWidth="1"/>
  </cols>
  <sheetData>
    <row r="1" spans="1:51">
      <c r="A1" t="s">
        <v>663</v>
      </c>
    </row>
    <row r="2" spans="1:51" ht="15.75" thickBot="1"/>
    <row r="3" spans="1:51" ht="45.75">
      <c r="A3" s="1648" t="s">
        <v>613</v>
      </c>
      <c r="B3" s="1613"/>
      <c r="C3" s="1617"/>
      <c r="D3" s="1613"/>
      <c r="E3" s="1613"/>
      <c r="F3" s="1623" t="s">
        <v>644</v>
      </c>
      <c r="G3" s="1609"/>
      <c r="H3" s="1609"/>
      <c r="I3" s="1610"/>
      <c r="J3" s="1663"/>
      <c r="K3" s="1647" t="s">
        <v>520</v>
      </c>
      <c r="L3" s="1585"/>
      <c r="M3" s="1609"/>
      <c r="N3" s="1609"/>
      <c r="O3" s="1612"/>
      <c r="P3" s="1609"/>
      <c r="Q3" s="1609"/>
      <c r="R3" s="1609"/>
      <c r="S3" s="1610"/>
      <c r="T3" s="1629" t="s">
        <v>614</v>
      </c>
      <c r="U3" s="1629"/>
      <c r="V3" s="1621"/>
      <c r="W3" s="1609"/>
      <c r="X3" s="1609"/>
      <c r="Y3" s="1609"/>
      <c r="Z3" s="1620"/>
      <c r="AA3" s="1909"/>
      <c r="AB3" s="1610"/>
      <c r="AC3" s="1573"/>
      <c r="AD3" s="1641" t="s">
        <v>643</v>
      </c>
      <c r="AE3" s="1615"/>
      <c r="AF3" s="1625" t="s">
        <v>615</v>
      </c>
      <c r="AG3" s="1642"/>
      <c r="AH3" s="1606"/>
      <c r="AI3" s="1570"/>
      <c r="AJ3" s="1570"/>
      <c r="AK3" s="1570"/>
      <c r="AL3" s="1570"/>
      <c r="AO3" s="155" t="s">
        <v>661</v>
      </c>
      <c r="AV3" s="155" t="s">
        <v>662</v>
      </c>
    </row>
    <row r="4" spans="1:51" ht="63.75" thickBot="1">
      <c r="A4" s="1597" t="s">
        <v>573</v>
      </c>
      <c r="B4" s="1577" t="s">
        <v>616</v>
      </c>
      <c r="C4" s="1689" t="s">
        <v>574</v>
      </c>
      <c r="D4" s="1577" t="s">
        <v>617</v>
      </c>
      <c r="E4" s="1690" t="s">
        <v>618</v>
      </c>
      <c r="F4" s="1627" t="s">
        <v>619</v>
      </c>
      <c r="G4" s="1578" t="s">
        <v>620</v>
      </c>
      <c r="H4" s="1578" t="s">
        <v>621</v>
      </c>
      <c r="I4" s="1593" t="s">
        <v>622</v>
      </c>
      <c r="J4" s="1664"/>
      <c r="K4" s="1586" t="s">
        <v>523</v>
      </c>
      <c r="L4" s="1578" t="s">
        <v>524</v>
      </c>
      <c r="M4" s="1578" t="s">
        <v>525</v>
      </c>
      <c r="N4" s="1580" t="s">
        <v>575</v>
      </c>
      <c r="O4" s="1580" t="s">
        <v>623</v>
      </c>
      <c r="P4" s="1580" t="s">
        <v>624</v>
      </c>
      <c r="Q4" s="1580" t="s">
        <v>625</v>
      </c>
      <c r="R4" s="1576" t="s">
        <v>626</v>
      </c>
      <c r="S4" s="1587" t="s">
        <v>627</v>
      </c>
      <c r="T4" s="1630" t="s">
        <v>628</v>
      </c>
      <c r="U4" s="1630" t="s">
        <v>143</v>
      </c>
      <c r="V4" s="1616" t="s">
        <v>629</v>
      </c>
      <c r="W4" s="1578" t="s">
        <v>630</v>
      </c>
      <c r="X4" s="1578" t="s">
        <v>631</v>
      </c>
      <c r="Y4" s="1578" t="s">
        <v>632</v>
      </c>
      <c r="Z4" s="1691" t="s">
        <v>646</v>
      </c>
      <c r="AA4" s="1910" t="s">
        <v>667</v>
      </c>
      <c r="AB4" s="1614" t="s">
        <v>577</v>
      </c>
      <c r="AC4" s="1571"/>
      <c r="AD4" s="1597" t="s">
        <v>633</v>
      </c>
      <c r="AE4" s="1579" t="s">
        <v>634</v>
      </c>
      <c r="AF4" s="1616" t="s">
        <v>635</v>
      </c>
      <c r="AG4" s="1587" t="s">
        <v>243</v>
      </c>
      <c r="AH4" s="1694"/>
      <c r="AI4" s="1571"/>
      <c r="AJ4" s="1632"/>
      <c r="AK4" s="1633"/>
      <c r="AL4" s="1633"/>
      <c r="AO4" s="1794" t="s">
        <v>656</v>
      </c>
      <c r="AQ4" s="1799" t="s">
        <v>657</v>
      </c>
      <c r="AR4" s="1799" t="s">
        <v>658</v>
      </c>
      <c r="AU4" s="1794" t="s">
        <v>660</v>
      </c>
    </row>
    <row r="5" spans="1:51" ht="42.75" thickBot="1">
      <c r="A5" s="1650"/>
      <c r="B5" s="1651"/>
      <c r="C5" s="1652"/>
      <c r="D5" s="1651"/>
      <c r="E5" s="1651"/>
      <c r="F5" s="1653" t="s">
        <v>22</v>
      </c>
      <c r="G5" s="1653" t="s">
        <v>22</v>
      </c>
      <c r="H5" s="1653"/>
      <c r="I5" s="1654" t="s">
        <v>22</v>
      </c>
      <c r="J5" s="1665"/>
      <c r="K5" s="1655"/>
      <c r="L5" s="1653" t="s">
        <v>22</v>
      </c>
      <c r="M5" s="1653" t="s">
        <v>22</v>
      </c>
      <c r="N5" s="1653" t="s">
        <v>22</v>
      </c>
      <c r="O5" s="1656" t="s">
        <v>636</v>
      </c>
      <c r="P5" s="1651" t="s">
        <v>53</v>
      </c>
      <c r="Q5" s="1657" t="s">
        <v>535</v>
      </c>
      <c r="R5" s="1651" t="s">
        <v>536</v>
      </c>
      <c r="S5" s="1658" t="s">
        <v>536</v>
      </c>
      <c r="T5" s="1660" t="s">
        <v>477</v>
      </c>
      <c r="U5" s="1660"/>
      <c r="V5" s="1661" t="s">
        <v>637</v>
      </c>
      <c r="W5" s="1653" t="s">
        <v>275</v>
      </c>
      <c r="X5" s="1653" t="s">
        <v>275</v>
      </c>
      <c r="Y5" s="1653" t="s">
        <v>275</v>
      </c>
      <c r="Z5" s="1652" t="s">
        <v>638</v>
      </c>
      <c r="AA5" s="1911" t="s">
        <v>668</v>
      </c>
      <c r="AB5" s="1658" t="s">
        <v>534</v>
      </c>
      <c r="AC5" s="1571"/>
      <c r="AD5" s="1643" t="s">
        <v>639</v>
      </c>
      <c r="AE5" s="1565" t="s">
        <v>528</v>
      </c>
      <c r="AF5" s="1644" t="s">
        <v>640</v>
      </c>
      <c r="AG5" s="1732" t="s">
        <v>641</v>
      </c>
      <c r="AH5" s="1736" t="s">
        <v>578</v>
      </c>
      <c r="AI5" s="1737"/>
      <c r="AJ5" s="1738" t="s">
        <v>608</v>
      </c>
      <c r="AK5" s="1738" t="s">
        <v>137</v>
      </c>
      <c r="AL5" s="1738" t="s">
        <v>648</v>
      </c>
      <c r="AM5" s="1247" t="s">
        <v>649</v>
      </c>
      <c r="AO5" s="1653" t="s">
        <v>22</v>
      </c>
      <c r="AQ5" s="1653" t="s">
        <v>22</v>
      </c>
      <c r="AR5" s="1653" t="s">
        <v>22</v>
      </c>
      <c r="AS5" s="1798" t="s">
        <v>659</v>
      </c>
      <c r="AX5" s="1812" t="s">
        <v>7</v>
      </c>
      <c r="AY5" s="1809" t="s">
        <v>13</v>
      </c>
    </row>
    <row r="6" spans="1:51" s="1849" customFormat="1" ht="18.75">
      <c r="A6" s="1820">
        <v>3</v>
      </c>
      <c r="B6" s="1821">
        <f>IF(A6=3,6,IF(A6=1,4,IF(A6="bd",1,IF(A6="fwd",1,"Circuit Type"))))</f>
        <v>6</v>
      </c>
      <c r="C6" s="1822">
        <v>1</v>
      </c>
      <c r="D6" s="1823">
        <f>B6/C6</f>
        <v>6</v>
      </c>
      <c r="E6" s="1823">
        <v>3</v>
      </c>
      <c r="F6" s="1824">
        <f>IF(A6=3,3*G6,IF(A6=1,2*G6,IF(A6="bd",1*G6,IF(A6="fwd",1,"Error"))))</f>
        <v>171.90413796890823</v>
      </c>
      <c r="G6" s="1825">
        <f>(-AE6+SQRT(AG6))/2/AD6</f>
        <v>57.30137932296941</v>
      </c>
      <c r="H6" s="1826">
        <f>IF(A6=3,SQRT(3),IF(A6=1,SQRT(2),1))</f>
        <v>1.7320508075688772</v>
      </c>
      <c r="I6" s="1827">
        <f>H6*G6</f>
        <v>99.248900331159732</v>
      </c>
      <c r="J6" s="1828" t="s">
        <v>548</v>
      </c>
      <c r="K6" s="1829" t="s">
        <v>549</v>
      </c>
      <c r="L6" s="1830">
        <v>90</v>
      </c>
      <c r="M6" s="1830">
        <v>150</v>
      </c>
      <c r="N6" s="1830">
        <v>1950</v>
      </c>
      <c r="O6" s="1831">
        <v>125</v>
      </c>
      <c r="P6" s="1832">
        <v>0.9</v>
      </c>
      <c r="Q6" s="1832">
        <v>2</v>
      </c>
      <c r="R6" s="1832">
        <v>0.28000000000000003</v>
      </c>
      <c r="S6" s="1833">
        <v>0.2</v>
      </c>
      <c r="T6" s="1834">
        <v>15</v>
      </c>
      <c r="U6" s="1835" t="s">
        <v>645</v>
      </c>
      <c r="V6" s="1836">
        <f>IF(E6=1,IF(U6="N",LOOKUP(T6,'HS250-DATA'!C$7:C$10,'HS250-DATA'!D$7:D$10),IF(U6="Y",LOOKUP(T6,'HS250-DATA'!C$22:C$25,'HS250-DATA'!D$22:D$25),"FAN?")),IF(U6="N",LOOKUP(T6,'HS250-DATA'!C$14:C$17,'HS250-DATA'!D$14:D$17),IF(U6="Y",LOOKUP(T6,'HS250-DATA'!C$29:C$32,'HS250-DATA'!D$29:D$32),"FAN?")))</f>
        <v>7.1999999999999995E-2</v>
      </c>
      <c r="W6" s="1837">
        <f>(G6*H6)^2*Q6*10^-3+G6*P6</f>
        <v>71.271929824561425</v>
      </c>
      <c r="X6" s="1837">
        <f>D6*W6</f>
        <v>427.63157894736855</v>
      </c>
      <c r="Y6" s="1837">
        <f>IF(A6=3,W6*6,IF(A6=1,W6*4,W6))</f>
        <v>427.63157894736855</v>
      </c>
      <c r="Z6" s="1838">
        <f>O6-5</f>
        <v>120</v>
      </c>
      <c r="AA6" s="1912">
        <f>D6*W6*V6+AB6</f>
        <v>85.789473684210535</v>
      </c>
      <c r="AB6" s="1839">
        <v>55</v>
      </c>
      <c r="AC6" s="1840"/>
      <c r="AD6" s="1841">
        <f>Q6*10^-3*H6^2</f>
        <v>5.9999999999999993E-3</v>
      </c>
      <c r="AE6" s="1842">
        <f>P6</f>
        <v>0.9</v>
      </c>
      <c r="AF6" s="1843">
        <f>(AB6-Z6)/(R6+S6+D6*V6)</f>
        <v>-71.271929824561411</v>
      </c>
      <c r="AG6" s="1844">
        <f>AE6^2-4*AD6*AF6</f>
        <v>2.5205263157894739</v>
      </c>
      <c r="AH6" s="1845">
        <f>SUM(AJ6:AL6)</f>
        <v>79.260000000000005</v>
      </c>
      <c r="AI6" s="1846"/>
      <c r="AJ6" s="1847">
        <f>C6*LOOKUP(T6,'HS250-DATA'!C$7:C$10,'HS250-DATA'!F$7:F$10)</f>
        <v>28.26</v>
      </c>
      <c r="AK6" s="1847">
        <f>IF(U6="Y",C6*12,0)</f>
        <v>12</v>
      </c>
      <c r="AL6" s="1847">
        <f>C6*E6*VLOOKUP(K6,'SCR-Diode DATA'!D$7:M$43,10,FALSE)</f>
        <v>39</v>
      </c>
      <c r="AM6" s="1848">
        <f>AH6/F6</f>
        <v>0.46107092555465717</v>
      </c>
      <c r="AO6" s="1850">
        <f>0.4*F6</f>
        <v>68.761655187563292</v>
      </c>
      <c r="AP6" s="1851" t="s">
        <v>569</v>
      </c>
      <c r="AQ6" s="1850">
        <f>1.8*F6</f>
        <v>309.42744834403481</v>
      </c>
      <c r="AR6" s="1849">
        <v>350</v>
      </c>
      <c r="AS6" s="1849">
        <f>LOOKUP(AR6,'FUSE DATA'!X$8:X$43,'FUSE DATA'!Y$8:Y$43)</f>
        <v>1724</v>
      </c>
      <c r="AT6" s="1852">
        <f>AR6/F6</f>
        <v>2.0360184701505175</v>
      </c>
      <c r="AU6" s="1852" t="str">
        <f>IF(AS6&lt;1950,"F1892Sxxxx",IF(AS6&lt;3350,"CS61xx16B",IF(A6&lt;7340,"ND41xx35",IF(A6&lt;19000,"LS41xx60","PS41xx25"))))</f>
        <v>F1892Sxxxx</v>
      </c>
      <c r="AX6" s="1853">
        <v>60</v>
      </c>
      <c r="AY6" s="1854">
        <v>269</v>
      </c>
    </row>
    <row r="7" spans="1:51" s="1849" customFormat="1" ht="18.75">
      <c r="A7" s="1820"/>
      <c r="B7" s="1821"/>
      <c r="C7" s="1822"/>
      <c r="D7" s="1823"/>
      <c r="E7" s="1823"/>
      <c r="F7" s="1824">
        <v>150</v>
      </c>
      <c r="G7" s="1825"/>
      <c r="H7" s="1826"/>
      <c r="I7" s="1827"/>
      <c r="J7" s="1828"/>
      <c r="K7" s="1829"/>
      <c r="L7" s="1830"/>
      <c r="M7" s="1830"/>
      <c r="N7" s="1830"/>
      <c r="O7" s="1831"/>
      <c r="P7" s="1832"/>
      <c r="Q7" s="1832"/>
      <c r="R7" s="1832"/>
      <c r="S7" s="1833"/>
      <c r="T7" s="1834"/>
      <c r="U7" s="1835"/>
      <c r="V7" s="1836"/>
      <c r="W7" s="1837"/>
      <c r="X7" s="1837"/>
      <c r="Y7" s="1837"/>
      <c r="Z7" s="1838"/>
      <c r="AA7" s="1912"/>
      <c r="AB7" s="1839"/>
      <c r="AC7" s="1840"/>
      <c r="AD7" s="1841"/>
      <c r="AE7" s="1842"/>
      <c r="AF7" s="1843"/>
      <c r="AG7" s="1844"/>
      <c r="AH7" s="1845"/>
      <c r="AI7" s="1846"/>
      <c r="AJ7" s="1847"/>
      <c r="AK7" s="1847"/>
      <c r="AL7" s="1847"/>
      <c r="AM7" s="1848"/>
      <c r="AO7" s="1850"/>
      <c r="AP7" s="1851"/>
      <c r="AQ7" s="1850">
        <f>1.8*F7</f>
        <v>270</v>
      </c>
      <c r="AR7" s="1849">
        <v>275</v>
      </c>
      <c r="AS7" s="1849">
        <f>LOOKUP(AR7,'FUSE DATA'!X$8:X$43,'FUSE DATA'!Y$8:Y$43)</f>
        <v>1196</v>
      </c>
      <c r="AT7" s="1852">
        <f>AR7/F7</f>
        <v>1.8333333333333333</v>
      </c>
      <c r="AU7" s="1852" t="str">
        <f>IF(AS7&lt;1950,"F1892Sxxxx",IF(AS7&lt;3350,"CS61xx16B",IF(A7&lt;7340,"ND41xx35",IF(A7&lt;19000,"LS41xx60","PS41xx25"))))</f>
        <v>F1892Sxxxx</v>
      </c>
      <c r="AX7" s="1853"/>
      <c r="AY7" s="1854"/>
    </row>
    <row r="8" spans="1:51" ht="18.75">
      <c r="A8" s="1598"/>
      <c r="B8" s="1533"/>
      <c r="C8" s="1600"/>
      <c r="D8" s="1575"/>
      <c r="E8" s="1575"/>
      <c r="F8" s="1611"/>
      <c r="G8" s="1582"/>
      <c r="H8" s="1583"/>
      <c r="I8" s="1594"/>
      <c r="J8" s="1680"/>
      <c r="K8" s="1418"/>
      <c r="L8" s="1419"/>
      <c r="M8" s="1419"/>
      <c r="N8" s="1419"/>
      <c r="O8" s="1412"/>
      <c r="P8" s="1416"/>
      <c r="Q8" s="1416"/>
      <c r="R8" s="1416"/>
      <c r="S8" s="1687"/>
      <c r="T8" s="1624"/>
      <c r="U8" s="1616"/>
      <c r="V8" s="1622"/>
      <c r="W8" s="1602"/>
      <c r="X8" s="1602"/>
      <c r="Y8" s="1602"/>
      <c r="Z8" s="1579"/>
      <c r="AA8" s="1913"/>
      <c r="AB8" s="1588"/>
      <c r="AC8" s="1570"/>
      <c r="AD8" s="1754"/>
      <c r="AE8" s="1634"/>
      <c r="AF8" s="1635"/>
      <c r="AG8" s="1646"/>
      <c r="AH8" s="1741"/>
      <c r="AI8" s="1607"/>
      <c r="AJ8" s="1733"/>
      <c r="AK8" s="1733"/>
      <c r="AL8" s="1733"/>
      <c r="AM8" s="507"/>
      <c r="AO8" s="24"/>
      <c r="AP8" s="1432"/>
      <c r="AQ8" s="24"/>
      <c r="AT8" s="1795"/>
      <c r="AU8" s="1795"/>
      <c r="AX8" s="1804"/>
      <c r="AY8" s="1803"/>
    </row>
    <row r="9" spans="1:51" ht="18.75">
      <c r="A9" s="1598">
        <v>1</v>
      </c>
      <c r="B9" s="1533">
        <f>IF(A9=3,6,IF(A9=1,4,IF(A9="bd",1,IF(A9="fwd",1,"Circuit Type"))))</f>
        <v>4</v>
      </c>
      <c r="C9" s="1600">
        <v>1</v>
      </c>
      <c r="D9" s="1575">
        <f>B9/C9</f>
        <v>4</v>
      </c>
      <c r="E9" s="1575">
        <v>2</v>
      </c>
      <c r="F9" s="1611">
        <f>IF(A9=3,3*G9,IF(A9=1,2*G9,IF(A9="bd",1*G9,IF(A9="fwd",1,"Error"))))</f>
        <v>142.77767287678932</v>
      </c>
      <c r="G9" s="1582">
        <f>(-AE9+SQRT(AG9))/2/AD9</f>
        <v>71.388836438394662</v>
      </c>
      <c r="H9" s="1583">
        <f>IF(A9=3,SQRT(3),IF(A9=1,SQRT(2),1))</f>
        <v>1.4142135623730951</v>
      </c>
      <c r="I9" s="1594">
        <f>H9*G9</f>
        <v>100.95906069321234</v>
      </c>
      <c r="J9" s="1680" t="s">
        <v>552</v>
      </c>
      <c r="K9" s="1418" t="s">
        <v>553</v>
      </c>
      <c r="L9" s="1419">
        <v>90</v>
      </c>
      <c r="M9" s="1419">
        <v>150</v>
      </c>
      <c r="N9" s="1419">
        <v>1950</v>
      </c>
      <c r="O9" s="1412">
        <v>125</v>
      </c>
      <c r="P9" s="1416">
        <v>0.9</v>
      </c>
      <c r="Q9" s="1416">
        <v>2</v>
      </c>
      <c r="R9" s="1416">
        <v>0.28000000000000003</v>
      </c>
      <c r="S9" s="1687">
        <v>0.2</v>
      </c>
      <c r="T9" s="1624">
        <v>15</v>
      </c>
      <c r="U9" s="1616" t="s">
        <v>645</v>
      </c>
      <c r="V9" s="1622">
        <f>IF(E9=1,IF(U9="N",LOOKUP(T9,'HS250-DATA'!C$7:C$10,'HS250-DATA'!D$7:D$10),IF(U9="Y",LOOKUP(T9,'HS250-DATA'!C$22:C$25,'HS250-DATA'!D$22:D$25),"FAN?")),IF(U9="N",LOOKUP(T9,'HS250-DATA'!C$14:C$17,'HS250-DATA'!D$14:D$17),IF(U9="Y",LOOKUP(T9,'HS250-DATA'!C$29:C$32,'HS250-DATA'!D$29:D$32),"FAN?")))</f>
        <v>7.1999999999999995E-2</v>
      </c>
      <c r="W9" s="1602">
        <f>(G9*H9)^2*Q9*10^-3+G9*P9</f>
        <v>84.635416666666657</v>
      </c>
      <c r="X9" s="1602">
        <f>D9*W9</f>
        <v>338.54166666666663</v>
      </c>
      <c r="Y9" s="1602">
        <f>IF(A9=3,W9*6,IF(A9=1,W9*4,W9))</f>
        <v>338.54166666666663</v>
      </c>
      <c r="Z9" s="1579">
        <f>O9-5</f>
        <v>120</v>
      </c>
      <c r="AA9" s="1913">
        <f>D9*W9*V9+AB9</f>
        <v>79.375</v>
      </c>
      <c r="AB9" s="1588">
        <v>55</v>
      </c>
      <c r="AC9" s="1570"/>
      <c r="AD9" s="1754">
        <f>Q9*10^-3*H9^2</f>
        <v>4.000000000000001E-3</v>
      </c>
      <c r="AE9" s="1634">
        <f>P9</f>
        <v>0.9</v>
      </c>
      <c r="AF9" s="1635">
        <f>(AB9-Z9)/(R9+S9+D9*V9)</f>
        <v>-84.635416666666671</v>
      </c>
      <c r="AG9" s="1646">
        <f>AE9^2-4*AD9*AF9</f>
        <v>2.164166666666667</v>
      </c>
      <c r="AH9" s="1741">
        <f>SUM(AJ9:AL9)</f>
        <v>66.260000000000005</v>
      </c>
      <c r="AI9" s="1607"/>
      <c r="AJ9" s="1733">
        <f>C9*LOOKUP(T9,'HS250-DATA'!C$7:C$10,'HS250-DATA'!F$7:F$10)</f>
        <v>28.26</v>
      </c>
      <c r="AK9" s="1733">
        <f>IF(U9="Y",C9*12,0)</f>
        <v>12</v>
      </c>
      <c r="AL9" s="1733">
        <f>C9*E9*VLOOKUP(K9,'SCR-Diode DATA'!D$7:M$43,10,FALSE)</f>
        <v>26</v>
      </c>
      <c r="AM9" s="507">
        <f>AH9/F9</f>
        <v>0.46407816197690371</v>
      </c>
      <c r="AO9" s="24">
        <f>0.4*F9</f>
        <v>57.111069150715736</v>
      </c>
      <c r="AP9" s="1432" t="s">
        <v>569</v>
      </c>
      <c r="AQ9" s="24">
        <f>1.8*F9</f>
        <v>256.9998111782208</v>
      </c>
      <c r="AR9">
        <v>275</v>
      </c>
      <c r="AS9">
        <f>LOOKUP(AR9,'FUSE DATA'!X$8:X$43,'FUSE DATA'!Y$8:Y$43)</f>
        <v>1196</v>
      </c>
      <c r="AT9" s="1795">
        <f>AR9/F9</f>
        <v>1.9260714540242756</v>
      </c>
      <c r="AU9" s="1795" t="str">
        <f>IF(AS9&lt;1950,"F1892Sxxxx",IF(AS9&lt;3350,"CS61xx16B",IF(A9&lt;7340,"ND41xx35",IF(A9&lt;19000,"LS41xx60","PS41xx25"))))</f>
        <v>F1892Sxxxx</v>
      </c>
      <c r="AX9" s="1804">
        <v>80</v>
      </c>
      <c r="AY9" s="1802">
        <v>349</v>
      </c>
    </row>
    <row r="10" spans="1:51" ht="18.75">
      <c r="A10" s="1598"/>
      <c r="B10" s="1533"/>
      <c r="C10" s="1600"/>
      <c r="D10" s="1575"/>
      <c r="E10" s="1575"/>
      <c r="F10" s="1611"/>
      <c r="G10" s="1582"/>
      <c r="H10" s="1583"/>
      <c r="I10" s="1594"/>
      <c r="J10" s="1680"/>
      <c r="K10" s="1418"/>
      <c r="L10" s="1419"/>
      <c r="M10" s="1419"/>
      <c r="N10" s="1419"/>
      <c r="O10" s="1412"/>
      <c r="P10" s="1416"/>
      <c r="Q10" s="1416"/>
      <c r="R10" s="1416"/>
      <c r="S10" s="1687"/>
      <c r="T10" s="1624"/>
      <c r="U10" s="1616"/>
      <c r="V10" s="1622"/>
      <c r="W10" s="1602"/>
      <c r="X10" s="1602"/>
      <c r="Y10" s="1602"/>
      <c r="Z10" s="1579"/>
      <c r="AA10" s="1913"/>
      <c r="AB10" s="1588"/>
      <c r="AC10" s="1570"/>
      <c r="AD10" s="1754"/>
      <c r="AE10" s="1634"/>
      <c r="AF10" s="1635"/>
      <c r="AG10" s="1646"/>
      <c r="AH10" s="1741"/>
      <c r="AI10" s="1607"/>
      <c r="AJ10" s="1733"/>
      <c r="AK10" s="1733"/>
      <c r="AL10" s="1733"/>
      <c r="AM10" s="507"/>
      <c r="AO10" s="24"/>
      <c r="AP10" s="1819"/>
      <c r="AQ10" s="24"/>
      <c r="AT10" s="1795"/>
      <c r="AU10" s="1795"/>
      <c r="AX10" s="1804"/>
      <c r="AY10" s="1802"/>
    </row>
    <row r="11" spans="1:51" ht="18.75">
      <c r="A11" s="1598"/>
      <c r="B11" s="1533"/>
      <c r="C11" s="1600"/>
      <c r="D11" s="1575"/>
      <c r="E11" s="1575"/>
      <c r="F11" s="1611"/>
      <c r="G11" s="1582"/>
      <c r="H11" s="1583"/>
      <c r="I11" s="1594"/>
      <c r="J11" s="1680"/>
      <c r="K11" s="1418"/>
      <c r="L11" s="1419"/>
      <c r="M11" s="1419"/>
      <c r="N11" s="1419"/>
      <c r="O11" s="1412"/>
      <c r="P11" s="1416"/>
      <c r="Q11" s="1416"/>
      <c r="R11" s="1416"/>
      <c r="S11" s="1687"/>
      <c r="T11" s="1624"/>
      <c r="U11" s="1616"/>
      <c r="V11" s="1622"/>
      <c r="W11" s="1602"/>
      <c r="X11" s="1602"/>
      <c r="Y11" s="1602"/>
      <c r="Z11" s="1579"/>
      <c r="AA11" s="1913"/>
      <c r="AB11" s="1588"/>
      <c r="AC11" s="1570"/>
      <c r="AD11" s="1754"/>
      <c r="AE11" s="1634"/>
      <c r="AF11" s="1635"/>
      <c r="AG11" s="1646"/>
      <c r="AH11" s="1742"/>
      <c r="AI11" s="1607"/>
      <c r="AJ11" s="1607"/>
      <c r="AK11" s="1607"/>
      <c r="AL11" s="1733"/>
      <c r="AM11" s="1743"/>
      <c r="AQ11" s="24"/>
      <c r="AX11" s="1804">
        <v>100</v>
      </c>
      <c r="AY11" s="1802">
        <v>461</v>
      </c>
    </row>
    <row r="12" spans="1:51" s="1873" customFormat="1" ht="18.75">
      <c r="A12" s="1820">
        <v>3</v>
      </c>
      <c r="B12" s="1855">
        <f>IF(A12=3,6,IF(A12=1,4,IF(A12="bd",1,IF(A12="fwd",1,"Circuit Type"))))</f>
        <v>6</v>
      </c>
      <c r="C12" s="1822">
        <v>1</v>
      </c>
      <c r="D12" s="1822">
        <f>B12/C12</f>
        <v>6</v>
      </c>
      <c r="E12" s="1822">
        <v>3</v>
      </c>
      <c r="F12" s="1824">
        <f>IF(A12=3,3*G12,IF(A12=1,2*G12,IF(A12="bd",1*G12,IF(A12="fwd",1,"Error"))))</f>
        <v>231.89764687162577</v>
      </c>
      <c r="G12" s="1856">
        <f>(-AE12+SQRT(AG12))/2/AD12</f>
        <v>77.299215623875256</v>
      </c>
      <c r="H12" s="1857">
        <f>IF(A12=3,SQRT(3),IF(A12=1,SQRT(2),1))</f>
        <v>1.7320508075688772</v>
      </c>
      <c r="I12" s="1858">
        <f>H12*G12</f>
        <v>133.88616884577391</v>
      </c>
      <c r="J12" s="1859" t="s">
        <v>548</v>
      </c>
      <c r="K12" s="1860" t="s">
        <v>554</v>
      </c>
      <c r="L12" s="1861">
        <v>160</v>
      </c>
      <c r="M12" s="1861">
        <v>250</v>
      </c>
      <c r="N12" s="1861">
        <v>4100</v>
      </c>
      <c r="O12" s="1862">
        <v>125</v>
      </c>
      <c r="P12" s="1863">
        <v>0.85</v>
      </c>
      <c r="Q12" s="1863">
        <v>1.5</v>
      </c>
      <c r="R12" s="1863">
        <v>0.17</v>
      </c>
      <c r="S12" s="1864">
        <v>0.1</v>
      </c>
      <c r="T12" s="1834">
        <v>15</v>
      </c>
      <c r="U12" s="1835" t="s">
        <v>645</v>
      </c>
      <c r="V12" s="1836">
        <f>IF(E12=1,IF(U12="N",LOOKUP(T12,'HS250-DATA'!C$7:C$10,'HS250-DATA'!D$7:D$10),IF(U12="Y",LOOKUP(T12,'HS250-DATA'!C$22:C$25,'HS250-DATA'!D$22:D$25),"FAN?")),IF(U12="N",LOOKUP(T12,'HS250-DATA'!C$14:C$17,'HS250-DATA'!D$14:D$17),IF(U12="Y",LOOKUP(T12,'HS250-DATA'!C$29:C$32,'HS250-DATA'!D$29:D$32),"FAN?")))</f>
        <v>7.1999999999999995E-2</v>
      </c>
      <c r="W12" s="1865">
        <f>(G12*H12)^2*Q12*10^-3+G12*P12</f>
        <v>92.592592592592581</v>
      </c>
      <c r="X12" s="1865">
        <f>D12*W12</f>
        <v>555.55555555555543</v>
      </c>
      <c r="Y12" s="1865">
        <f>IF(A12=3,W12*6,IF(A12=1,W12*4,W12))</f>
        <v>555.55555555555543</v>
      </c>
      <c r="Z12" s="1838">
        <f>O12-5</f>
        <v>120</v>
      </c>
      <c r="AA12" s="1914">
        <f>D12*W12*V12+AB12</f>
        <v>94.999999999999986</v>
      </c>
      <c r="AB12" s="1866">
        <v>55</v>
      </c>
      <c r="AC12" s="1867"/>
      <c r="AD12" s="1841">
        <f>Q12*10^-3*H12^2</f>
        <v>4.4999999999999997E-3</v>
      </c>
      <c r="AE12" s="1842">
        <f>P12</f>
        <v>0.85</v>
      </c>
      <c r="AF12" s="1843">
        <f>(AB12-Z12)/(R12+S12+D12*V12)</f>
        <v>-92.592592592592595</v>
      </c>
      <c r="AG12" s="1868">
        <f>AE12^2-4*AD12*AF12</f>
        <v>2.3891666666666662</v>
      </c>
      <c r="AH12" s="1869">
        <f>SUM(AJ12:AL12)</f>
        <v>148.26</v>
      </c>
      <c r="AI12" s="1870"/>
      <c r="AJ12" s="1871">
        <f>C12*LOOKUP(T12,'HS250-DATA'!C$7:C$10,'HS250-DATA'!F$7:F$10)</f>
        <v>28.26</v>
      </c>
      <c r="AK12" s="1871">
        <f>IF(U12="Y",C12*12,0)</f>
        <v>12</v>
      </c>
      <c r="AL12" s="1871">
        <f>C12*E12*VLOOKUP(K12,'SCR-Diode DATA'!D$7:M$43,10,FALSE)</f>
        <v>108</v>
      </c>
      <c r="AM12" s="1872">
        <f>AH12/F12</f>
        <v>0.63933378367601101</v>
      </c>
      <c r="AO12" s="1850">
        <f>0.4*F12</f>
        <v>92.759058748650318</v>
      </c>
      <c r="AP12" s="1851" t="s">
        <v>569</v>
      </c>
      <c r="AQ12" s="1850">
        <f>1.8*F12</f>
        <v>417.41576436892638</v>
      </c>
      <c r="AR12" s="1849">
        <v>450</v>
      </c>
      <c r="AS12" s="1849">
        <f>LOOKUP(AR12,'FUSE DATA'!X$8:X$43,'FUSE DATA'!Y$8:Y$43)</f>
        <v>2578</v>
      </c>
      <c r="AT12" s="1852">
        <f>AR12/F12</f>
        <v>1.9405112818980508</v>
      </c>
      <c r="AU12" s="1852" t="str">
        <f>IF(AS12&lt;1950,"F1892Sxxxx",IF(AS12&lt;3350,"CS61xx16B",IF(A12&lt;7340,"ND41xx35",IF(A12&lt;19000,"LS41xx60","PS41xx25"))))</f>
        <v>CS61xx16B</v>
      </c>
      <c r="AX12" s="1853">
        <v>125</v>
      </c>
      <c r="AY12" s="1874">
        <v>510</v>
      </c>
    </row>
    <row r="13" spans="1:51" s="1873" customFormat="1" ht="18.75">
      <c r="A13" s="1820"/>
      <c r="B13" s="1855"/>
      <c r="C13" s="1822"/>
      <c r="D13" s="1822"/>
      <c r="E13" s="1822"/>
      <c r="F13" s="1824">
        <v>225</v>
      </c>
      <c r="G13" s="1856"/>
      <c r="H13" s="1857"/>
      <c r="I13" s="1858"/>
      <c r="J13" s="1859"/>
      <c r="K13" s="1860"/>
      <c r="L13" s="1861"/>
      <c r="M13" s="1861"/>
      <c r="N13" s="1861"/>
      <c r="O13" s="1862"/>
      <c r="P13" s="1863"/>
      <c r="Q13" s="1863"/>
      <c r="R13" s="1863"/>
      <c r="S13" s="1864"/>
      <c r="T13" s="1834"/>
      <c r="U13" s="1835"/>
      <c r="V13" s="1836"/>
      <c r="W13" s="1865"/>
      <c r="X13" s="1865"/>
      <c r="Y13" s="1865"/>
      <c r="Z13" s="1838"/>
      <c r="AA13" s="1914"/>
      <c r="AB13" s="1866"/>
      <c r="AC13" s="1867"/>
      <c r="AD13" s="1841"/>
      <c r="AE13" s="1842"/>
      <c r="AF13" s="1843"/>
      <c r="AG13" s="1868"/>
      <c r="AH13" s="1869"/>
      <c r="AI13" s="1906">
        <f>AH12/F13</f>
        <v>0.65893333333333326</v>
      </c>
      <c r="AJ13" s="1871"/>
      <c r="AK13" s="1871"/>
      <c r="AL13" s="1871"/>
      <c r="AM13" s="1872"/>
      <c r="AO13" s="1850"/>
      <c r="AP13" s="1851"/>
      <c r="AQ13" s="1850">
        <f>1.8*F13</f>
        <v>405</v>
      </c>
      <c r="AR13" s="1849">
        <v>450</v>
      </c>
      <c r="AS13" s="1849">
        <f>LOOKUP(AR13,'FUSE DATA'!X$8:X$43,'FUSE DATA'!Y$8:Y$43)</f>
        <v>2578</v>
      </c>
      <c r="AT13" s="1852"/>
      <c r="AU13" s="1852"/>
      <c r="AX13" s="1853"/>
      <c r="AY13" s="1874"/>
    </row>
    <row r="14" spans="1:51" ht="18.75">
      <c r="A14" s="1598">
        <v>3</v>
      </c>
      <c r="B14" s="1533">
        <f>IF(A14=3,6,IF(A14=1,4,IF(A14="bd",1,IF(A14="fwd",1,"Circuit Type"))))</f>
        <v>6</v>
      </c>
      <c r="C14" s="1600">
        <v>3</v>
      </c>
      <c r="D14" s="1575">
        <f>B14/C14</f>
        <v>2</v>
      </c>
      <c r="E14" s="1575">
        <v>1</v>
      </c>
      <c r="F14" s="1611">
        <f>IF(A14=3,3*G14,IF(A14=1,2*G14,IF(A14="bd",1*G14,IF(A14="fwd",1,"Error"))))</f>
        <v>308.26392946141846</v>
      </c>
      <c r="G14" s="1582">
        <f>(-AE14+SQRT(AG14))/2/AD14</f>
        <v>102.75464315380614</v>
      </c>
      <c r="H14" s="1583">
        <f>IF(A14=3,SQRT(3),IF(A14=1,SQRT(2),1))</f>
        <v>1.7320508075688772</v>
      </c>
      <c r="I14" s="1594">
        <f>H14*G14</f>
        <v>177.97626265600172</v>
      </c>
      <c r="J14" s="1680" t="s">
        <v>548</v>
      </c>
      <c r="K14" s="1418" t="s">
        <v>554</v>
      </c>
      <c r="L14" s="1419">
        <v>160</v>
      </c>
      <c r="M14" s="1419">
        <v>250</v>
      </c>
      <c r="N14" s="1419">
        <v>4100</v>
      </c>
      <c r="O14" s="1412">
        <v>125</v>
      </c>
      <c r="P14" s="1416">
        <v>0.85</v>
      </c>
      <c r="Q14" s="1416">
        <v>1.5</v>
      </c>
      <c r="R14" s="1416">
        <v>0.17</v>
      </c>
      <c r="S14" s="1687">
        <v>0.1</v>
      </c>
      <c r="T14" s="1624">
        <v>15</v>
      </c>
      <c r="U14" s="1616" t="s">
        <v>645</v>
      </c>
      <c r="V14" s="1622">
        <f>IF(E14=1,IF(U14="N",LOOKUP(T14,'HS250-DATA'!C$7:C$10,'HS250-DATA'!D$7:D$10),IF(U14="Y",LOOKUP(T14,'HS250-DATA'!C$22:C$25,'HS250-DATA'!D$22:D$25),"FAN?")),IF(U14="N",LOOKUP(T14,'HS250-DATA'!C$14:C$17,'HS250-DATA'!D$14:D$17),IF(U14="Y",LOOKUP(T14,'HS250-DATA'!C$29:C$32,'HS250-DATA'!D$29:D$32),"FAN?")))</f>
        <v>0.106</v>
      </c>
      <c r="W14" s="1602">
        <f>(G14*H14)^2*Q14*10^-3+G14*P14</f>
        <v>134.85477178423238</v>
      </c>
      <c r="X14" s="1602">
        <f>D14*W14</f>
        <v>269.70954356846477</v>
      </c>
      <c r="Y14" s="1602">
        <f>IF(A14=3,W14*6,IF(A14=1,W14*4,W14))</f>
        <v>809.12863070539424</v>
      </c>
      <c r="Z14" s="1579">
        <f>O14-5</f>
        <v>120</v>
      </c>
      <c r="AA14" s="1913">
        <f>D14*W14*V14+AB14</f>
        <v>83.589211618257266</v>
      </c>
      <c r="AB14" s="1588">
        <v>55</v>
      </c>
      <c r="AC14" s="1570"/>
      <c r="AD14" s="1754">
        <f>Q14*10^-3*H14^2</f>
        <v>4.4999999999999997E-3</v>
      </c>
      <c r="AE14" s="1634">
        <f>P14</f>
        <v>0.85</v>
      </c>
      <c r="AF14" s="1635">
        <f>(AB14-Z14)/(R14+S14+D14*V14)</f>
        <v>-134.85477178423238</v>
      </c>
      <c r="AG14" s="1646">
        <f>AE14^2-4*AD14*AF14</f>
        <v>3.149885892116183</v>
      </c>
      <c r="AH14" s="1741">
        <f>SUM(AJ14:AL14)</f>
        <v>228.78</v>
      </c>
      <c r="AI14" s="1607"/>
      <c r="AJ14" s="1733">
        <f>C14*LOOKUP(T14,'HS250-DATA'!C$7:C$10,'HS250-DATA'!F$7:F$10)</f>
        <v>84.78</v>
      </c>
      <c r="AK14" s="1733">
        <f>IF(U14="Y",C14*12,0)</f>
        <v>36</v>
      </c>
      <c r="AL14" s="1733">
        <f>C14*E14*VLOOKUP(K14,'SCR-Diode DATA'!D$7:M$43,10,FALSE)</f>
        <v>108</v>
      </c>
      <c r="AM14" s="507">
        <f>AH14/F14</f>
        <v>0.74215624383855627</v>
      </c>
      <c r="AO14" s="24">
        <f>0.4*F14</f>
        <v>123.30557178456739</v>
      </c>
      <c r="AP14" s="1432" t="s">
        <v>569</v>
      </c>
      <c r="AQ14" s="24">
        <f>1.8*F14</f>
        <v>554.87507303055327</v>
      </c>
      <c r="AR14">
        <v>600</v>
      </c>
      <c r="AS14">
        <f>LOOKUP(AR14,'FUSE DATA'!X$8:X$43,'FUSE DATA'!Y$8:Y$43)</f>
        <v>3532</v>
      </c>
      <c r="AT14" s="1795">
        <f>AR14/F14</f>
        <v>1.946384064617247</v>
      </c>
      <c r="AU14" s="1795" t="str">
        <f>IF(AS14&lt;1950,"F1892Sxxxx",IF(AS14&lt;3350,"CS61xx16B",IF(A14&lt;7340,"ND41xx35",IF(A14&lt;19000,"LS41xx60","PS41xx25"))))</f>
        <v>ND41xx35</v>
      </c>
      <c r="AX14" s="1804">
        <v>150</v>
      </c>
      <c r="AY14" s="1802">
        <v>700</v>
      </c>
    </row>
    <row r="15" spans="1:51" ht="18.75">
      <c r="A15" s="1598"/>
      <c r="B15" s="1533"/>
      <c r="C15" s="1600"/>
      <c r="D15" s="1575"/>
      <c r="E15" s="1575"/>
      <c r="F15" s="1611"/>
      <c r="G15" s="1582"/>
      <c r="H15" s="1583"/>
      <c r="I15" s="1594"/>
      <c r="J15" s="1680"/>
      <c r="K15" s="1418"/>
      <c r="L15" s="1419"/>
      <c r="M15" s="1419"/>
      <c r="N15" s="1419"/>
      <c r="O15" s="1412"/>
      <c r="P15" s="1416"/>
      <c r="Q15" s="1416"/>
      <c r="R15" s="1416"/>
      <c r="S15" s="1687"/>
      <c r="T15" s="1624"/>
      <c r="U15" s="1616"/>
      <c r="V15" s="1622"/>
      <c r="W15" s="1602"/>
      <c r="X15" s="1602"/>
      <c r="Y15" s="1602"/>
      <c r="Z15" s="1579"/>
      <c r="AA15" s="1913"/>
      <c r="AB15" s="1588"/>
      <c r="AC15" s="1570"/>
      <c r="AD15" s="1754"/>
      <c r="AE15" s="1634"/>
      <c r="AF15" s="1635"/>
      <c r="AG15" s="1646"/>
      <c r="AH15" s="1741"/>
      <c r="AI15" s="1607"/>
      <c r="AJ15" s="1733"/>
      <c r="AK15" s="1733"/>
      <c r="AL15" s="1733"/>
      <c r="AM15" s="507"/>
      <c r="AO15" s="24"/>
      <c r="AP15" s="1432"/>
      <c r="AQ15" s="24"/>
      <c r="AT15" s="1795"/>
      <c r="AU15" s="1795"/>
      <c r="AX15" s="1804"/>
      <c r="AY15" s="1802"/>
    </row>
    <row r="16" spans="1:51" s="1873" customFormat="1" ht="18.75">
      <c r="A16" s="1820">
        <v>1</v>
      </c>
      <c r="B16" s="1855">
        <f>IF(A16=3,6,IF(A16=1,4,IF(A16="bd",1,IF(A16="fwd",1,"Circuit Type"))))</f>
        <v>4</v>
      </c>
      <c r="C16" s="1822">
        <v>1</v>
      </c>
      <c r="D16" s="1822">
        <f>B16/C16</f>
        <v>4</v>
      </c>
      <c r="E16" s="1822">
        <v>2</v>
      </c>
      <c r="F16" s="1824">
        <f>IF(A16=3,3*G16,IF(A16=1,2*G16,IF(A16="bd",1*G16,IF(A16="fwd",1,"Error"))))</f>
        <v>202.04732626002942</v>
      </c>
      <c r="G16" s="1856">
        <f>(-AE16+SQRT(AG16))/2/AD16</f>
        <v>101.02366313001471</v>
      </c>
      <c r="H16" s="1857">
        <f>IF(A16=3,SQRT(3),IF(A16=1,SQRT(2),1))</f>
        <v>1.4142135623730951</v>
      </c>
      <c r="I16" s="1858">
        <f>H16*G16</f>
        <v>142.86903451907762</v>
      </c>
      <c r="J16" s="1859" t="s">
        <v>552</v>
      </c>
      <c r="K16" s="1860" t="s">
        <v>555</v>
      </c>
      <c r="L16" s="1861">
        <v>160</v>
      </c>
      <c r="M16" s="1861">
        <v>250</v>
      </c>
      <c r="N16" s="1861">
        <v>4100</v>
      </c>
      <c r="O16" s="1862">
        <v>125</v>
      </c>
      <c r="P16" s="1863">
        <v>0.85</v>
      </c>
      <c r="Q16" s="1863">
        <v>1.5</v>
      </c>
      <c r="R16" s="1863">
        <v>0.17</v>
      </c>
      <c r="S16" s="1864">
        <v>0.1</v>
      </c>
      <c r="T16" s="1834">
        <v>15</v>
      </c>
      <c r="U16" s="1835" t="s">
        <v>645</v>
      </c>
      <c r="V16" s="1836">
        <f>IF(E16=1,IF(U16="N",LOOKUP(T16,'HS250-DATA'!C$7:C$10,'HS250-DATA'!D$7:D$10),IF(U16="Y",LOOKUP(T16,'HS250-DATA'!C$22:C$25,'HS250-DATA'!D$22:D$25),"FAN?")),IF(U16="N",LOOKUP(T16,'HS250-DATA'!C$14:C$17,'HS250-DATA'!D$14:D$17),IF(U16="Y",LOOKUP(T16,'HS250-DATA'!C$29:C$32,'HS250-DATA'!D$29:D$32),"FAN?")))</f>
        <v>7.1999999999999995E-2</v>
      </c>
      <c r="W16" s="1865">
        <f>(G16*H16)^2*Q16*10^-3+G16*P16</f>
        <v>116.48745519713259</v>
      </c>
      <c r="X16" s="1865">
        <f>D16*W16</f>
        <v>465.94982078853036</v>
      </c>
      <c r="Y16" s="1865">
        <f>IF(A16=3,W16*6,IF(A16=1,W16*4,W16))</f>
        <v>465.94982078853036</v>
      </c>
      <c r="Z16" s="1838">
        <f>O16-5</f>
        <v>120</v>
      </c>
      <c r="AA16" s="1914">
        <f>D16*W16*V16+AB16</f>
        <v>88.548387096774178</v>
      </c>
      <c r="AB16" s="1866">
        <v>55</v>
      </c>
      <c r="AC16" s="1867"/>
      <c r="AD16" s="1841">
        <f>Q16*10^-3*H16^2</f>
        <v>3.0000000000000009E-3</v>
      </c>
      <c r="AE16" s="1842">
        <f>P16</f>
        <v>0.85</v>
      </c>
      <c r="AF16" s="1843">
        <f>(AB16-Z16)/(R16+S16+D16*V16)</f>
        <v>-116.4874551971326</v>
      </c>
      <c r="AG16" s="1868">
        <f>AE16^2-4*AD16*AF16</f>
        <v>2.1203494623655916</v>
      </c>
      <c r="AH16" s="1869">
        <f>SUM(AJ16:AL16)</f>
        <v>112.26</v>
      </c>
      <c r="AI16" s="1870"/>
      <c r="AJ16" s="1871">
        <f>C16*LOOKUP(T16,'HS250-DATA'!C$7:C$10,'HS250-DATA'!F$7:F$10)</f>
        <v>28.26</v>
      </c>
      <c r="AK16" s="1871">
        <f>IF(U16="Y",C16*12,0)</f>
        <v>12</v>
      </c>
      <c r="AL16" s="1871">
        <f>C16*E16*VLOOKUP(K16,'SCR-Diode DATA'!D$7:M$43,10,FALSE)</f>
        <v>72</v>
      </c>
      <c r="AM16" s="1872">
        <f>AH16/F16</f>
        <v>0.55561240070816098</v>
      </c>
      <c r="AO16" s="1850">
        <f>0.4*F16</f>
        <v>80.818930504011774</v>
      </c>
      <c r="AP16" s="1851" t="s">
        <v>569</v>
      </c>
      <c r="AQ16" s="1850">
        <f>1.8*F16</f>
        <v>363.68518726805297</v>
      </c>
      <c r="AR16" s="1849">
        <v>400</v>
      </c>
      <c r="AS16" s="1849">
        <f>LOOKUP(AR16,'FUSE DATA'!X$8:X$43,'FUSE DATA'!Y$8:Y$43)</f>
        <v>1984</v>
      </c>
      <c r="AT16" s="1852">
        <f>AR16/F16</f>
        <v>1.9797341910142916</v>
      </c>
      <c r="AU16" s="1852" t="str">
        <f>IF(AS16&lt;1950,"F1892Sxxxx",IF(AS16&lt;3350,"CS61xx16B",IF(A16&lt;7340,"ND41xx35",IF(A16&lt;19000,"LS41xx60","PS41xx25"))))</f>
        <v>CS61xx16B</v>
      </c>
      <c r="AX16" s="1853">
        <v>175</v>
      </c>
      <c r="AY16" s="1874">
        <v>775</v>
      </c>
    </row>
    <row r="17" spans="1:51" s="1873" customFormat="1" ht="18.75">
      <c r="A17" s="1820"/>
      <c r="B17" s="1855"/>
      <c r="C17" s="1822"/>
      <c r="D17" s="1822"/>
      <c r="E17" s="1822"/>
      <c r="F17" s="1824">
        <v>200</v>
      </c>
      <c r="G17" s="1856"/>
      <c r="H17" s="1857"/>
      <c r="I17" s="1858"/>
      <c r="J17" s="1859"/>
      <c r="K17" s="1860"/>
      <c r="L17" s="1861"/>
      <c r="M17" s="1861"/>
      <c r="N17" s="1861"/>
      <c r="O17" s="1862"/>
      <c r="P17" s="1863"/>
      <c r="Q17" s="1863"/>
      <c r="R17" s="1863"/>
      <c r="S17" s="1864"/>
      <c r="T17" s="1834"/>
      <c r="U17" s="1835"/>
      <c r="V17" s="1836"/>
      <c r="W17" s="1865"/>
      <c r="X17" s="1865"/>
      <c r="Y17" s="1865"/>
      <c r="Z17" s="1838"/>
      <c r="AA17" s="1914"/>
      <c r="AB17" s="1866"/>
      <c r="AC17" s="1867"/>
      <c r="AD17" s="1841"/>
      <c r="AE17" s="1842"/>
      <c r="AF17" s="1843"/>
      <c r="AG17" s="1868"/>
      <c r="AH17" s="1869"/>
      <c r="AI17" s="1906">
        <f>AH16/F17</f>
        <v>0.56130000000000002</v>
      </c>
      <c r="AJ17" s="1871"/>
      <c r="AK17" s="1871"/>
      <c r="AL17" s="1871"/>
      <c r="AM17" s="1872"/>
      <c r="AO17" s="1850"/>
      <c r="AP17" s="1875"/>
      <c r="AQ17" s="1850"/>
      <c r="AR17" s="1849"/>
      <c r="AS17" s="1849"/>
      <c r="AT17" s="1852"/>
      <c r="AU17" s="1852"/>
      <c r="AX17" s="1853"/>
      <c r="AY17" s="1874"/>
    </row>
    <row r="18" spans="1:51" ht="18.75">
      <c r="A18" s="1598"/>
      <c r="B18" s="1533"/>
      <c r="C18" s="1600"/>
      <c r="D18" s="1575"/>
      <c r="E18" s="1575"/>
      <c r="F18" s="1611"/>
      <c r="G18" s="1582"/>
      <c r="H18" s="1583"/>
      <c r="I18" s="1594"/>
      <c r="J18" s="1680"/>
      <c r="K18" s="1418"/>
      <c r="L18" s="1419"/>
      <c r="M18" s="1419"/>
      <c r="N18" s="1419"/>
      <c r="O18" s="1412"/>
      <c r="P18" s="1416"/>
      <c r="Q18" s="1416"/>
      <c r="R18" s="1416"/>
      <c r="S18" s="1687"/>
      <c r="T18" s="1624"/>
      <c r="U18" s="1616"/>
      <c r="V18" s="1622"/>
      <c r="W18" s="1602"/>
      <c r="X18" s="1602"/>
      <c r="Y18" s="1602"/>
      <c r="Z18" s="1579"/>
      <c r="AA18" s="1913"/>
      <c r="AB18" s="1588"/>
      <c r="AC18" s="1570"/>
      <c r="AD18" s="1754"/>
      <c r="AE18" s="1634"/>
      <c r="AF18" s="1635"/>
      <c r="AG18" s="1646"/>
      <c r="AH18" s="1742"/>
      <c r="AI18" s="1607"/>
      <c r="AJ18" s="1607"/>
      <c r="AK18" s="1607"/>
      <c r="AL18" s="1733"/>
      <c r="AM18" s="1743"/>
      <c r="AQ18" s="24"/>
      <c r="AX18" s="1804">
        <v>225</v>
      </c>
      <c r="AY18" s="1802">
        <v>860</v>
      </c>
    </row>
    <row r="19" spans="1:51" s="1849" customFormat="1" ht="18.75">
      <c r="A19" s="1820">
        <v>3</v>
      </c>
      <c r="B19" s="1821">
        <f>IF(A19=3,6,IF(A19=1,4,IF(A19="bd",1,IF(A19="fwd",1,"Circuit Type"))))</f>
        <v>6</v>
      </c>
      <c r="C19" s="1822">
        <v>1</v>
      </c>
      <c r="D19" s="1823">
        <f>B19/C19</f>
        <v>6</v>
      </c>
      <c r="E19" s="1823">
        <v>3</v>
      </c>
      <c r="F19" s="1824">
        <f>IF(A19=3,3*G19,IF(A19=1,2*G19,IF(A19="bd",1*G19,IF(A19="fwd",1,"Error"))))</f>
        <v>308.35312732675175</v>
      </c>
      <c r="G19" s="1825">
        <f>(-AE19+SQRT(AG19))/2/AD19</f>
        <v>102.78437577558392</v>
      </c>
      <c r="H19" s="1826">
        <f>IF(A19=3,SQRT(3),IF(A19=1,SQRT(2),1))</f>
        <v>1.7320508075688772</v>
      </c>
      <c r="I19" s="1827">
        <f>H19*G19</f>
        <v>178.02776106756306</v>
      </c>
      <c r="J19" s="1828" t="s">
        <v>548</v>
      </c>
      <c r="K19" s="1829" t="s">
        <v>469</v>
      </c>
      <c r="L19" s="1830">
        <v>250</v>
      </c>
      <c r="M19" s="1830">
        <v>393</v>
      </c>
      <c r="N19" s="1830">
        <v>8800</v>
      </c>
      <c r="O19" s="1831">
        <v>125</v>
      </c>
      <c r="P19" s="1832">
        <v>0.81899999999999995</v>
      </c>
      <c r="Q19" s="1832">
        <v>0.58899999999999997</v>
      </c>
      <c r="R19" s="1832">
        <v>0.14000000000000001</v>
      </c>
      <c r="S19" s="1833">
        <v>0.06</v>
      </c>
      <c r="T19" s="1834">
        <v>15</v>
      </c>
      <c r="U19" s="1835" t="s">
        <v>645</v>
      </c>
      <c r="V19" s="1836">
        <f>IF(E19=1,IF(U19="N",LOOKUP(T19,'HS250-DATA'!C$7:C$10,'HS250-DATA'!D$7:D$10),IF(U19="Y",LOOKUP(T19,'HS250-DATA'!C$22:C$25,'HS250-DATA'!D$22:D$25),"FAN?")),IF(U19="N",LOOKUP(T19,'HS250-DATA'!C$14:C$17,'HS250-DATA'!D$14:D$17),IF(U19="Y",LOOKUP(T19,'HS250-DATA'!C$29:C$32,'HS250-DATA'!D$29:D$32),"FAN?")))</f>
        <v>7.1999999999999995E-2</v>
      </c>
      <c r="W19" s="1837">
        <f>(G19*H19)^2*Q19*10^-3+G19*P19</f>
        <v>102.84810126582281</v>
      </c>
      <c r="X19" s="1837">
        <f>D19*W19</f>
        <v>617.08860759493678</v>
      </c>
      <c r="Y19" s="1837">
        <f>IF(A19=3,W19*6,IF(A19=1,W19*4,W19))</f>
        <v>617.08860759493678</v>
      </c>
      <c r="Z19" s="1838">
        <f>O19-5</f>
        <v>120</v>
      </c>
      <c r="AA19" s="1912">
        <f>D19*W19*V19+AB19</f>
        <v>99.430379746835442</v>
      </c>
      <c r="AB19" s="1839">
        <v>55</v>
      </c>
      <c r="AC19" s="1840"/>
      <c r="AD19" s="1841">
        <f>Q19*10^-3*H19^2</f>
        <v>1.7669999999999997E-3</v>
      </c>
      <c r="AE19" s="1842">
        <f>P19</f>
        <v>0.81899999999999995</v>
      </c>
      <c r="AF19" s="1843">
        <f>(AB19-Z19)/(R19+S19+D19*V19)</f>
        <v>-102.84810126582281</v>
      </c>
      <c r="AG19" s="1844">
        <f>AE19^2-4*AD19*AF19</f>
        <v>1.3976913797468353</v>
      </c>
      <c r="AH19" s="1845">
        <f>SUM(AJ19:AL19)</f>
        <v>265.26</v>
      </c>
      <c r="AI19" s="1846"/>
      <c r="AJ19" s="1847">
        <f>C19*LOOKUP(T19,'HS250-DATA'!C$7:C$10,'HS250-DATA'!F$7:F$10)</f>
        <v>28.26</v>
      </c>
      <c r="AK19" s="1847">
        <f>IF(U19="Y",C19*12,0)</f>
        <v>12</v>
      </c>
      <c r="AL19" s="1847">
        <f>C19*E19*VLOOKUP(K19,'SCR-Diode DATA'!D$7:M$43,10,FALSE)</f>
        <v>225</v>
      </c>
      <c r="AM19" s="1848">
        <f>AH19/F19</f>
        <v>0.86024747762299369</v>
      </c>
      <c r="AO19" s="1850">
        <f>0.4*F19</f>
        <v>123.34125093070071</v>
      </c>
      <c r="AP19" s="1850">
        <f>F19/3</f>
        <v>102.78437577558391</v>
      </c>
      <c r="AQ19" s="1850">
        <f>1.8*F19</f>
        <v>555.03562918815317</v>
      </c>
      <c r="AR19" s="1849">
        <v>600</v>
      </c>
      <c r="AS19" s="1849">
        <f>LOOKUP(AR19,'FUSE DATA'!X$8:X$43,'FUSE DATA'!Y$8:Y$43)</f>
        <v>3532</v>
      </c>
      <c r="AT19" s="1852">
        <f>AR19/F19</f>
        <v>1.9458210305880881</v>
      </c>
      <c r="AU19" s="1852" t="str">
        <f>IF(AS19&lt;1950,"F1892Sxxxx",IF(AS19&lt;3350,"CS61xx16B",IF(A19&lt;7340,"ND41xx35",IF(A19&lt;19000,"LS41xx60","PS41xx25"))))</f>
        <v>ND41xx35</v>
      </c>
      <c r="AX19" s="1853">
        <v>250</v>
      </c>
      <c r="AY19" s="1874">
        <v>1058</v>
      </c>
    </row>
    <row r="20" spans="1:51" s="1849" customFormat="1" ht="18.75">
      <c r="A20" s="1820"/>
      <c r="B20" s="1821"/>
      <c r="C20" s="1822"/>
      <c r="D20" s="1823"/>
      <c r="E20" s="1823"/>
      <c r="F20" s="1824">
        <v>300</v>
      </c>
      <c r="G20" s="1825"/>
      <c r="H20" s="1826"/>
      <c r="I20" s="1827"/>
      <c r="J20" s="1828"/>
      <c r="K20" s="1829"/>
      <c r="L20" s="1830"/>
      <c r="M20" s="1830"/>
      <c r="N20" s="1830"/>
      <c r="O20" s="1831"/>
      <c r="P20" s="1832"/>
      <c r="Q20" s="1832"/>
      <c r="R20" s="1832"/>
      <c r="S20" s="1833"/>
      <c r="T20" s="1834"/>
      <c r="U20" s="1835"/>
      <c r="V20" s="1836"/>
      <c r="W20" s="1837"/>
      <c r="X20" s="1837"/>
      <c r="Y20" s="1837"/>
      <c r="Z20" s="1838"/>
      <c r="AA20" s="1912"/>
      <c r="AB20" s="1839"/>
      <c r="AC20" s="1840"/>
      <c r="AD20" s="1841"/>
      <c r="AE20" s="1842"/>
      <c r="AF20" s="1843"/>
      <c r="AG20" s="1844"/>
      <c r="AH20" s="1845"/>
      <c r="AI20" s="1906">
        <f>AH19/F20</f>
        <v>0.88419999999999999</v>
      </c>
      <c r="AJ20" s="1847"/>
      <c r="AK20" s="1847"/>
      <c r="AL20" s="1847"/>
      <c r="AM20" s="1848"/>
      <c r="AO20" s="1850"/>
      <c r="AP20" s="1850"/>
      <c r="AQ20" s="1850"/>
      <c r="AT20" s="1852"/>
      <c r="AU20" s="1852"/>
      <c r="AX20" s="1853"/>
      <c r="AY20" s="1874"/>
    </row>
    <row r="21" spans="1:51" ht="18.75">
      <c r="A21" s="1598"/>
      <c r="B21" s="1533"/>
      <c r="C21" s="1600"/>
      <c r="D21" s="1575"/>
      <c r="E21" s="1575"/>
      <c r="F21" s="1611"/>
      <c r="G21" s="1582"/>
      <c r="H21" s="1583"/>
      <c r="I21" s="1594"/>
      <c r="J21" s="1680"/>
      <c r="K21" s="1418"/>
      <c r="L21" s="1419"/>
      <c r="M21" s="1419"/>
      <c r="N21" s="1419"/>
      <c r="O21" s="1412"/>
      <c r="P21" s="1416"/>
      <c r="Q21" s="1416"/>
      <c r="R21" s="1416"/>
      <c r="S21" s="1687"/>
      <c r="T21" s="1624"/>
      <c r="U21" s="1616"/>
      <c r="V21" s="1622"/>
      <c r="W21" s="1602"/>
      <c r="X21" s="1602"/>
      <c r="Y21" s="1602"/>
      <c r="Z21" s="1579"/>
      <c r="AA21" s="1913"/>
      <c r="AB21" s="1588"/>
      <c r="AC21" s="1570"/>
      <c r="AD21" s="1754"/>
      <c r="AE21" s="1634"/>
      <c r="AF21" s="1635"/>
      <c r="AG21" s="1646"/>
      <c r="AH21" s="1741"/>
      <c r="AI21" s="1607"/>
      <c r="AJ21" s="1733"/>
      <c r="AK21" s="1733"/>
      <c r="AL21" s="1733"/>
      <c r="AM21" s="507"/>
      <c r="AO21" s="24"/>
      <c r="AP21" s="24"/>
      <c r="AQ21" s="24"/>
      <c r="AT21" s="1795"/>
      <c r="AU21" s="1795"/>
      <c r="AX21" s="1804"/>
      <c r="AY21" s="1802"/>
    </row>
    <row r="22" spans="1:51" s="1873" customFormat="1" ht="18.75">
      <c r="A22" s="1820">
        <v>3</v>
      </c>
      <c r="B22" s="1855">
        <f>IF(A22=3,6,IF(A22=1,4,IF(A22="bd",1,IF(A22="fwd",1,"Circuit Type"))))</f>
        <v>6</v>
      </c>
      <c r="C22" s="1822">
        <v>3</v>
      </c>
      <c r="D22" s="1822">
        <f>B22/C22</f>
        <v>2</v>
      </c>
      <c r="E22" s="1822">
        <v>1</v>
      </c>
      <c r="F22" s="1824">
        <f>IF(A22=3,3*G22,IF(A22=1,2*G22,IF(A22="bd",1*G22,IF(A22="fwd",1,"Error"))))</f>
        <v>439.18507142182011</v>
      </c>
      <c r="G22" s="1856">
        <f>(-AE22+SQRT(AG22))/2/AD22</f>
        <v>146.39502380727336</v>
      </c>
      <c r="H22" s="1857">
        <f>IF(A22=3,SQRT(3),IF(A22=1,SQRT(2),1))</f>
        <v>1.7320508075688772</v>
      </c>
      <c r="I22" s="1858">
        <f>H22*G22</f>
        <v>253.56361920945284</v>
      </c>
      <c r="J22" s="1859" t="s">
        <v>548</v>
      </c>
      <c r="K22" s="1860" t="s">
        <v>469</v>
      </c>
      <c r="L22" s="1861">
        <v>250</v>
      </c>
      <c r="M22" s="1861">
        <v>393</v>
      </c>
      <c r="N22" s="1861">
        <v>8800</v>
      </c>
      <c r="O22" s="1862">
        <v>125</v>
      </c>
      <c r="P22" s="1863">
        <v>0.81899999999999995</v>
      </c>
      <c r="Q22" s="1863">
        <v>0.58899999999999997</v>
      </c>
      <c r="R22" s="1863">
        <v>0.14000000000000001</v>
      </c>
      <c r="S22" s="1864">
        <v>0.06</v>
      </c>
      <c r="T22" s="1834">
        <v>15</v>
      </c>
      <c r="U22" s="1835" t="s">
        <v>645</v>
      </c>
      <c r="V22" s="1836">
        <f>IF(E22=1,IF(U22="N",LOOKUP(T22,'HS250-DATA'!C$7:C$10,'HS250-DATA'!D$7:D$10),IF(U22="Y",LOOKUP(T22,'HS250-DATA'!C$22:C$25,'HS250-DATA'!D$22:D$25),"FAN?")),IF(U22="N",LOOKUP(T22,'HS250-DATA'!C$14:C$17,'HS250-DATA'!D$14:D$17),IF(U22="Y",LOOKUP(T22,'HS250-DATA'!C$29:C$32,'HS250-DATA'!D$29:D$32),"FAN?")))</f>
        <v>0.106</v>
      </c>
      <c r="W22" s="1865">
        <f>(G22*H22)^2*Q22*10^-3+G22*P22</f>
        <v>157.76699029126215</v>
      </c>
      <c r="X22" s="1865">
        <f>D22*W22</f>
        <v>315.53398058252429</v>
      </c>
      <c r="Y22" s="1865">
        <f>IF(A22=3,W22*6,IF(A22=1,W22*4,W22))</f>
        <v>946.60194174757294</v>
      </c>
      <c r="Z22" s="1838">
        <f>O22-5</f>
        <v>120</v>
      </c>
      <c r="AA22" s="1914">
        <f>D22*W22*V22+AB22</f>
        <v>88.446601941747574</v>
      </c>
      <c r="AB22" s="1866">
        <v>55</v>
      </c>
      <c r="AC22" s="1867"/>
      <c r="AD22" s="1841">
        <f>Q22*10^-3*H22^2</f>
        <v>1.7669999999999997E-3</v>
      </c>
      <c r="AE22" s="1842">
        <f>P22</f>
        <v>0.81899999999999995</v>
      </c>
      <c r="AF22" s="1843">
        <f>(AB22-Z22)/(R22+S22+D22*V22)</f>
        <v>-157.76699029126212</v>
      </c>
      <c r="AG22" s="1868">
        <f>AE22^2-4*AD22*AF22</f>
        <v>1.7858580873786405</v>
      </c>
      <c r="AH22" s="1869">
        <f>SUM(AJ22:AL22)</f>
        <v>345.78</v>
      </c>
      <c r="AI22" s="1870"/>
      <c r="AJ22" s="1871">
        <f>C22*LOOKUP(T22,'HS250-DATA'!C$7:C$10,'HS250-DATA'!F$7:F$10)</f>
        <v>84.78</v>
      </c>
      <c r="AK22" s="1871">
        <f>IF(U22="Y",C22*12,0)</f>
        <v>36</v>
      </c>
      <c r="AL22" s="1871">
        <f>C22*E22*VLOOKUP(K22,'SCR-Diode DATA'!D$7:M$43,10,FALSE)</f>
        <v>225</v>
      </c>
      <c r="AM22" s="1872">
        <f>AH22/F22</f>
        <v>0.78732184334173727</v>
      </c>
      <c r="AO22" s="1850">
        <f>0.4*F22</f>
        <v>175.67402856872806</v>
      </c>
      <c r="AP22" s="1850">
        <f>F22/3</f>
        <v>146.39502380727336</v>
      </c>
      <c r="AQ22" s="1850">
        <f>1.8*F22</f>
        <v>790.53312855927618</v>
      </c>
      <c r="AR22" s="1849">
        <v>800</v>
      </c>
      <c r="AS22" s="1849">
        <f>LOOKUP(AR22,'FUSE DATA'!X$8:X$43,'FUSE DATA'!Y$8:Y$43)</f>
        <v>4196</v>
      </c>
      <c r="AT22" s="1852">
        <f>AR22/F22</f>
        <v>1.8215555401509338</v>
      </c>
      <c r="AU22" s="1852" t="str">
        <f>IF(AS22&lt;1950,"F1892Sxxxx",IF(AS22&lt;3350,"CS61xx16B",IF(A22&lt;7340,"ND41xx35",IF(A22&lt;19000,"LS41xx60","PS41xx25"))))</f>
        <v>ND41xx35</v>
      </c>
      <c r="AX22" s="1853">
        <v>275</v>
      </c>
      <c r="AY22" s="1874">
        <v>1196</v>
      </c>
    </row>
    <row r="23" spans="1:51" s="1873" customFormat="1" ht="18.75">
      <c r="A23" s="1820"/>
      <c r="B23" s="1855"/>
      <c r="C23" s="1822"/>
      <c r="D23" s="1822"/>
      <c r="E23" s="1822"/>
      <c r="F23" s="1824">
        <v>450</v>
      </c>
      <c r="G23" s="1856"/>
      <c r="H23" s="1857"/>
      <c r="I23" s="1858"/>
      <c r="J23" s="1859"/>
      <c r="K23" s="1860"/>
      <c r="L23" s="1861"/>
      <c r="M23" s="1861"/>
      <c r="N23" s="1861"/>
      <c r="O23" s="1862"/>
      <c r="P23" s="1863"/>
      <c r="Q23" s="1863"/>
      <c r="R23" s="1863"/>
      <c r="S23" s="1864"/>
      <c r="T23" s="1834"/>
      <c r="U23" s="1835"/>
      <c r="V23" s="1836"/>
      <c r="W23" s="1865"/>
      <c r="X23" s="1865"/>
      <c r="Y23" s="1865"/>
      <c r="Z23" s="1838"/>
      <c r="AA23" s="1914"/>
      <c r="AB23" s="1866"/>
      <c r="AC23" s="1867"/>
      <c r="AD23" s="1841"/>
      <c r="AE23" s="1842"/>
      <c r="AF23" s="1843"/>
      <c r="AG23" s="1868"/>
      <c r="AH23" s="1869"/>
      <c r="AI23" s="1906">
        <f>AH22/F23</f>
        <v>0.76839999999999997</v>
      </c>
      <c r="AJ23" s="1871"/>
      <c r="AK23" s="1871"/>
      <c r="AL23" s="1871"/>
      <c r="AM23" s="1872"/>
      <c r="AO23" s="1850"/>
      <c r="AP23" s="1850"/>
      <c r="AQ23" s="1850"/>
      <c r="AR23" s="1849"/>
      <c r="AS23" s="1849"/>
      <c r="AT23" s="1852"/>
      <c r="AU23" s="1852"/>
      <c r="AX23" s="1853"/>
      <c r="AY23" s="1874"/>
    </row>
    <row r="24" spans="1:51" s="330" customFormat="1" ht="18.75">
      <c r="A24" s="1598"/>
      <c r="B24" s="1776"/>
      <c r="C24" s="1600"/>
      <c r="D24" s="1600"/>
      <c r="E24" s="1600"/>
      <c r="F24" s="1611"/>
      <c r="G24" s="1777"/>
      <c r="H24" s="1778"/>
      <c r="I24" s="1779"/>
      <c r="J24" s="1780"/>
      <c r="K24" s="1781"/>
      <c r="L24" s="1782"/>
      <c r="M24" s="1782"/>
      <c r="N24" s="1782"/>
      <c r="O24" s="1783"/>
      <c r="P24" s="1784"/>
      <c r="Q24" s="1784"/>
      <c r="R24" s="1784"/>
      <c r="S24" s="1785"/>
      <c r="T24" s="1624"/>
      <c r="U24" s="1616"/>
      <c r="V24" s="1622"/>
      <c r="W24" s="1786"/>
      <c r="X24" s="1786"/>
      <c r="Y24" s="1786"/>
      <c r="Z24" s="1579"/>
      <c r="AA24" s="1915"/>
      <c r="AB24" s="1787"/>
      <c r="AC24" s="1788"/>
      <c r="AD24" s="1754"/>
      <c r="AE24" s="1634"/>
      <c r="AF24" s="1635"/>
      <c r="AG24" s="1789"/>
      <c r="AH24" s="1790"/>
      <c r="AI24" s="1791"/>
      <c r="AJ24" s="1792"/>
      <c r="AK24" s="1792"/>
      <c r="AL24" s="1792"/>
      <c r="AM24" s="1793"/>
      <c r="AO24" s="24"/>
      <c r="AP24" s="24"/>
      <c r="AQ24" s="24"/>
      <c r="AR24"/>
      <c r="AS24"/>
      <c r="AT24" s="1795"/>
      <c r="AU24" s="1795"/>
      <c r="AX24" s="1804"/>
      <c r="AY24" s="1802"/>
    </row>
    <row r="25" spans="1:51" ht="18.75">
      <c r="A25" s="1598">
        <v>1</v>
      </c>
      <c r="B25" s="1533">
        <f>IF(A25=3,6,IF(A25=1,4,IF(A25="bd",1,IF(A25="fwd",1,"Circuit Type"))))</f>
        <v>4</v>
      </c>
      <c r="C25" s="1600">
        <v>1</v>
      </c>
      <c r="D25" s="1575">
        <f>B25/C25</f>
        <v>4</v>
      </c>
      <c r="E25" s="1575">
        <v>2</v>
      </c>
      <c r="F25" s="1611">
        <f>IF(A25=3,3*G25,IF(A25=1,2*G25,IF(A25="bd",1*G25,IF(A25="fwd",1,"Error"))))</f>
        <v>250.8750448437242</v>
      </c>
      <c r="G25" s="1582">
        <f>(-AE25+SQRT(AG25))/2/AD25</f>
        <v>125.4375224218621</v>
      </c>
      <c r="H25" s="1583">
        <f>IF(A25=3,SQRT(3),IF(A25=1,SQRT(2),1))</f>
        <v>1.4142135623730951</v>
      </c>
      <c r="I25" s="1594">
        <f>H25*G25</f>
        <v>177.39544543947659</v>
      </c>
      <c r="J25" s="1680" t="s">
        <v>552</v>
      </c>
      <c r="K25" s="1418" t="s">
        <v>556</v>
      </c>
      <c r="L25" s="1419">
        <v>250</v>
      </c>
      <c r="M25" s="1419">
        <v>393</v>
      </c>
      <c r="N25" s="1419">
        <v>8800</v>
      </c>
      <c r="O25" s="1412">
        <v>125</v>
      </c>
      <c r="P25" s="1416">
        <v>0.81899999999999995</v>
      </c>
      <c r="Q25" s="1416">
        <v>0.58899999999999997</v>
      </c>
      <c r="R25" s="1416">
        <v>0.14000000000000001</v>
      </c>
      <c r="S25" s="1687">
        <v>0.06</v>
      </c>
      <c r="T25" s="1624">
        <v>13</v>
      </c>
      <c r="U25" s="1616" t="s">
        <v>645</v>
      </c>
      <c r="V25" s="1622">
        <f>IF(E25=1,IF(U25="N",LOOKUP(T25,'HS250-DATA'!C$7:C$10,'HS250-DATA'!D$7:D$10),IF(U25="Y",LOOKUP(T25,'HS250-DATA'!C$22:C$25,'HS250-DATA'!D$22:D$25),"FAN?")),IF(U25="N",LOOKUP(T25,'HS250-DATA'!C$14:C$17,'HS250-DATA'!D$14:D$17),IF(U25="Y",LOOKUP(T25,'HS250-DATA'!C$29:C$32,'HS250-DATA'!D$29:D$32),"FAN?")))</f>
        <v>8.4000000000000005E-2</v>
      </c>
      <c r="W25" s="1602">
        <f>(G25*H25)^2*Q25*10^-3+G25*P25</f>
        <v>121.26865671641787</v>
      </c>
      <c r="X25" s="1602">
        <f>D25*W25</f>
        <v>485.07462686567146</v>
      </c>
      <c r="Y25" s="1602">
        <f>IF(A25=3,W25*6,IF(A25=1,W25*4,W25))</f>
        <v>485.07462686567146</v>
      </c>
      <c r="Z25" s="1579">
        <f>O25-5</f>
        <v>120</v>
      </c>
      <c r="AA25" s="1913">
        <f>D25*W25*V25+AB25</f>
        <v>95.74626865671641</v>
      </c>
      <c r="AB25" s="1588">
        <v>55</v>
      </c>
      <c r="AC25" s="1570"/>
      <c r="AD25" s="1754">
        <f>Q25*10^-3*H25^2</f>
        <v>1.1780000000000002E-3</v>
      </c>
      <c r="AE25" s="1634">
        <f>P25</f>
        <v>0.81899999999999995</v>
      </c>
      <c r="AF25" s="1635">
        <f>(AB25-Z25)/(R25+S25+D25*V25)</f>
        <v>-121.26865671641791</v>
      </c>
      <c r="AG25" s="1646">
        <f>AE25^2-4*AD25*AF25</f>
        <v>1.2421789104477612</v>
      </c>
      <c r="AH25" s="1741">
        <f>SUM(AJ25:AL25)</f>
        <v>186.55</v>
      </c>
      <c r="AI25" s="1607"/>
      <c r="AJ25" s="1733">
        <f>C25*LOOKUP(T25,'HS250-DATA'!C$7:C$10,'HS250-DATA'!F$7:F$10)</f>
        <v>24.55</v>
      </c>
      <c r="AK25" s="1733">
        <f>IF(U25="Y",C25*12,0)</f>
        <v>12</v>
      </c>
      <c r="AL25" s="1733">
        <f>C25*E25*VLOOKUP(K25,'SCR-Diode DATA'!D$7:M$43,10,FALSE)</f>
        <v>150</v>
      </c>
      <c r="AM25" s="507">
        <f>AH25/F25</f>
        <v>0.74359727615078763</v>
      </c>
      <c r="AO25" s="24">
        <f>0.4*F25</f>
        <v>100.35001793748968</v>
      </c>
      <c r="AP25" s="24">
        <f>F25/3</f>
        <v>83.62501494790807</v>
      </c>
      <c r="AQ25" s="24">
        <f>1.8*F25</f>
        <v>451.57508071870359</v>
      </c>
      <c r="AR25">
        <v>500</v>
      </c>
      <c r="AS25">
        <f>LOOKUP(AR25,'FUSE DATA'!X$8:X$43,'FUSE DATA'!Y$8:Y$43)</f>
        <v>2839</v>
      </c>
      <c r="AT25" s="1795">
        <f>AR25/F25</f>
        <v>1.9930240582974741</v>
      </c>
      <c r="AU25" s="1795" t="str">
        <f>IF(AS25&lt;1950,"F1892Sxxxx",IF(AS25&lt;3350,"CS61xx16B",IF(A25&lt;7340,"ND41xx35",IF(A25&lt;19000,"LS41xx60","PS41xx25"))))</f>
        <v>CS61xx16B</v>
      </c>
      <c r="AX25" s="1804">
        <v>300</v>
      </c>
      <c r="AY25" s="1802">
        <v>1324</v>
      </c>
    </row>
    <row r="26" spans="1:51" ht="18.75">
      <c r="A26" s="1598"/>
      <c r="B26" s="1533"/>
      <c r="C26" s="1600"/>
      <c r="D26" s="1575"/>
      <c r="E26" s="1575"/>
      <c r="F26" s="1611">
        <v>250</v>
      </c>
      <c r="G26" s="1582"/>
      <c r="H26" s="1583"/>
      <c r="I26" s="1594"/>
      <c r="J26" s="1680"/>
      <c r="K26" s="1418"/>
      <c r="L26" s="1419"/>
      <c r="M26" s="1419"/>
      <c r="N26" s="1419"/>
      <c r="O26" s="1412"/>
      <c r="P26" s="1416"/>
      <c r="Q26" s="1416"/>
      <c r="R26" s="1416"/>
      <c r="S26" s="1687"/>
      <c r="T26" s="1624"/>
      <c r="U26" s="1616"/>
      <c r="V26" s="1622"/>
      <c r="W26" s="1602"/>
      <c r="X26" s="1602"/>
      <c r="Y26" s="1602"/>
      <c r="Z26" s="1579"/>
      <c r="AA26" s="1913"/>
      <c r="AB26" s="1588"/>
      <c r="AC26" s="1570"/>
      <c r="AD26" s="1754"/>
      <c r="AE26" s="1634"/>
      <c r="AF26" s="1635"/>
      <c r="AG26" s="1646"/>
      <c r="AH26" s="1741"/>
      <c r="AI26" s="1607"/>
      <c r="AJ26" s="1733"/>
      <c r="AK26" s="1733"/>
      <c r="AL26" s="1733"/>
      <c r="AM26" s="507"/>
      <c r="AO26" s="24"/>
      <c r="AP26" s="24"/>
      <c r="AQ26" s="24"/>
      <c r="AT26" s="1795"/>
      <c r="AU26" s="1795"/>
      <c r="AX26" s="1804"/>
      <c r="AY26" s="1802"/>
    </row>
    <row r="27" spans="1:51" ht="18.75">
      <c r="A27" s="1598"/>
      <c r="B27" s="1533"/>
      <c r="C27" s="1600"/>
      <c r="D27" s="1575"/>
      <c r="E27" s="1575"/>
      <c r="F27" s="1611"/>
      <c r="G27" s="1582"/>
      <c r="H27" s="1583"/>
      <c r="I27" s="1594"/>
      <c r="J27" s="1680"/>
      <c r="K27" s="1418"/>
      <c r="L27" s="1419"/>
      <c r="M27" s="1419"/>
      <c r="N27" s="1419"/>
      <c r="O27" s="1412"/>
      <c r="P27" s="1416"/>
      <c r="Q27" s="1416"/>
      <c r="R27" s="1416"/>
      <c r="S27" s="1687"/>
      <c r="T27" s="1624"/>
      <c r="U27" s="1616"/>
      <c r="V27" s="1622"/>
      <c r="W27" s="1602"/>
      <c r="X27" s="1602"/>
      <c r="Y27" s="1602"/>
      <c r="Z27" s="1579"/>
      <c r="AA27" s="1913"/>
      <c r="AB27" s="1588"/>
      <c r="AC27" s="1570"/>
      <c r="AD27" s="1754"/>
      <c r="AE27" s="1634"/>
      <c r="AF27" s="1635"/>
      <c r="AG27" s="1646"/>
      <c r="AH27" s="1741"/>
      <c r="AI27" s="1607"/>
      <c r="AJ27" s="1733"/>
      <c r="AK27" s="1733"/>
      <c r="AL27" s="1733"/>
      <c r="AM27" s="507"/>
      <c r="AO27" s="24"/>
      <c r="AP27" s="24"/>
      <c r="AQ27" s="24"/>
      <c r="AT27" s="1795"/>
      <c r="AU27" s="1795"/>
      <c r="AX27" s="1804"/>
      <c r="AY27" s="1802"/>
    </row>
    <row r="28" spans="1:51" s="330" customFormat="1" ht="18.75">
      <c r="A28" s="1598">
        <v>1</v>
      </c>
      <c r="B28" s="1776">
        <f>IF(A28=3,6,IF(A28=1,4,IF(A28="bd",1,IF(A28="fwd",1,"Circuit Type"))))</f>
        <v>4</v>
      </c>
      <c r="C28" s="1600">
        <v>2</v>
      </c>
      <c r="D28" s="1600">
        <f>B28/C28</f>
        <v>2</v>
      </c>
      <c r="E28" s="1600">
        <v>1</v>
      </c>
      <c r="F28" s="1611">
        <f>IF(A28=3,3*G28,IF(A28=1,2*G28,IF(A28="bd",1*G28,IF(A28="fwd",1,"Error"))))</f>
        <v>314.24804636848472</v>
      </c>
      <c r="G28" s="1777">
        <f>(-AE28+SQRT(AG28))/2/AD28</f>
        <v>157.12402318424236</v>
      </c>
      <c r="H28" s="1778">
        <f>IF(A28=3,SQRT(3),IF(A28=1,SQRT(2),1))</f>
        <v>1.4142135623730951</v>
      </c>
      <c r="I28" s="1779">
        <f>H28*G28</f>
        <v>222.20692456178017</v>
      </c>
      <c r="J28" s="1780" t="s">
        <v>552</v>
      </c>
      <c r="K28" s="1781" t="s">
        <v>556</v>
      </c>
      <c r="L28" s="1782">
        <v>250</v>
      </c>
      <c r="M28" s="1782">
        <v>393</v>
      </c>
      <c r="N28" s="1782">
        <v>8800</v>
      </c>
      <c r="O28" s="1783">
        <v>125</v>
      </c>
      <c r="P28" s="1784">
        <v>0.81899999999999995</v>
      </c>
      <c r="Q28" s="1784">
        <v>0.58899999999999997</v>
      </c>
      <c r="R28" s="1784">
        <v>0.14000000000000001</v>
      </c>
      <c r="S28" s="1785">
        <v>0.06</v>
      </c>
      <c r="T28" s="1624">
        <v>15</v>
      </c>
      <c r="U28" s="1616" t="s">
        <v>645</v>
      </c>
      <c r="V28" s="1622">
        <f>IF(E28=1,IF(U28="N",LOOKUP(T28,'HS250-DATA'!C$7:C$10,'HS250-DATA'!D$7:D$10),IF(U28="Y",LOOKUP(T28,'HS250-DATA'!C$22:C$25,'HS250-DATA'!D$22:D$25),"FAN?")),IF(U28="N",LOOKUP(T28,'HS250-DATA'!C$14:C$17,'HS250-DATA'!D$14:D$17),IF(U28="Y",LOOKUP(T28,'HS250-DATA'!C$29:C$32,'HS250-DATA'!D$29:D$32),"FAN?")))</f>
        <v>0.106</v>
      </c>
      <c r="W28" s="1786">
        <f>(G28*H28)^2*Q28*10^-3+G28*P28</f>
        <v>157.76699029126203</v>
      </c>
      <c r="X28" s="1786">
        <f>D28*W28</f>
        <v>315.53398058252407</v>
      </c>
      <c r="Y28" s="1786">
        <f>IF(A28=3,W28*6,IF(A28=1,W28*4,W28))</f>
        <v>631.06796116504813</v>
      </c>
      <c r="Z28" s="1579">
        <f>O28-5</f>
        <v>120</v>
      </c>
      <c r="AA28" s="1915">
        <f>D28*W28*V28+AB28</f>
        <v>88.446601941747559</v>
      </c>
      <c r="AB28" s="1787">
        <v>55</v>
      </c>
      <c r="AC28" s="1788"/>
      <c r="AD28" s="1754">
        <f>Q28*10^-3*H28^2</f>
        <v>1.1780000000000002E-3</v>
      </c>
      <c r="AE28" s="1634">
        <f>P28</f>
        <v>0.81899999999999995</v>
      </c>
      <c r="AF28" s="1635">
        <f>(AB28-Z28)/(R28+S28+D28*V28)</f>
        <v>-157.76699029126212</v>
      </c>
      <c r="AG28" s="1789">
        <f>AE28^2-4*AD28*AF28</f>
        <v>1.414159058252427</v>
      </c>
      <c r="AH28" s="1790">
        <f>SUM(AJ28:AL28)</f>
        <v>230.52</v>
      </c>
      <c r="AI28" s="1791"/>
      <c r="AJ28" s="1792">
        <f>C28*LOOKUP(T28,'HS250-DATA'!C$7:C$10,'HS250-DATA'!F$7:F$10)</f>
        <v>56.52</v>
      </c>
      <c r="AK28" s="1792">
        <f>IF(U28="Y",C28*12,0)</f>
        <v>24</v>
      </c>
      <c r="AL28" s="1792">
        <f>C28*E28*VLOOKUP(K28,'SCR-Diode DATA'!D$7:M$43,10,FALSE)</f>
        <v>150</v>
      </c>
      <c r="AM28" s="1793">
        <f>AH28/F28</f>
        <v>0.73356064632361828</v>
      </c>
      <c r="AO28" s="24">
        <f>0.4*F28</f>
        <v>125.6992185473939</v>
      </c>
      <c r="AP28" s="24">
        <f>F28/3</f>
        <v>104.7493487894949</v>
      </c>
      <c r="AQ28" s="24">
        <f>1.8*F28</f>
        <v>565.64648346327249</v>
      </c>
      <c r="AR28">
        <v>600</v>
      </c>
      <c r="AS28">
        <f>LOOKUP(AR28,'FUSE DATA'!X$8:X$43,'FUSE DATA'!Y$8:Y$43)</f>
        <v>3532</v>
      </c>
      <c r="AT28" s="1795">
        <f>AR28/F28</f>
        <v>1.9093197457668356</v>
      </c>
      <c r="AU28" s="1795" t="str">
        <f>IF(AS28&lt;1950,"F1892Sxxxx",IF(AS28&lt;3350,"CS61xx16B",IF(A28&lt;7340,"ND41xx35",IF(A28&lt;19000,"LS41xx60","PS41xx25"))))</f>
        <v>ND41xx35</v>
      </c>
      <c r="AX28" s="1804">
        <v>350</v>
      </c>
      <c r="AY28" s="1802">
        <v>1724</v>
      </c>
    </row>
    <row r="29" spans="1:51" s="330" customFormat="1" ht="18.75">
      <c r="A29" s="1598"/>
      <c r="B29" s="1776"/>
      <c r="C29" s="1600"/>
      <c r="D29" s="1600"/>
      <c r="E29" s="1600"/>
      <c r="F29" s="1611">
        <v>300</v>
      </c>
      <c r="G29" s="1777"/>
      <c r="H29" s="1778"/>
      <c r="I29" s="1779"/>
      <c r="J29" s="1780"/>
      <c r="K29" s="1781"/>
      <c r="L29" s="1782"/>
      <c r="M29" s="1782"/>
      <c r="N29" s="1782"/>
      <c r="O29" s="1783"/>
      <c r="P29" s="1784"/>
      <c r="Q29" s="1784"/>
      <c r="R29" s="1784"/>
      <c r="S29" s="1785"/>
      <c r="T29" s="1624"/>
      <c r="U29" s="1616"/>
      <c r="V29" s="1622"/>
      <c r="W29" s="1786"/>
      <c r="X29" s="1786"/>
      <c r="Y29" s="1786"/>
      <c r="Z29" s="1579"/>
      <c r="AA29" s="1915"/>
      <c r="AB29" s="1787"/>
      <c r="AC29" s="1788"/>
      <c r="AD29" s="1754"/>
      <c r="AE29" s="1634"/>
      <c r="AF29" s="1635"/>
      <c r="AG29" s="1789"/>
      <c r="AH29" s="1790"/>
      <c r="AI29" s="1791"/>
      <c r="AJ29" s="1792"/>
      <c r="AK29" s="1792"/>
      <c r="AL29" s="1792"/>
      <c r="AM29" s="1793"/>
      <c r="AO29" s="24"/>
      <c r="AP29" s="24"/>
      <c r="AQ29" s="24"/>
      <c r="AR29"/>
      <c r="AS29"/>
      <c r="AT29" s="1795"/>
      <c r="AU29" s="1795"/>
      <c r="AX29" s="1804"/>
      <c r="AY29" s="1802"/>
    </row>
    <row r="30" spans="1:51" ht="18.75">
      <c r="A30" s="1598"/>
      <c r="B30" s="1533"/>
      <c r="C30" s="1600"/>
      <c r="D30" s="1575"/>
      <c r="E30" s="1575"/>
      <c r="F30" s="1611"/>
      <c r="G30" s="1582"/>
      <c r="H30" s="1583"/>
      <c r="I30" s="1594"/>
      <c r="J30" s="1680"/>
      <c r="K30" s="1418"/>
      <c r="L30" s="1419"/>
      <c r="M30" s="1419"/>
      <c r="N30" s="1419"/>
      <c r="O30" s="1412"/>
      <c r="P30" s="1416"/>
      <c r="Q30" s="1416"/>
      <c r="R30" s="1416"/>
      <c r="S30" s="1687"/>
      <c r="T30" s="1624"/>
      <c r="U30" s="1616"/>
      <c r="V30" s="1622"/>
      <c r="W30" s="1602"/>
      <c r="X30" s="1602"/>
      <c r="Y30" s="1602"/>
      <c r="Z30" s="1579"/>
      <c r="AA30" s="1913"/>
      <c r="AB30" s="1588"/>
      <c r="AC30" s="1570"/>
      <c r="AD30" s="1754"/>
      <c r="AE30" s="1634"/>
      <c r="AF30" s="1635"/>
      <c r="AG30" s="1646"/>
      <c r="AH30" s="1742"/>
      <c r="AI30" s="1607"/>
      <c r="AJ30" s="1607"/>
      <c r="AK30" s="1607"/>
      <c r="AL30" s="1733"/>
      <c r="AM30" s="1743"/>
      <c r="AQ30" s="24"/>
      <c r="AX30" s="1804">
        <v>400</v>
      </c>
      <c r="AY30" s="1802">
        <v>1984</v>
      </c>
    </row>
    <row r="31" spans="1:51" ht="18.75">
      <c r="A31" s="1598">
        <v>3</v>
      </c>
      <c r="B31" s="1533">
        <f>IF(A31=3,6,IF(A31=1,4,IF(A31="bd",1,IF(A31="fwd",1,"Circuit Type"))))</f>
        <v>6</v>
      </c>
      <c r="C31" s="1600">
        <v>1</v>
      </c>
      <c r="D31" s="1575">
        <f>B31/C31</f>
        <v>6</v>
      </c>
      <c r="E31" s="1575">
        <v>3</v>
      </c>
      <c r="F31" s="1611">
        <f>IF(A31=3,3*G31,IF(A31=1,2*G31,IF(A31="bd",1*G31,IF(A31="fwd",1,"Error"))))</f>
        <v>401.85264272295422</v>
      </c>
      <c r="G31" s="1582">
        <f>(-AE31+SQRT(AG31))/2/AD31</f>
        <v>133.9508809076514</v>
      </c>
      <c r="H31" s="1583">
        <f>IF(A31=3,SQRT(3),IF(A31=1,SQRT(2),1))</f>
        <v>1.7320508075688772</v>
      </c>
      <c r="I31" s="1594">
        <f>H31*G31</f>
        <v>232.0097314506601</v>
      </c>
      <c r="J31" s="1680" t="s">
        <v>548</v>
      </c>
      <c r="K31" s="1418" t="s">
        <v>470</v>
      </c>
      <c r="L31" s="1419">
        <v>500</v>
      </c>
      <c r="M31" s="1419">
        <v>900</v>
      </c>
      <c r="N31" s="1419">
        <v>16300</v>
      </c>
      <c r="O31" s="1412">
        <v>125</v>
      </c>
      <c r="P31" s="1416">
        <v>0.81</v>
      </c>
      <c r="Q31" s="1416">
        <v>0.32</v>
      </c>
      <c r="R31" s="1416">
        <v>6.5000000000000002E-2</v>
      </c>
      <c r="S31" s="1687">
        <v>0.02</v>
      </c>
      <c r="T31" s="1624">
        <v>15</v>
      </c>
      <c r="U31" s="1616" t="s">
        <v>645</v>
      </c>
      <c r="V31" s="1622">
        <f>IF(E31=1,IF(U31="N",LOOKUP(T31,'HS250-DATA'!C$7:C$10,'HS250-DATA'!D$7:D$10),IF(U31="Y",LOOKUP(T31,'HS250-DATA'!C$22:C$25,'HS250-DATA'!D$22:D$25),"FAN?")),IF(U31="N",LOOKUP(T31,'HS250-DATA'!C$14:C$17,'HS250-DATA'!D$14:D$17),IF(U31="Y",LOOKUP(T31,'HS250-DATA'!C$29:C$32,'HS250-DATA'!D$29:D$32),"FAN?")))</f>
        <v>7.1999999999999995E-2</v>
      </c>
      <c r="W31" s="1602">
        <f>(G31*H31)^2*Q31*10^-3+G31*P31</f>
        <v>125.725338491296</v>
      </c>
      <c r="X31" s="1602">
        <f>D31*W31</f>
        <v>754.35203094777603</v>
      </c>
      <c r="Y31" s="1602">
        <f>IF(A31=3,W31*6,IF(A31=1,W31*4,W31))</f>
        <v>754.35203094777603</v>
      </c>
      <c r="Z31" s="1579">
        <f>O31-5</f>
        <v>120</v>
      </c>
      <c r="AA31" s="1913">
        <f>D31*W31*V31+AB31</f>
        <v>109.31334622823988</v>
      </c>
      <c r="AB31" s="1588">
        <v>55</v>
      </c>
      <c r="AC31" s="1570"/>
      <c r="AD31" s="1754">
        <f>Q31*10^-3*H31^2</f>
        <v>9.5999999999999992E-4</v>
      </c>
      <c r="AE31" s="1634">
        <f>P31</f>
        <v>0.81</v>
      </c>
      <c r="AF31" s="1635">
        <f>(AB31-Z31)/(R31+S31+D31*V31)</f>
        <v>-125.72533849129596</v>
      </c>
      <c r="AG31" s="1646">
        <f>AE31^2-4*AD31*AF31</f>
        <v>1.1388852998065766</v>
      </c>
      <c r="AH31" s="1741">
        <f>SUM(AJ31:AL31)</f>
        <v>445.26</v>
      </c>
      <c r="AI31" s="1607"/>
      <c r="AJ31" s="1733">
        <f>C31*LOOKUP(T31,'HS250-DATA'!C$7:C$10,'HS250-DATA'!F$7:F$10)</f>
        <v>28.26</v>
      </c>
      <c r="AK31" s="1733">
        <f>IF(U31="Y",C31*12,0)</f>
        <v>12</v>
      </c>
      <c r="AL31" s="1733">
        <f>C31*E31*VLOOKUP(K31,'SCR-Diode DATA'!D$7:M$43,10,FALSE)</f>
        <v>405</v>
      </c>
      <c r="AM31" s="507">
        <f>AH31/F31</f>
        <v>1.1080180958445798</v>
      </c>
      <c r="AO31" s="24">
        <f>0.4*F31</f>
        <v>160.74105708918171</v>
      </c>
      <c r="AP31" s="24">
        <f>F31/3</f>
        <v>133.9508809076514</v>
      </c>
      <c r="AQ31" s="24">
        <f>1.8*F31</f>
        <v>723.33475690131763</v>
      </c>
      <c r="AR31">
        <v>800</v>
      </c>
      <c r="AS31">
        <f>LOOKUP(AR31,'FUSE DATA'!X$8:X$43,'FUSE DATA'!Y$8:Y$43)</f>
        <v>4196</v>
      </c>
      <c r="AT31" s="1795">
        <f>AR31/F31</f>
        <v>1.9907794921521447</v>
      </c>
      <c r="AU31" s="1795" t="str">
        <f>IF(AS31&lt;1950,"F1892Sxxxx",IF(AS31&lt;3350,"CS61xx16B",IF(A31&lt;7340,"ND41xx35",IF(A31&lt;19000,"LS41xx60","PS41xx25"))))</f>
        <v>ND41xx35</v>
      </c>
      <c r="AX31" s="1804">
        <v>450</v>
      </c>
      <c r="AY31" s="1802">
        <v>2578</v>
      </c>
    </row>
    <row r="32" spans="1:51" ht="18.75">
      <c r="A32" s="1598"/>
      <c r="B32" s="1533"/>
      <c r="C32" s="1600"/>
      <c r="D32" s="1575"/>
      <c r="E32" s="1575"/>
      <c r="F32" s="1611"/>
      <c r="G32" s="1582"/>
      <c r="H32" s="1583"/>
      <c r="I32" s="1594"/>
      <c r="J32" s="1680"/>
      <c r="K32" s="1418"/>
      <c r="L32" s="1419"/>
      <c r="M32" s="1419"/>
      <c r="N32" s="1419"/>
      <c r="O32" s="1412"/>
      <c r="P32" s="1416"/>
      <c r="Q32" s="1416"/>
      <c r="R32" s="1416"/>
      <c r="S32" s="1687"/>
      <c r="T32" s="1624"/>
      <c r="U32" s="1616"/>
      <c r="V32" s="1622"/>
      <c r="W32" s="1602"/>
      <c r="X32" s="1602"/>
      <c r="Y32" s="1602"/>
      <c r="Z32" s="1579"/>
      <c r="AA32" s="1913"/>
      <c r="AB32" s="1588"/>
      <c r="AC32" s="1570"/>
      <c r="AD32" s="1754"/>
      <c r="AE32" s="1634"/>
      <c r="AF32" s="1635"/>
      <c r="AG32" s="1646"/>
      <c r="AH32" s="1742"/>
      <c r="AI32" s="1607"/>
      <c r="AJ32" s="1607"/>
      <c r="AK32" s="1607"/>
      <c r="AL32" s="1733"/>
      <c r="AM32" s="1743"/>
      <c r="AQ32" s="24"/>
      <c r="AX32" s="1804"/>
      <c r="AY32" s="1802"/>
    </row>
    <row r="33" spans="1:51" ht="18.75">
      <c r="A33" s="1598">
        <v>1</v>
      </c>
      <c r="B33" s="1533">
        <f>IF(A33=3,6,IF(A33=1,4,IF(A33="bd",1,IF(A33="fwd",1,"Circuit Type"))))</f>
        <v>4</v>
      </c>
      <c r="C33" s="1600">
        <v>2</v>
      </c>
      <c r="D33" s="1575">
        <f>B33/C33</f>
        <v>2</v>
      </c>
      <c r="E33" s="1575">
        <v>1</v>
      </c>
      <c r="F33" s="1611">
        <f>IF(A33=3,3*G33,IF(A33=1,2*G33,IF(A33="bd",1*G33,IF(A33="fwd",1,"Error"))))</f>
        <v>457.64275588418582</v>
      </c>
      <c r="G33" s="1582">
        <f>(-AE33+SQRT(AG33))/2/AD33</f>
        <v>228.82137794209291</v>
      </c>
      <c r="H33" s="1583">
        <f>IF(A33=3,SQRT(3),IF(A33=1,SQRT(2),1))</f>
        <v>1.4142135623730951</v>
      </c>
      <c r="I33" s="1594">
        <f>H33*G33</f>
        <v>323.60229604660759</v>
      </c>
      <c r="J33" s="1680" t="s">
        <v>548</v>
      </c>
      <c r="K33" s="1418" t="s">
        <v>665</v>
      </c>
      <c r="L33" s="1419">
        <v>500</v>
      </c>
      <c r="M33" s="1419">
        <v>900</v>
      </c>
      <c r="N33" s="1419">
        <v>16300</v>
      </c>
      <c r="O33" s="1412">
        <v>125</v>
      </c>
      <c r="P33" s="1416">
        <v>0.81</v>
      </c>
      <c r="Q33" s="1416">
        <v>0.32</v>
      </c>
      <c r="R33" s="1416">
        <v>6.5000000000000002E-2</v>
      </c>
      <c r="S33" s="1687">
        <v>0.02</v>
      </c>
      <c r="T33" s="1624">
        <v>15</v>
      </c>
      <c r="U33" s="1616" t="s">
        <v>645</v>
      </c>
      <c r="V33" s="1622">
        <f>IF(E33=1,IF(U33="N",LOOKUP(T33,'HS250-DATA'!C$7:C$10,'HS250-DATA'!D$7:D$10),IF(U33="Y",LOOKUP(T33,'HS250-DATA'!C$22:C$25,'HS250-DATA'!D$22:D$25),"FAN?")),IF(U33="N",LOOKUP(T33,'HS250-DATA'!C$14:C$17,'HS250-DATA'!D$14:D$17),IF(U33="Y",LOOKUP(T33,'HS250-DATA'!C$29:C$32,'HS250-DATA'!D$29:D$32),"FAN?")))</f>
        <v>0.106</v>
      </c>
      <c r="W33" s="1602">
        <f>(G33*H33)^2*Q33*10^-3+G33*P33</f>
        <v>218.85521885521888</v>
      </c>
      <c r="X33" s="1602">
        <f>D33*W33</f>
        <v>437.71043771043776</v>
      </c>
      <c r="Y33" s="1602">
        <f>IF(A33=3,W33*6,IF(A33=1,W33*4,W33))</f>
        <v>875.42087542087552</v>
      </c>
      <c r="Z33" s="1579">
        <f>O33-5</f>
        <v>120</v>
      </c>
      <c r="AA33" s="1913">
        <f>D33*W33*V33+AB33</f>
        <v>101.39730639730641</v>
      </c>
      <c r="AB33" s="1588">
        <v>55</v>
      </c>
      <c r="AC33" s="1570"/>
      <c r="AD33" s="1754">
        <f>Q33*10^-3*H33^2</f>
        <v>6.4000000000000016E-4</v>
      </c>
      <c r="AE33" s="1634">
        <f>P33</f>
        <v>0.81</v>
      </c>
      <c r="AF33" s="1635">
        <f>(AB33-Z33)/(R33+S33+D33*V33)</f>
        <v>-218.85521885521888</v>
      </c>
      <c r="AG33" s="1646">
        <f>AE33^2-4*AD33*AF33</f>
        <v>1.2163693602693606</v>
      </c>
      <c r="AH33" s="1741">
        <f>SUM(AJ33:AL33)</f>
        <v>350.52</v>
      </c>
      <c r="AI33" s="1607"/>
      <c r="AJ33" s="1733">
        <f>C33*LOOKUP(T33,'HS250-DATA'!C$7:C$10,'HS250-DATA'!F$7:F$10)</f>
        <v>56.52</v>
      </c>
      <c r="AK33" s="1733">
        <f>IF(U33="Y",C33*12,0)</f>
        <v>24</v>
      </c>
      <c r="AL33" s="1733">
        <f>C33*E33*VLOOKUP(K33,'SCR-Diode DATA'!D$7:M$43,10,FALSE)</f>
        <v>270</v>
      </c>
      <c r="AM33" s="507">
        <f>AH33/F33</f>
        <v>0.76592493925262728</v>
      </c>
      <c r="AO33" s="24">
        <f>0.4*F33</f>
        <v>183.05710235367434</v>
      </c>
      <c r="AP33" s="24">
        <f>F33/3</f>
        <v>152.54758529472861</v>
      </c>
      <c r="AQ33" s="24">
        <f>1.8*F33</f>
        <v>823.75696059153449</v>
      </c>
      <c r="AR33">
        <v>800</v>
      </c>
      <c r="AS33">
        <f>LOOKUP(AR33,'FUSE DATA'!X$8:X$43,'FUSE DATA'!Y$8:Y$43)</f>
        <v>4196</v>
      </c>
      <c r="AT33" s="1795">
        <f>AR33/F33</f>
        <v>1.7480884155029723</v>
      </c>
      <c r="AU33" s="1795" t="str">
        <f>IF(AS33&lt;1950,"F1892Sxxxx",IF(AS33&lt;3350,"CS61xx16B",IF(A33&lt;7340,"ND41xx35",IF(A33&lt;19000,"LS41xx60","PS41xx25"))))</f>
        <v>ND41xx35</v>
      </c>
      <c r="AX33" s="1804">
        <v>450</v>
      </c>
      <c r="AY33" s="1802">
        <v>2578</v>
      </c>
    </row>
    <row r="34" spans="1:51" ht="18.75">
      <c r="A34" s="1598"/>
      <c r="B34" s="1533"/>
      <c r="C34" s="1600"/>
      <c r="D34" s="1575"/>
      <c r="E34" s="1575"/>
      <c r="F34" s="1611"/>
      <c r="G34" s="1582"/>
      <c r="H34" s="1583"/>
      <c r="I34" s="1594"/>
      <c r="J34" s="1680"/>
      <c r="K34" s="1418"/>
      <c r="L34" s="1419"/>
      <c r="M34" s="1419"/>
      <c r="N34" s="1419"/>
      <c r="O34" s="1412"/>
      <c r="P34" s="1416"/>
      <c r="Q34" s="1416"/>
      <c r="R34" s="1416"/>
      <c r="S34" s="1687"/>
      <c r="T34" s="1624"/>
      <c r="U34" s="1616"/>
      <c r="V34" s="1622"/>
      <c r="W34" s="1602"/>
      <c r="X34" s="1602"/>
      <c r="Y34" s="1602"/>
      <c r="Z34" s="1579"/>
      <c r="AA34" s="1913"/>
      <c r="AB34" s="1588"/>
      <c r="AC34" s="1570"/>
      <c r="AD34" s="1754"/>
      <c r="AE34" s="1634"/>
      <c r="AF34" s="1635"/>
      <c r="AG34" s="1646"/>
      <c r="AH34" s="1741"/>
      <c r="AI34" s="1607"/>
      <c r="AJ34" s="1733"/>
      <c r="AK34" s="1733"/>
      <c r="AL34" s="1733"/>
      <c r="AM34" s="507"/>
      <c r="AO34" s="24"/>
      <c r="AP34" s="24"/>
      <c r="AQ34" s="24"/>
      <c r="AT34" s="1795"/>
      <c r="AU34" s="1795"/>
      <c r="AX34" s="1804"/>
      <c r="AY34" s="1802"/>
    </row>
    <row r="35" spans="1:51" s="1873" customFormat="1" ht="18.75">
      <c r="A35" s="1820">
        <v>3</v>
      </c>
      <c r="B35" s="1855">
        <f>IF(A35=3,6,IF(A35=1,4,IF(A35="bd",1,IF(A35="fwd",1,"Circuit Type"))))</f>
        <v>6</v>
      </c>
      <c r="C35" s="1822">
        <v>3</v>
      </c>
      <c r="D35" s="1822">
        <f>B35/C35</f>
        <v>2</v>
      </c>
      <c r="E35" s="1822">
        <v>1</v>
      </c>
      <c r="F35" s="1824">
        <f>IF(A35=3,3*G35,IF(A35=1,2*G35,IF(A35="bd",1*G35,IF(A35="fwd",1,"Error"))))</f>
        <v>645.807530170154</v>
      </c>
      <c r="G35" s="1856">
        <f>(-AE35+SQRT(AG35))/2/AD35</f>
        <v>215.26917672338467</v>
      </c>
      <c r="H35" s="1857">
        <f>IF(A35=3,SQRT(3),IF(A35=1,SQRT(2),1))</f>
        <v>1.7320508075688772</v>
      </c>
      <c r="I35" s="1858">
        <f>H35*G35</f>
        <v>372.85715138842579</v>
      </c>
      <c r="J35" s="1859" t="s">
        <v>548</v>
      </c>
      <c r="K35" s="1860" t="s">
        <v>470</v>
      </c>
      <c r="L35" s="1861">
        <v>500</v>
      </c>
      <c r="M35" s="1861">
        <v>900</v>
      </c>
      <c r="N35" s="1861">
        <v>16300</v>
      </c>
      <c r="O35" s="1862">
        <v>125</v>
      </c>
      <c r="P35" s="1863">
        <v>0.81</v>
      </c>
      <c r="Q35" s="1863">
        <v>0.32</v>
      </c>
      <c r="R35" s="1863">
        <v>6.5000000000000002E-2</v>
      </c>
      <c r="S35" s="1864">
        <v>0.02</v>
      </c>
      <c r="T35" s="1834">
        <v>15</v>
      </c>
      <c r="U35" s="1835" t="s">
        <v>645</v>
      </c>
      <c r="V35" s="1836">
        <f>IF(E35=1,IF(U35="N",LOOKUP(T35,'HS250-DATA'!C$7:C$10,'HS250-DATA'!D$7:D$10),IF(U35="Y",LOOKUP(T35,'HS250-DATA'!C$22:C$25,'HS250-DATA'!D$22:D$25),"FAN?")),IF(U35="N",LOOKUP(T35,'HS250-DATA'!C$14:C$17,'HS250-DATA'!D$14:D$17),IF(U35="Y",LOOKUP(T35,'HS250-DATA'!C$29:C$32,'HS250-DATA'!D$29:D$32),"FAN?")))</f>
        <v>0.106</v>
      </c>
      <c r="W35" s="1865">
        <f>(G35*H35)^2*Q35*10^-3+G35*P35</f>
        <v>218.85521885521888</v>
      </c>
      <c r="X35" s="1865">
        <f>D35*W35</f>
        <v>437.71043771043776</v>
      </c>
      <c r="Y35" s="1865">
        <f>IF(A35=3,W35*6,IF(A35=1,W35*4,W35))</f>
        <v>1313.1313131313132</v>
      </c>
      <c r="Z35" s="1838">
        <f>O35-5</f>
        <v>120</v>
      </c>
      <c r="AA35" s="1914">
        <f>D35*W35*V35+AB35</f>
        <v>101.39730639730641</v>
      </c>
      <c r="AB35" s="1866">
        <v>55</v>
      </c>
      <c r="AC35" s="1867"/>
      <c r="AD35" s="1841">
        <f>Q35*10^-3*H35^2</f>
        <v>9.5999999999999992E-4</v>
      </c>
      <c r="AE35" s="1842">
        <f>P35</f>
        <v>0.81</v>
      </c>
      <c r="AF35" s="1843">
        <f>(AB35-Z35)/(R35+S35+D35*V35)</f>
        <v>-218.85521885521888</v>
      </c>
      <c r="AG35" s="1868">
        <f>AE35^2-4*AD35*AF35</f>
        <v>1.4965040404040404</v>
      </c>
      <c r="AH35" s="1869">
        <f>SUM(AJ35:AL35)</f>
        <v>525.78</v>
      </c>
      <c r="AI35" s="1870"/>
      <c r="AJ35" s="1871">
        <f>C35*LOOKUP(T35,'HS250-DATA'!C$7:C$10,'HS250-DATA'!F$7:F$10)</f>
        <v>84.78</v>
      </c>
      <c r="AK35" s="1871">
        <f>IF(U35="Y",C35*12,0)</f>
        <v>36</v>
      </c>
      <c r="AL35" s="1871">
        <f>C35*E35*VLOOKUP(K35,'SCR-Diode DATA'!D$7:M$43,10,FALSE)</f>
        <v>405</v>
      </c>
      <c r="AM35" s="1872">
        <f>AH35/F35</f>
        <v>0.81414349544897724</v>
      </c>
      <c r="AO35" s="1850">
        <f>0.4*F35</f>
        <v>258.32301206806159</v>
      </c>
      <c r="AP35" s="1850">
        <f>F35/3</f>
        <v>215.26917672338467</v>
      </c>
      <c r="AQ35" s="1850">
        <f>1.8*F35</f>
        <v>1162.4535543062773</v>
      </c>
      <c r="AR35" s="1849">
        <v>1200</v>
      </c>
      <c r="AS35" s="1849">
        <f>LOOKUP(AR35,'FUSE DATA'!X$8:X$43,'FUSE DATA'!Y$8:Y$43)</f>
        <v>7286</v>
      </c>
      <c r="AT35" s="1852">
        <f>AR35/F35</f>
        <v>1.8581387548761321</v>
      </c>
      <c r="AU35" s="1852" t="str">
        <f>IF(AS35&lt;1950,"F1892Sxxxx",IF(AS35&lt;3350,"CS61xx16B",IF(A35&lt;7340,"ND41xx35",IF(A35&lt;19000,"LS41xx60","PS41xx25"))))</f>
        <v>ND41xx35</v>
      </c>
      <c r="AX35" s="1853">
        <v>500</v>
      </c>
      <c r="AY35" s="1874">
        <v>2839</v>
      </c>
    </row>
    <row r="36" spans="1:51" s="1873" customFormat="1" ht="18.75">
      <c r="A36" s="1820"/>
      <c r="B36" s="1855"/>
      <c r="C36" s="1822"/>
      <c r="D36" s="1822"/>
      <c r="E36" s="1822"/>
      <c r="F36" s="1824">
        <v>650</v>
      </c>
      <c r="G36" s="1856"/>
      <c r="H36" s="1857"/>
      <c r="I36" s="1858"/>
      <c r="J36" s="1859"/>
      <c r="K36" s="1860"/>
      <c r="L36" s="1861"/>
      <c r="M36" s="1861"/>
      <c r="N36" s="1861"/>
      <c r="O36" s="1862"/>
      <c r="P36" s="1863"/>
      <c r="Q36" s="1863"/>
      <c r="R36" s="1863"/>
      <c r="S36" s="1864"/>
      <c r="T36" s="1834"/>
      <c r="U36" s="1835"/>
      <c r="V36" s="1836"/>
      <c r="W36" s="1865"/>
      <c r="X36" s="1865"/>
      <c r="Y36" s="1865"/>
      <c r="Z36" s="1838"/>
      <c r="AA36" s="1914"/>
      <c r="AB36" s="1866"/>
      <c r="AC36" s="1867"/>
      <c r="AD36" s="1841"/>
      <c r="AE36" s="1842"/>
      <c r="AF36" s="1843"/>
      <c r="AG36" s="1868"/>
      <c r="AH36" s="1869"/>
      <c r="AI36" s="1906">
        <f>AH35/F36</f>
        <v>0.80889230769230769</v>
      </c>
      <c r="AJ36" s="1871"/>
      <c r="AK36" s="1871"/>
      <c r="AL36" s="1871"/>
      <c r="AM36" s="1872"/>
      <c r="AO36" s="1850"/>
      <c r="AP36" s="1850"/>
      <c r="AQ36" s="1850"/>
      <c r="AR36" s="1849"/>
      <c r="AS36" s="1849"/>
      <c r="AT36" s="1852"/>
      <c r="AU36" s="1852"/>
      <c r="AX36" s="1853"/>
      <c r="AY36" s="1874"/>
    </row>
    <row r="37" spans="1:51" ht="18.75">
      <c r="A37" s="1598"/>
      <c r="B37" s="1533"/>
      <c r="C37" s="1600"/>
      <c r="D37" s="1575"/>
      <c r="E37" s="1575"/>
      <c r="F37" s="1611"/>
      <c r="G37" s="1582"/>
      <c r="H37" s="1583"/>
      <c r="I37" s="1594"/>
      <c r="J37" s="1680"/>
      <c r="K37" s="1418"/>
      <c r="L37" s="1419"/>
      <c r="M37" s="1419"/>
      <c r="N37" s="1419"/>
      <c r="O37" s="1412"/>
      <c r="P37" s="1416"/>
      <c r="Q37" s="1416"/>
      <c r="R37" s="1416"/>
      <c r="S37" s="1687"/>
      <c r="T37" s="1624"/>
      <c r="U37" s="1616"/>
      <c r="V37" s="1622"/>
      <c r="W37" s="1602"/>
      <c r="X37" s="1602"/>
      <c r="Y37" s="1602"/>
      <c r="Z37" s="1579"/>
      <c r="AA37" s="1913"/>
      <c r="AB37" s="1588"/>
      <c r="AC37" s="1570"/>
      <c r="AD37" s="1754"/>
      <c r="AE37" s="1634"/>
      <c r="AF37" s="1635"/>
      <c r="AG37" s="1646"/>
      <c r="AH37" s="1742"/>
      <c r="AI37" s="1607"/>
      <c r="AJ37" s="1607"/>
      <c r="AK37" s="1607"/>
      <c r="AL37" s="1733"/>
      <c r="AM37" s="1743"/>
      <c r="AQ37" s="24"/>
      <c r="AX37" s="1804">
        <v>550</v>
      </c>
      <c r="AY37" s="1802">
        <v>3110</v>
      </c>
    </row>
    <row r="38" spans="1:51" s="1873" customFormat="1" ht="18.75">
      <c r="A38" s="1820">
        <v>3</v>
      </c>
      <c r="B38" s="1855">
        <f>IF(A38=3,6,IF(A38=1,4,IF(A38="bd",1,IF(A38="fwd",1,"Circuit Type"))))</f>
        <v>6</v>
      </c>
      <c r="C38" s="1822">
        <v>3</v>
      </c>
      <c r="D38" s="1822">
        <f>B38/C38</f>
        <v>2</v>
      </c>
      <c r="E38" s="1822">
        <v>1</v>
      </c>
      <c r="F38" s="1824">
        <f>IF(A38=3,3*G38,IF(A38=1,2*G38,IF(A38="bd",1*G38,IF(A38="fwd",1,"Error"))))</f>
        <v>796.91355576894216</v>
      </c>
      <c r="G38" s="1856">
        <f>(-AE38+SQRT(AG38))/2/AD38</f>
        <v>265.6378519229807</v>
      </c>
      <c r="H38" s="1857">
        <f>IF(A38=3,SQRT(3),IF(A38=1,SQRT(2),1))</f>
        <v>1.7320508075688772</v>
      </c>
      <c r="I38" s="1858">
        <f>H38*G38</f>
        <v>460.09825594406055</v>
      </c>
      <c r="J38" s="1859" t="s">
        <v>548</v>
      </c>
      <c r="K38" s="1860" t="s">
        <v>471</v>
      </c>
      <c r="L38" s="1861">
        <v>700</v>
      </c>
      <c r="M38" s="1861">
        <v>1100</v>
      </c>
      <c r="N38" s="1861">
        <v>36500</v>
      </c>
      <c r="O38" s="1862">
        <v>125</v>
      </c>
      <c r="P38" s="1863">
        <v>0.70299999999999996</v>
      </c>
      <c r="Q38" s="1863">
        <v>0.184</v>
      </c>
      <c r="R38" s="1863">
        <v>5.8000000000000003E-2</v>
      </c>
      <c r="S38" s="1864">
        <v>1.7999999999999999E-2</v>
      </c>
      <c r="T38" s="1834">
        <v>15</v>
      </c>
      <c r="U38" s="1835" t="s">
        <v>645</v>
      </c>
      <c r="V38" s="1836">
        <f>IF(E38=1,IF(U38="N",LOOKUP(T38,'HS250-DATA'!C$7:C$10,'HS250-DATA'!D$7:D$10),IF(U38="Y",LOOKUP(T38,'HS250-DATA'!C$22:C$25,'HS250-DATA'!D$22:D$25),"FAN?")),IF(U38="N",LOOKUP(T38,'HS250-DATA'!C$14:C$17,'HS250-DATA'!D$14:D$17),IF(U38="Y",LOOKUP(T38,'HS250-DATA'!C$29:C$32,'HS250-DATA'!D$29:D$32),"FAN?")))</f>
        <v>0.106</v>
      </c>
      <c r="W38" s="1865">
        <f>(G38*H38)^2*Q38*10^-3+G38*P38</f>
        <v>225.6944444444444</v>
      </c>
      <c r="X38" s="1865">
        <f>D38*W38</f>
        <v>451.3888888888888</v>
      </c>
      <c r="Y38" s="1865">
        <f>IF(A38=3,W38*6,IF(A38=1,W38*4,W38))</f>
        <v>1354.1666666666665</v>
      </c>
      <c r="Z38" s="1838">
        <f>O38-5</f>
        <v>120</v>
      </c>
      <c r="AA38" s="1914">
        <f>D38*W38*V38+AB38</f>
        <v>102.84722222222221</v>
      </c>
      <c r="AB38" s="1866">
        <v>55</v>
      </c>
      <c r="AC38" s="1867"/>
      <c r="AD38" s="1841">
        <f>Q38*10^-3*H38^2</f>
        <v>5.5199999999999986E-4</v>
      </c>
      <c r="AE38" s="1842">
        <f>P38</f>
        <v>0.70299999999999996</v>
      </c>
      <c r="AF38" s="1843">
        <f>(AB38-Z38)/(R38+S38+D38*V38)</f>
        <v>-225.69444444444446</v>
      </c>
      <c r="AG38" s="1868">
        <f>AE38^2-4*AD38*AF38</f>
        <v>0.99254233333333319</v>
      </c>
      <c r="AH38" s="1879">
        <f>SUM(AJ38:AL38)</f>
        <v>1095.78</v>
      </c>
      <c r="AI38" s="1870"/>
      <c r="AJ38" s="1871">
        <f>C38*LOOKUP(T38,'HS250-DATA'!C$7:C$10,'HS250-DATA'!F$7:F$10)</f>
        <v>84.78</v>
      </c>
      <c r="AK38" s="1871">
        <f>IF(U38="Y",C38*12,0)</f>
        <v>36</v>
      </c>
      <c r="AL38" s="1871">
        <f>C38*E38*VLOOKUP(K38,'SCR-Diode DATA'!D$7:M$43,10,FALSE)</f>
        <v>975</v>
      </c>
      <c r="AM38" s="1872">
        <f>AH38/F38</f>
        <v>1.3750299415382405</v>
      </c>
      <c r="AO38" s="1850">
        <f>0.4*F38</f>
        <v>318.7654223075769</v>
      </c>
      <c r="AP38" s="1850">
        <f>F38/3</f>
        <v>265.6378519229807</v>
      </c>
      <c r="AQ38" s="1850">
        <f>1.8*F38</f>
        <v>1434.4444003840958</v>
      </c>
      <c r="AR38" s="1849">
        <v>1500</v>
      </c>
      <c r="AS38" s="1849">
        <f>LOOKUP(AR38,'FUSE DATA'!X$8:X$43,'FUSE DATA'!Y$8:Y$43)</f>
        <v>10000</v>
      </c>
      <c r="AT38" s="1852">
        <f>AR38/F38</f>
        <v>1.882261870363906</v>
      </c>
      <c r="AU38" s="1852" t="str">
        <f>IF(AS38&lt;1950,"F1892Sxxxx",IF(AS38&lt;3350,"CS61xx16B",IF(A38&lt;7340,"ND41xx35",IF(A38&lt;19000,"LS41xx60","PS41xx25"))))</f>
        <v>ND41xx35</v>
      </c>
      <c r="AX38" s="1853">
        <v>700</v>
      </c>
      <c r="AY38" s="1874">
        <v>3677</v>
      </c>
    </row>
    <row r="39" spans="1:51" s="1873" customFormat="1" ht="18.75">
      <c r="A39" s="1820"/>
      <c r="B39" s="1855"/>
      <c r="C39" s="1822"/>
      <c r="D39" s="1822"/>
      <c r="E39" s="1822"/>
      <c r="F39" s="1824">
        <v>825</v>
      </c>
      <c r="G39" s="1856"/>
      <c r="H39" s="1857"/>
      <c r="I39" s="1858"/>
      <c r="J39" s="1859"/>
      <c r="K39" s="1860"/>
      <c r="L39" s="1861"/>
      <c r="M39" s="1861"/>
      <c r="N39" s="1861"/>
      <c r="O39" s="1862"/>
      <c r="P39" s="1863"/>
      <c r="Q39" s="1863"/>
      <c r="R39" s="1863"/>
      <c r="S39" s="1864"/>
      <c r="T39" s="1834"/>
      <c r="U39" s="1835"/>
      <c r="V39" s="1836"/>
      <c r="W39" s="1865"/>
      <c r="X39" s="1865"/>
      <c r="Y39" s="1865"/>
      <c r="Z39" s="1838"/>
      <c r="AA39" s="1914"/>
      <c r="AB39" s="1866"/>
      <c r="AC39" s="1867"/>
      <c r="AD39" s="1841"/>
      <c r="AE39" s="1842"/>
      <c r="AF39" s="1843"/>
      <c r="AG39" s="1868"/>
      <c r="AH39" s="1869"/>
      <c r="AI39" s="1906">
        <f>AH38/F39</f>
        <v>1.3282181818181817</v>
      </c>
      <c r="AJ39" s="1871"/>
      <c r="AK39" s="1871"/>
      <c r="AL39" s="1871"/>
      <c r="AM39" s="1872"/>
      <c r="AO39" s="1850"/>
      <c r="AP39" s="1850"/>
      <c r="AQ39" s="1850"/>
      <c r="AR39" s="1849"/>
      <c r="AS39" s="1849"/>
      <c r="AT39" s="1852"/>
      <c r="AU39" s="1852"/>
      <c r="AX39" s="1853"/>
      <c r="AY39" s="1874"/>
    </row>
    <row r="40" spans="1:51" ht="18.75">
      <c r="A40" s="1598"/>
      <c r="B40" s="1533"/>
      <c r="C40" s="1600"/>
      <c r="D40" s="1575"/>
      <c r="E40" s="1575"/>
      <c r="F40" s="1611"/>
      <c r="G40" s="1582"/>
      <c r="H40" s="1583"/>
      <c r="I40" s="1594"/>
      <c r="J40" s="1680"/>
      <c r="K40" s="1418"/>
      <c r="L40" s="1419"/>
      <c r="M40" s="1419"/>
      <c r="N40" s="1419"/>
      <c r="O40" s="1412"/>
      <c r="P40" s="1416"/>
      <c r="Q40" s="1416"/>
      <c r="R40" s="1416"/>
      <c r="S40" s="1687"/>
      <c r="T40" s="1624"/>
      <c r="U40" s="1616"/>
      <c r="V40" s="1622"/>
      <c r="W40" s="1602"/>
      <c r="X40" s="1602"/>
      <c r="Y40" s="1602"/>
      <c r="Z40" s="1579"/>
      <c r="AA40" s="1913"/>
      <c r="AB40" s="1588"/>
      <c r="AC40" s="1570"/>
      <c r="AD40" s="1754"/>
      <c r="AE40" s="1634"/>
      <c r="AF40" s="1635"/>
      <c r="AG40" s="1646"/>
      <c r="AH40" s="1742"/>
      <c r="AI40" s="1607"/>
      <c r="AJ40" s="1607"/>
      <c r="AK40" s="1607"/>
      <c r="AL40" s="1733"/>
      <c r="AM40" s="1743"/>
      <c r="AQ40" s="24"/>
      <c r="AX40" s="1804">
        <v>800</v>
      </c>
      <c r="AY40" s="1802">
        <v>4196</v>
      </c>
    </row>
    <row r="41" spans="1:51" s="1873" customFormat="1" ht="18.75">
      <c r="A41" s="1820">
        <v>3</v>
      </c>
      <c r="B41" s="1855">
        <f>IF(A41=3,6,IF(A41=1,4,IF(A41="bd",1,IF(A41="fwd",1,"Circuit Type"))))</f>
        <v>6</v>
      </c>
      <c r="C41" s="1822">
        <v>6</v>
      </c>
      <c r="D41" s="1822">
        <f>B41/C41</f>
        <v>1</v>
      </c>
      <c r="E41" s="1822">
        <v>1</v>
      </c>
      <c r="F41" s="1824">
        <f>IF(A41=3,3*G41,IF(A41=1,2*G41,IF(A41="bd",1*G41,IF(A41="fwd",1,"Error"))))</f>
        <v>1635.4135811141527</v>
      </c>
      <c r="G41" s="1856">
        <f>(-AE41+SQRT(AG41))/2/AD41</f>
        <v>545.13786037138425</v>
      </c>
      <c r="H41" s="1857">
        <f>IF(A41=3,SQRT(3),IF(A41=1,SQRT(2),1))</f>
        <v>1.7320508075688772</v>
      </c>
      <c r="I41" s="1858">
        <f>H41*G41</f>
        <v>944.20647129262591</v>
      </c>
      <c r="J41" s="1859" t="s">
        <v>558</v>
      </c>
      <c r="K41" s="1860" t="s">
        <v>472</v>
      </c>
      <c r="L41" s="1861">
        <v>1500</v>
      </c>
      <c r="M41" s="1861">
        <v>2355</v>
      </c>
      <c r="N41" s="1861">
        <v>62000</v>
      </c>
      <c r="O41" s="1862">
        <v>125</v>
      </c>
      <c r="P41" s="1863">
        <v>0.69099999999999995</v>
      </c>
      <c r="Q41" s="1862">
        <v>0.10199999999999999</v>
      </c>
      <c r="R41" s="1862">
        <v>2.4E-2</v>
      </c>
      <c r="S41" s="1864">
        <v>8.9999999999999993E-3</v>
      </c>
      <c r="T41" s="1834">
        <v>15</v>
      </c>
      <c r="U41" s="1835" t="s">
        <v>645</v>
      </c>
      <c r="V41" s="1836">
        <f>IF(E41=1,IF(U41="N",LOOKUP(T41,'HS250-DATA'!C$7:C$10,'HS250-DATA'!D$7:D$10),IF(U41="Y",LOOKUP(T41,'HS250-DATA'!C$22:C$25,'HS250-DATA'!D$22:D$25),"FAN?")),IF(U41="N",LOOKUP(T41,'HS250-DATA'!C$14:C$17,'HS250-DATA'!D$14:D$17),IF(U41="Y",LOOKUP(T41,'HS250-DATA'!C$29:C$32,'HS250-DATA'!D$29:D$32),"FAN?")))</f>
        <v>0.106</v>
      </c>
      <c r="W41" s="1865">
        <f>(G41*H41)^2*Q41*10^-3+G41*P41</f>
        <v>467.62589928057548</v>
      </c>
      <c r="X41" s="1865">
        <f>D41*W41</f>
        <v>467.62589928057548</v>
      </c>
      <c r="Y41" s="1865">
        <f>IF(A41=3,W41*6,IF(A41=1,W41*4,W41))</f>
        <v>2805.7553956834527</v>
      </c>
      <c r="Z41" s="1838">
        <f>O41-5</f>
        <v>120</v>
      </c>
      <c r="AA41" s="1914">
        <f>D41*W41*V41+AB41</f>
        <v>104.568345323741</v>
      </c>
      <c r="AB41" s="1866">
        <v>55</v>
      </c>
      <c r="AC41" s="1867"/>
      <c r="AD41" s="1841">
        <f>Q41*10^-3*H41^2</f>
        <v>3.0599999999999996E-4</v>
      </c>
      <c r="AE41" s="1842">
        <f>P41</f>
        <v>0.69099999999999995</v>
      </c>
      <c r="AF41" s="1843">
        <f>(AB41-Z41)/(R41+S41+D41*V41)</f>
        <v>-467.62589928057548</v>
      </c>
      <c r="AG41" s="1868">
        <f>AE41^2-4*AD41*AF41</f>
        <v>1.0498551007194243</v>
      </c>
      <c r="AH41" s="1879">
        <f>SUM(AJ41:AL41)</f>
        <v>1381.56</v>
      </c>
      <c r="AI41" s="1870"/>
      <c r="AJ41" s="1871">
        <f>C41*LOOKUP(T41,'HS250-DATA'!C$7:C$10,'HS250-DATA'!F$7:F$10)</f>
        <v>169.56</v>
      </c>
      <c r="AK41" s="1871">
        <f>IF(U41="Y",C41*12,0)</f>
        <v>72</v>
      </c>
      <c r="AL41" s="1907">
        <f>C41*E41*VLOOKUP(K41,'SCR-Diode DATA'!D$7:M$43,10,FALSE)</f>
        <v>1140</v>
      </c>
      <c r="AM41" s="1872">
        <f>AH41/F41</f>
        <v>0.84477713524843612</v>
      </c>
      <c r="AO41" s="1850">
        <f>0.4*F41</f>
        <v>654.16543244566117</v>
      </c>
      <c r="AP41" s="1850">
        <f>F41/3</f>
        <v>545.13786037138425</v>
      </c>
      <c r="AQ41" s="1850">
        <f>1.8*F41</f>
        <v>2943.7444460054749</v>
      </c>
      <c r="AR41" s="1849">
        <v>3000</v>
      </c>
      <c r="AS41" s="1849">
        <f>LOOKUP(AR41,'FUSE DATA'!X$8:X$43,'FUSE DATA'!Y$8:Y$43)</f>
        <v>19339</v>
      </c>
      <c r="AT41" s="1852">
        <f>AR41/F41</f>
        <v>1.8343983654313303</v>
      </c>
      <c r="AU41" s="1852" t="str">
        <f>IF(AS41&lt;1950,"F1892Sxxxx",IF(AS41&lt;3350,"CS61xx16B",IF(A41&lt;7340,"ND41xx35",IF(A41&lt;19000,"LS41xx60","PS41xx25"))))</f>
        <v>ND41xx35</v>
      </c>
      <c r="AX41" s="1853">
        <v>1500</v>
      </c>
      <c r="AY41" s="1874">
        <v>10000</v>
      </c>
    </row>
    <row r="42" spans="1:51" s="1873" customFormat="1" ht="18.75">
      <c r="A42" s="1880"/>
      <c r="B42" s="1881"/>
      <c r="C42" s="1882"/>
      <c r="D42" s="1882"/>
      <c r="E42" s="1882"/>
      <c r="F42" s="1883">
        <v>1700</v>
      </c>
      <c r="G42" s="1884"/>
      <c r="H42" s="1885"/>
      <c r="I42" s="1886"/>
      <c r="J42" s="1887"/>
      <c r="K42" s="1888"/>
      <c r="L42" s="1889"/>
      <c r="M42" s="1889"/>
      <c r="N42" s="1889"/>
      <c r="O42" s="1890"/>
      <c r="P42" s="1891"/>
      <c r="Q42" s="1890"/>
      <c r="R42" s="1890"/>
      <c r="S42" s="1892"/>
      <c r="T42" s="1893"/>
      <c r="U42" s="1894"/>
      <c r="V42" s="1895"/>
      <c r="W42" s="1896"/>
      <c r="X42" s="1896"/>
      <c r="Y42" s="1896"/>
      <c r="Z42" s="1897"/>
      <c r="AA42" s="1916"/>
      <c r="AB42" s="1898"/>
      <c r="AC42" s="1867"/>
      <c r="AD42" s="1899"/>
      <c r="AE42" s="1900"/>
      <c r="AF42" s="1901"/>
      <c r="AG42" s="1902"/>
      <c r="AH42" s="1903"/>
      <c r="AI42" s="1906">
        <f>AH41/F42</f>
        <v>0.81268235294117641</v>
      </c>
      <c r="AJ42" s="1904"/>
      <c r="AK42" s="1904"/>
      <c r="AL42" s="1904"/>
      <c r="AM42" s="1905"/>
      <c r="AO42" s="1850"/>
      <c r="AP42" s="1850"/>
      <c r="AQ42" s="1850"/>
      <c r="AR42" s="1849"/>
      <c r="AS42" s="1849"/>
      <c r="AT42" s="1852"/>
      <c r="AU42" s="1852"/>
      <c r="AX42" s="1853"/>
      <c r="AY42" s="1874"/>
    </row>
    <row r="43" spans="1:51" ht="19.5" thickBot="1">
      <c r="A43" s="1599"/>
      <c r="B43" s="1692"/>
      <c r="C43" s="1601"/>
      <c r="D43" s="1591"/>
      <c r="E43" s="1591"/>
      <c r="F43" s="1662"/>
      <c r="G43" s="1589"/>
      <c r="H43" s="1590"/>
      <c r="I43" s="1595"/>
      <c r="J43" s="1693"/>
      <c r="K43" s="1686"/>
      <c r="L43" s="1685"/>
      <c r="M43" s="1685"/>
      <c r="N43" s="1685"/>
      <c r="O43" s="1684"/>
      <c r="P43" s="1683"/>
      <c r="Q43" s="1683"/>
      <c r="R43" s="1683"/>
      <c r="S43" s="1682"/>
      <c r="T43" s="1569"/>
      <c r="U43" s="1568"/>
      <c r="V43" s="1567"/>
      <c r="W43" s="1605"/>
      <c r="X43" s="1605"/>
      <c r="Y43" s="1605"/>
      <c r="Z43" s="1566"/>
      <c r="AA43" s="1917"/>
      <c r="AB43" s="1592"/>
      <c r="AC43" s="1570"/>
      <c r="AD43" s="1755"/>
      <c r="AE43" s="1756"/>
      <c r="AF43" s="1757"/>
      <c r="AG43" s="1758"/>
      <c r="AH43" s="1744"/>
      <c r="AI43" s="1608"/>
      <c r="AJ43" s="1608"/>
      <c r="AK43" s="1608"/>
      <c r="AL43" s="1745"/>
      <c r="AM43" s="1746"/>
      <c r="AX43" s="1804">
        <v>1600</v>
      </c>
      <c r="AY43" s="1802">
        <v>10900</v>
      </c>
    </row>
    <row r="44" spans="1:51" ht="15.75">
      <c r="A44" s="4"/>
      <c r="B44" s="4"/>
      <c r="AH44" s="582"/>
      <c r="AX44" s="1804">
        <v>1800</v>
      </c>
      <c r="AY44" s="1802">
        <v>11777</v>
      </c>
    </row>
    <row r="45" spans="1:51" ht="15.75">
      <c r="A45" s="4"/>
      <c r="B45" s="4"/>
      <c r="AH45" s="582"/>
      <c r="AX45" s="1804">
        <v>2000</v>
      </c>
      <c r="AY45" s="1802">
        <v>13464</v>
      </c>
    </row>
    <row r="46" spans="1:51" ht="18.75">
      <c r="A46" s="1598"/>
      <c r="B46" s="1533"/>
      <c r="C46" s="1600"/>
      <c r="D46" s="1575"/>
      <c r="E46" s="1575"/>
      <c r="F46" s="1611"/>
      <c r="G46" s="1582"/>
      <c r="H46" s="1583"/>
      <c r="I46" s="1594"/>
      <c r="J46" s="1680"/>
      <c r="K46" s="1418"/>
      <c r="L46" s="1419"/>
      <c r="M46" s="1419"/>
      <c r="N46" s="1419"/>
      <c r="O46" s="1412"/>
      <c r="P46" s="1416"/>
      <c r="Q46" s="1416"/>
      <c r="R46" s="1416"/>
      <c r="S46" s="1687"/>
      <c r="T46" s="1624"/>
      <c r="U46" s="1616"/>
      <c r="V46" s="1622"/>
      <c r="W46" s="1602"/>
      <c r="X46" s="1602"/>
      <c r="Y46" s="1602"/>
      <c r="Z46" s="1579"/>
      <c r="AA46" s="1913"/>
      <c r="AB46" s="1588"/>
      <c r="AC46" s="1570"/>
      <c r="AD46" s="1754"/>
      <c r="AE46" s="1634"/>
      <c r="AF46" s="1635"/>
      <c r="AG46" s="1646"/>
      <c r="AH46" s="1742"/>
      <c r="AI46" s="1607"/>
      <c r="AJ46" s="1607"/>
      <c r="AK46" s="1607"/>
      <c r="AL46" s="1733"/>
      <c r="AM46" s="1743"/>
      <c r="AX46" s="1804">
        <v>2500</v>
      </c>
      <c r="AY46" s="1802">
        <v>16826</v>
      </c>
    </row>
    <row r="47" spans="1:51" ht="18.75">
      <c r="A47" s="1598" t="s">
        <v>501</v>
      </c>
      <c r="B47" s="1533">
        <f t="shared" ref="B47:B52" si="0">IF(A47=3,6,IF(A47=1,4,IF(A47="bd",1,IF(A47="fwd",1,"Circuit Type"))))</f>
        <v>1</v>
      </c>
      <c r="C47" s="1600">
        <v>1</v>
      </c>
      <c r="D47" s="1575">
        <f t="shared" ref="D47:D52" si="1">B47/C47</f>
        <v>1</v>
      </c>
      <c r="E47" s="1575">
        <v>1</v>
      </c>
      <c r="F47" s="1611">
        <f t="shared" ref="F47:F52" si="2">IF(A47=3,3*G47,IF(A47=1,2*G47,IF(A47="bd",1*G47,IF(A47="fwd",1,"Error"))))</f>
        <v>107.03920052779203</v>
      </c>
      <c r="G47" s="1582">
        <f t="shared" ref="G47:G52" si="3">(-AE47+SQRT(AG47))/2/AD47</f>
        <v>107.03920052779203</v>
      </c>
      <c r="H47" s="1583">
        <f t="shared" ref="H47:H52" si="4">IF(A47=3,SQRT(3),IF(A47=1,SQRT(2),1))</f>
        <v>1</v>
      </c>
      <c r="I47" s="1594">
        <f t="shared" ref="I47:I52" si="5">H47*G47</f>
        <v>107.03920052779203</v>
      </c>
      <c r="J47" s="1680" t="s">
        <v>548</v>
      </c>
      <c r="K47" s="1429" t="s">
        <v>502</v>
      </c>
      <c r="L47" s="1414">
        <v>100</v>
      </c>
      <c r="M47" s="1414"/>
      <c r="N47" s="1414">
        <v>1500</v>
      </c>
      <c r="O47" s="1414">
        <v>125</v>
      </c>
      <c r="P47" s="1425">
        <v>1.2</v>
      </c>
      <c r="Q47" s="1427">
        <v>1E-3</v>
      </c>
      <c r="R47" s="1450">
        <v>0.3</v>
      </c>
      <c r="S47" s="1456">
        <v>0.1</v>
      </c>
      <c r="T47" s="1624">
        <v>15</v>
      </c>
      <c r="U47" s="1616" t="s">
        <v>645</v>
      </c>
      <c r="V47" s="1622">
        <f>IF(E47=1,IF(U47="N",LOOKUP(T47,'HS250-DATA'!C$7:C$10,'HS250-DATA'!D$7:D$10),IF(U47="Y",LOOKUP(T47,'HS250-DATA'!C$22:C$25,'HS250-DATA'!D$22:D$25),"FAN?")),IF(U47="N",LOOKUP(T47,'HS250-DATA'!C$14:C$17,'HS250-DATA'!D$14:D$17),IF(U47="Y",LOOKUP(T47,'HS250-DATA'!C$29:C$32,'HS250-DATA'!D$29:D$32),"FAN?")))</f>
        <v>0.106</v>
      </c>
      <c r="W47" s="1602">
        <f t="shared" ref="W47:W52" si="6">(G47*H47)^2*Q47*10^-3+G47*P47</f>
        <v>128.45849802380008</v>
      </c>
      <c r="X47" s="1602">
        <f t="shared" ref="X47:X52" si="7">D47*W47</f>
        <v>128.45849802380008</v>
      </c>
      <c r="Y47" s="1602">
        <f t="shared" ref="Y47:Y52" si="8">IF(A47=3,W47*6,IF(A47=1,W47*4,W47))</f>
        <v>128.45849802380008</v>
      </c>
      <c r="Z47" s="1579">
        <f t="shared" ref="Z47:Z52" si="9">O47-5</f>
        <v>120</v>
      </c>
      <c r="AA47" s="1913">
        <f t="shared" ref="AA47:AA52" si="10">D47*W47*V47+AB47</f>
        <v>68.61660079052281</v>
      </c>
      <c r="AB47" s="1588">
        <v>55</v>
      </c>
      <c r="AC47" s="1570"/>
      <c r="AD47" s="1754">
        <f t="shared" ref="AD47:AD52" si="11">Q47*10^-3*H47^2</f>
        <v>9.9999999999999995E-7</v>
      </c>
      <c r="AE47" s="1634">
        <f t="shared" ref="AE47:AE52" si="12">P47</f>
        <v>1.2</v>
      </c>
      <c r="AF47" s="1635">
        <f t="shared" ref="AF47:AF52" si="13">(AB47-Z47)/(R47+S47+D47*V47)</f>
        <v>-128.45849802371541</v>
      </c>
      <c r="AG47" s="1646">
        <f t="shared" ref="AG47:AG52" si="14">AE47^2-4*AD47*AF47</f>
        <v>1.4405138339920949</v>
      </c>
      <c r="AH47" s="1790">
        <f t="shared" ref="AH47:AH52" si="15">SUM(AJ47:AL47)</f>
        <v>55.260000000000005</v>
      </c>
      <c r="AI47" s="1607"/>
      <c r="AJ47" s="1733">
        <f>C47*LOOKUP(T47,'HS250-DATA'!C$7:C$10,'HS250-DATA'!F$7:F$10)</f>
        <v>28.26</v>
      </c>
      <c r="AK47" s="1733">
        <f t="shared" ref="AK47:AK52" si="16">IF(U47="Y",C47*12,0)</f>
        <v>12</v>
      </c>
      <c r="AL47" s="1733">
        <f>C47*E47*VLOOKUP(K47,'SCR-Diode DATA'!D$7:M$43,10,FALSE)</f>
        <v>15</v>
      </c>
      <c r="AM47" s="507">
        <f t="shared" ref="AM47:AM52" si="17">AH47/F47</f>
        <v>0.51625946127701228</v>
      </c>
      <c r="AX47" s="1804">
        <v>3000</v>
      </c>
      <c r="AY47" s="1802">
        <v>19339</v>
      </c>
    </row>
    <row r="48" spans="1:51" ht="18.75">
      <c r="A48" s="1598" t="s">
        <v>501</v>
      </c>
      <c r="B48" s="1533">
        <f t="shared" si="0"/>
        <v>1</v>
      </c>
      <c r="C48" s="1600">
        <v>1</v>
      </c>
      <c r="D48" s="1575">
        <f t="shared" si="1"/>
        <v>1</v>
      </c>
      <c r="E48" s="1575">
        <v>1</v>
      </c>
      <c r="F48" s="1611">
        <f t="shared" si="2"/>
        <v>100.70807612529705</v>
      </c>
      <c r="G48" s="1582">
        <f t="shared" si="3"/>
        <v>100.70807612529705</v>
      </c>
      <c r="H48" s="1583">
        <f t="shared" si="4"/>
        <v>1</v>
      </c>
      <c r="I48" s="1594">
        <f t="shared" si="5"/>
        <v>100.70807612529705</v>
      </c>
      <c r="J48" s="1680" t="s">
        <v>548</v>
      </c>
      <c r="K48" s="1432" t="s">
        <v>569</v>
      </c>
      <c r="L48" s="1426">
        <v>90</v>
      </c>
      <c r="M48" s="1426">
        <v>150</v>
      </c>
      <c r="N48" s="1426">
        <v>1950</v>
      </c>
      <c r="O48" s="1425">
        <v>125</v>
      </c>
      <c r="P48" s="1425">
        <v>0.9</v>
      </c>
      <c r="Q48" s="1427">
        <v>2</v>
      </c>
      <c r="R48" s="1428">
        <v>0.28000000000000003</v>
      </c>
      <c r="S48" s="1457">
        <v>0.2</v>
      </c>
      <c r="T48" s="1624">
        <v>15</v>
      </c>
      <c r="U48" s="1616" t="s">
        <v>645</v>
      </c>
      <c r="V48" s="1622">
        <f>IF(E48=1,IF(U48="N",LOOKUP(T48,'HS250-DATA'!C$7:C$10,'HS250-DATA'!D$7:D$10),IF(U48="Y",LOOKUP(T48,'HS250-DATA'!C$22:C$25,'HS250-DATA'!D$22:D$25),"FAN?")),IF(U48="N",LOOKUP(T48,'HS250-DATA'!C$14:C$17,'HS250-DATA'!D$14:D$17),IF(U48="Y",LOOKUP(T48,'HS250-DATA'!C$29:C$32,'HS250-DATA'!D$29:D$32),"FAN?")))</f>
        <v>0.106</v>
      </c>
      <c r="W48" s="1602">
        <f t="shared" si="6"/>
        <v>110.92150170648461</v>
      </c>
      <c r="X48" s="1602">
        <f t="shared" si="7"/>
        <v>110.92150170648461</v>
      </c>
      <c r="Y48" s="1602">
        <f t="shared" si="8"/>
        <v>110.92150170648461</v>
      </c>
      <c r="Z48" s="1579">
        <f t="shared" si="9"/>
        <v>120</v>
      </c>
      <c r="AA48" s="1913">
        <f t="shared" si="10"/>
        <v>66.757679180887365</v>
      </c>
      <c r="AB48" s="1588">
        <v>55</v>
      </c>
      <c r="AC48" s="1570"/>
      <c r="AD48" s="1754">
        <f t="shared" si="11"/>
        <v>2E-3</v>
      </c>
      <c r="AE48" s="1634">
        <f t="shared" si="12"/>
        <v>0.9</v>
      </c>
      <c r="AF48" s="1635">
        <f t="shared" si="13"/>
        <v>-110.92150170648463</v>
      </c>
      <c r="AG48" s="1646">
        <f t="shared" si="14"/>
        <v>1.6973720136518771</v>
      </c>
      <c r="AH48" s="1790">
        <f t="shared" si="15"/>
        <v>53.260000000000005</v>
      </c>
      <c r="AI48" s="1607"/>
      <c r="AJ48" s="1733">
        <f>C48*LOOKUP(T48,'HS250-DATA'!C$7:C$10,'HS250-DATA'!F$7:F$10)</f>
        <v>28.26</v>
      </c>
      <c r="AK48" s="1733">
        <f t="shared" si="16"/>
        <v>12</v>
      </c>
      <c r="AL48" s="1733">
        <f>C48*E48*VLOOKUP(K48,'SCR-Diode DATA'!D$7:M$43,10,FALSE)</f>
        <v>13</v>
      </c>
      <c r="AM48" s="507">
        <f t="shared" si="17"/>
        <v>0.52885530187009022</v>
      </c>
      <c r="AX48" s="1804">
        <v>3500</v>
      </c>
      <c r="AY48" s="1802">
        <v>23280</v>
      </c>
    </row>
    <row r="49" spans="1:51" ht="18.75">
      <c r="A49" s="1598" t="s">
        <v>501</v>
      </c>
      <c r="B49" s="1533">
        <f t="shared" si="0"/>
        <v>1</v>
      </c>
      <c r="C49" s="1600">
        <v>1</v>
      </c>
      <c r="D49" s="1575">
        <f t="shared" si="1"/>
        <v>1</v>
      </c>
      <c r="E49" s="1575">
        <v>1</v>
      </c>
      <c r="F49" s="1611">
        <f t="shared" si="2"/>
        <v>209.51916789498887</v>
      </c>
      <c r="G49" s="1582">
        <f t="shared" si="3"/>
        <v>209.51916789498887</v>
      </c>
      <c r="H49" s="1583">
        <f t="shared" si="4"/>
        <v>1</v>
      </c>
      <c r="I49" s="1594">
        <f t="shared" si="5"/>
        <v>209.51916789498887</v>
      </c>
      <c r="J49" s="1680" t="s">
        <v>548</v>
      </c>
      <c r="K49" s="1432" t="s">
        <v>505</v>
      </c>
      <c r="L49" s="1426">
        <v>160</v>
      </c>
      <c r="M49" s="1426">
        <v>250</v>
      </c>
      <c r="N49" s="1426">
        <v>3350</v>
      </c>
      <c r="O49" s="1425">
        <v>150</v>
      </c>
      <c r="P49" s="1425">
        <v>0.85</v>
      </c>
      <c r="Q49" s="1427">
        <v>1.2</v>
      </c>
      <c r="R49" s="1428">
        <v>0.18</v>
      </c>
      <c r="S49" s="1457">
        <v>0.1</v>
      </c>
      <c r="T49" s="1624">
        <v>13</v>
      </c>
      <c r="U49" s="1616" t="s">
        <v>645</v>
      </c>
      <c r="V49" s="1622">
        <f>IF(E49=1,IF(U49="N",LOOKUP(T49,'HS250-DATA'!C$7:C$10,'HS250-DATA'!D$7:D$10),IF(U49="Y",LOOKUP(T49,'HS250-DATA'!C$22:C$25,'HS250-DATA'!D$22:D$25),"FAN?")),IF(U49="N",LOOKUP(T49,'HS250-DATA'!C$14:C$17,'HS250-DATA'!D$14:D$17),IF(U49="Y",LOOKUP(T49,'HS250-DATA'!C$29:C$32,'HS250-DATA'!D$29:D$32),"FAN?")))</f>
        <v>0.11</v>
      </c>
      <c r="W49" s="1602">
        <f t="shared" si="6"/>
        <v>230.76923076923077</v>
      </c>
      <c r="X49" s="1602">
        <f t="shared" si="7"/>
        <v>230.76923076923077</v>
      </c>
      <c r="Y49" s="1602">
        <f t="shared" si="8"/>
        <v>230.76923076923077</v>
      </c>
      <c r="Z49" s="1579">
        <f t="shared" si="9"/>
        <v>145</v>
      </c>
      <c r="AA49" s="1913">
        <f t="shared" si="10"/>
        <v>80.384615384615387</v>
      </c>
      <c r="AB49" s="1588">
        <v>55</v>
      </c>
      <c r="AC49" s="1570"/>
      <c r="AD49" s="1754">
        <f t="shared" si="11"/>
        <v>1.1999999999999999E-3</v>
      </c>
      <c r="AE49" s="1634">
        <f t="shared" si="12"/>
        <v>0.85</v>
      </c>
      <c r="AF49" s="1635">
        <f t="shared" si="13"/>
        <v>-230.76923076923077</v>
      </c>
      <c r="AG49" s="1646">
        <f t="shared" si="14"/>
        <v>1.8301923076923075</v>
      </c>
      <c r="AH49" s="1790">
        <f t="shared" si="15"/>
        <v>66.55</v>
      </c>
      <c r="AI49" s="1607"/>
      <c r="AJ49" s="1733">
        <f>C49*LOOKUP(T49,'HS250-DATA'!C$7:C$10,'HS250-DATA'!F$7:F$10)</f>
        <v>24.55</v>
      </c>
      <c r="AK49" s="1733">
        <f t="shared" si="16"/>
        <v>12</v>
      </c>
      <c r="AL49" s="1733">
        <f>C49*E49*VLOOKUP(K49,'SCR-Diode DATA'!D$7:M$43,10,FALSE)</f>
        <v>30</v>
      </c>
      <c r="AM49" s="507">
        <f t="shared" si="17"/>
        <v>0.31763203657507316</v>
      </c>
      <c r="AX49" s="1804">
        <v>4000</v>
      </c>
      <c r="AY49" s="1802">
        <v>26068</v>
      </c>
    </row>
    <row r="50" spans="1:51" ht="18.75">
      <c r="A50" s="1598" t="s">
        <v>501</v>
      </c>
      <c r="B50" s="1533">
        <f t="shared" si="0"/>
        <v>1</v>
      </c>
      <c r="C50" s="1600">
        <v>1</v>
      </c>
      <c r="D50" s="1575">
        <f t="shared" si="1"/>
        <v>1</v>
      </c>
      <c r="E50" s="1575">
        <v>1</v>
      </c>
      <c r="F50" s="1611">
        <f t="shared" si="2"/>
        <v>375.08118404484293</v>
      </c>
      <c r="G50" s="1582">
        <f t="shared" si="3"/>
        <v>375.08118404484293</v>
      </c>
      <c r="H50" s="1583">
        <f t="shared" si="4"/>
        <v>1</v>
      </c>
      <c r="I50" s="1594">
        <f t="shared" si="5"/>
        <v>375.08118404484293</v>
      </c>
      <c r="J50" s="1680" t="s">
        <v>548</v>
      </c>
      <c r="K50" s="1432" t="s">
        <v>572</v>
      </c>
      <c r="L50" s="1426">
        <v>350</v>
      </c>
      <c r="M50" s="1426">
        <v>550</v>
      </c>
      <c r="N50" s="1426">
        <v>7340</v>
      </c>
      <c r="O50" s="1425">
        <v>150</v>
      </c>
      <c r="P50" s="1425">
        <v>0.65400000000000003</v>
      </c>
      <c r="Q50" s="1427">
        <v>0.32</v>
      </c>
      <c r="R50" s="1428">
        <v>0.14000000000000001</v>
      </c>
      <c r="S50" s="1457">
        <v>0.06</v>
      </c>
      <c r="T50" s="1624">
        <v>13</v>
      </c>
      <c r="U50" s="1616" t="s">
        <v>645</v>
      </c>
      <c r="V50" s="1622">
        <f>IF(E50=1,IF(U50="N",LOOKUP(T50,'HS250-DATA'!C$7:C$10,'HS250-DATA'!D$7:D$10),IF(U50="Y",LOOKUP(T50,'HS250-DATA'!C$22:C$25,'HS250-DATA'!D$22:D$25),"FAN?")),IF(U50="N",LOOKUP(T50,'HS250-DATA'!C$14:C$17,'HS250-DATA'!D$14:D$17),IF(U50="Y",LOOKUP(T50,'HS250-DATA'!C$29:C$32,'HS250-DATA'!D$29:D$32),"FAN?")))</f>
        <v>0.11</v>
      </c>
      <c r="W50" s="1602">
        <f t="shared" si="6"/>
        <v>290.32258064516134</v>
      </c>
      <c r="X50" s="1602">
        <f t="shared" si="7"/>
        <v>290.32258064516134</v>
      </c>
      <c r="Y50" s="1602">
        <f t="shared" si="8"/>
        <v>290.32258064516134</v>
      </c>
      <c r="Z50" s="1579">
        <f t="shared" si="9"/>
        <v>145</v>
      </c>
      <c r="AA50" s="1913">
        <f t="shared" si="10"/>
        <v>86.935483870967744</v>
      </c>
      <c r="AB50" s="1588">
        <v>55</v>
      </c>
      <c r="AC50" s="1570"/>
      <c r="AD50" s="1754">
        <f t="shared" si="11"/>
        <v>3.2000000000000003E-4</v>
      </c>
      <c r="AE50" s="1634">
        <f t="shared" si="12"/>
        <v>0.65400000000000003</v>
      </c>
      <c r="AF50" s="1635">
        <f t="shared" si="13"/>
        <v>-290.32258064516128</v>
      </c>
      <c r="AG50" s="1646">
        <f t="shared" si="14"/>
        <v>0.79932890322580652</v>
      </c>
      <c r="AH50" s="1790">
        <f t="shared" si="15"/>
        <v>111.55</v>
      </c>
      <c r="AI50" s="1607"/>
      <c r="AJ50" s="1733">
        <f>C50*LOOKUP(T50,'HS250-DATA'!C$7:C$10,'HS250-DATA'!F$7:F$10)</f>
        <v>24.55</v>
      </c>
      <c r="AK50" s="1733">
        <f t="shared" si="16"/>
        <v>12</v>
      </c>
      <c r="AL50" s="1733">
        <f>C50*E50*VLOOKUP(K50,'SCR-Diode DATA'!D$7:M$43,10,FALSE)</f>
        <v>75</v>
      </c>
      <c r="AM50" s="507">
        <f t="shared" si="17"/>
        <v>0.29740228181284512</v>
      </c>
      <c r="AX50" s="1804">
        <v>4500</v>
      </c>
      <c r="AY50" s="1802">
        <v>29407</v>
      </c>
    </row>
    <row r="51" spans="1:51" ht="19.5" thickBot="1">
      <c r="A51" s="1598" t="s">
        <v>501</v>
      </c>
      <c r="B51" s="1533">
        <f t="shared" si="0"/>
        <v>1</v>
      </c>
      <c r="C51" s="1600">
        <v>1</v>
      </c>
      <c r="D51" s="1575">
        <f t="shared" si="1"/>
        <v>1</v>
      </c>
      <c r="E51" s="1575">
        <v>1</v>
      </c>
      <c r="F51" s="1611">
        <f t="shared" si="2"/>
        <v>527.38009278245784</v>
      </c>
      <c r="G51" s="1582">
        <f t="shared" si="3"/>
        <v>527.38009278245784</v>
      </c>
      <c r="H51" s="1583">
        <f t="shared" si="4"/>
        <v>1</v>
      </c>
      <c r="I51" s="1594">
        <f t="shared" si="5"/>
        <v>527.38009278245784</v>
      </c>
      <c r="J51" s="1680" t="s">
        <v>558</v>
      </c>
      <c r="K51" s="1432" t="s">
        <v>508</v>
      </c>
      <c r="L51" s="1426">
        <v>600</v>
      </c>
      <c r="M51" s="1426">
        <v>950</v>
      </c>
      <c r="N51" s="1426">
        <v>19000</v>
      </c>
      <c r="O51" s="1425">
        <v>150</v>
      </c>
      <c r="P51" s="1425">
        <v>0.747</v>
      </c>
      <c r="Q51" s="1427">
        <v>0.24299999999999999</v>
      </c>
      <c r="R51" s="1428">
        <v>6.5000000000000002E-2</v>
      </c>
      <c r="S51" s="1457">
        <v>0.02</v>
      </c>
      <c r="T51" s="1624">
        <v>13</v>
      </c>
      <c r="U51" s="1616" t="s">
        <v>645</v>
      </c>
      <c r="V51" s="1622">
        <f>IF(E51=1,IF(U51="N",LOOKUP(T51,'HS250-DATA'!C$7:C$10,'HS250-DATA'!D$7:D$10),IF(U51="Y",LOOKUP(T51,'HS250-DATA'!C$22:C$25,'HS250-DATA'!D$22:D$25),"FAN?")),IF(U51="N",LOOKUP(T51,'HS250-DATA'!C$14:C$17,'HS250-DATA'!D$14:D$17),IF(U51="Y",LOOKUP(T51,'HS250-DATA'!C$29:C$32,'HS250-DATA'!D$29:D$32),"FAN?")))</f>
        <v>0.11</v>
      </c>
      <c r="W51" s="1602">
        <f t="shared" si="6"/>
        <v>461.53846153846177</v>
      </c>
      <c r="X51" s="1602">
        <f t="shared" si="7"/>
        <v>461.53846153846177</v>
      </c>
      <c r="Y51" s="1602">
        <f t="shared" si="8"/>
        <v>461.53846153846177</v>
      </c>
      <c r="Z51" s="1579">
        <f t="shared" si="9"/>
        <v>145</v>
      </c>
      <c r="AA51" s="1913">
        <f t="shared" si="10"/>
        <v>105.7692307692308</v>
      </c>
      <c r="AB51" s="1588">
        <v>55</v>
      </c>
      <c r="AC51" s="1570"/>
      <c r="AD51" s="1754">
        <f t="shared" si="11"/>
        <v>2.43E-4</v>
      </c>
      <c r="AE51" s="1634">
        <f t="shared" si="12"/>
        <v>0.747</v>
      </c>
      <c r="AF51" s="1635">
        <f t="shared" si="13"/>
        <v>-461.53846153846155</v>
      </c>
      <c r="AG51" s="1646">
        <f t="shared" si="14"/>
        <v>1.0066243846153846</v>
      </c>
      <c r="AH51" s="1790">
        <f t="shared" si="15"/>
        <v>128.55000000000001</v>
      </c>
      <c r="AI51" s="1607"/>
      <c r="AJ51" s="1733">
        <f>C51*LOOKUP(T51,'HS250-DATA'!C$7:C$10,'HS250-DATA'!F$7:F$10)</f>
        <v>24.55</v>
      </c>
      <c r="AK51" s="1733">
        <f t="shared" si="16"/>
        <v>12</v>
      </c>
      <c r="AL51" s="1733">
        <f>C51*E51*VLOOKUP(K51,'SCR-Diode DATA'!D$7:M$43,10,FALSE)</f>
        <v>92</v>
      </c>
      <c r="AM51" s="507">
        <f t="shared" si="17"/>
        <v>0.24375209030316275</v>
      </c>
      <c r="AX51" s="1801">
        <v>5000</v>
      </c>
      <c r="AY51" s="1800" t="s">
        <v>124</v>
      </c>
    </row>
    <row r="52" spans="1:51" ht="18.75">
      <c r="A52" s="1598" t="s">
        <v>501</v>
      </c>
      <c r="B52" s="1533">
        <f t="shared" si="0"/>
        <v>1</v>
      </c>
      <c r="C52" s="1600">
        <v>1</v>
      </c>
      <c r="D52" s="1575">
        <f t="shared" si="1"/>
        <v>1</v>
      </c>
      <c r="E52" s="1575">
        <v>1</v>
      </c>
      <c r="F52" s="1611">
        <f t="shared" si="2"/>
        <v>940.75588672702315</v>
      </c>
      <c r="G52" s="1582">
        <f t="shared" si="3"/>
        <v>940.75588672702315</v>
      </c>
      <c r="H52" s="1583">
        <f t="shared" si="4"/>
        <v>1</v>
      </c>
      <c r="I52" s="1594">
        <f t="shared" si="5"/>
        <v>940.75588672702315</v>
      </c>
      <c r="J52" s="1680" t="s">
        <v>558</v>
      </c>
      <c r="K52" s="1432" t="s">
        <v>509</v>
      </c>
      <c r="L52" s="1426">
        <v>2500</v>
      </c>
      <c r="M52" s="1426">
        <v>3925</v>
      </c>
      <c r="N52" s="1426">
        <v>48400</v>
      </c>
      <c r="O52" s="1425">
        <v>150</v>
      </c>
      <c r="P52" s="1425">
        <v>0.63200000000000001</v>
      </c>
      <c r="Q52" s="1427">
        <v>5.9799999999999999E-2</v>
      </c>
      <c r="R52" s="1428">
        <v>2.4E-2</v>
      </c>
      <c r="S52" s="1457">
        <v>8.9999999999999993E-3</v>
      </c>
      <c r="T52" s="1624">
        <v>15</v>
      </c>
      <c r="U52" s="1616" t="s">
        <v>645</v>
      </c>
      <c r="V52" s="1622">
        <f>IF(E52=1,IF(U52="N",LOOKUP(T52,'HS250-DATA'!C$7:C$10,'HS250-DATA'!D$7:D$10),IF(U52="Y",LOOKUP(T52,'HS250-DATA'!C$22:C$25,'HS250-DATA'!D$22:D$25),"FAN?")),IF(U52="N",LOOKUP(T52,'HS250-DATA'!C$14:C$17,'HS250-DATA'!D$14:D$17),IF(U52="Y",LOOKUP(T52,'HS250-DATA'!C$29:C$32,'HS250-DATA'!D$29:D$32),"FAN?")))</f>
        <v>0.106</v>
      </c>
      <c r="W52" s="1602">
        <f t="shared" si="6"/>
        <v>647.48201438848912</v>
      </c>
      <c r="X52" s="1602">
        <f t="shared" si="7"/>
        <v>647.48201438848912</v>
      </c>
      <c r="Y52" s="1602">
        <f t="shared" si="8"/>
        <v>647.48201438848912</v>
      </c>
      <c r="Z52" s="1579">
        <f t="shared" si="9"/>
        <v>145</v>
      </c>
      <c r="AA52" s="1913">
        <f t="shared" si="10"/>
        <v>123.63309352517985</v>
      </c>
      <c r="AB52" s="1588">
        <v>55</v>
      </c>
      <c r="AC52" s="1570"/>
      <c r="AD52" s="1754">
        <f t="shared" si="11"/>
        <v>5.9800000000000003E-5</v>
      </c>
      <c r="AE52" s="1634">
        <f t="shared" si="12"/>
        <v>0.63200000000000001</v>
      </c>
      <c r="AF52" s="1635">
        <f t="shared" si="13"/>
        <v>-647.48201438848912</v>
      </c>
      <c r="AG52" s="1646">
        <f t="shared" si="14"/>
        <v>0.55430169784172656</v>
      </c>
      <c r="AH52" s="1790">
        <f t="shared" si="15"/>
        <v>385.26</v>
      </c>
      <c r="AI52" s="1607"/>
      <c r="AJ52" s="1733">
        <f>C52*LOOKUP(T52,'HS250-DATA'!C$7:C$10,'HS250-DATA'!F$7:F$10)</f>
        <v>28.26</v>
      </c>
      <c r="AK52" s="1733">
        <f t="shared" si="16"/>
        <v>12</v>
      </c>
      <c r="AL52" s="1733">
        <f>C52*E52*VLOOKUP(K52,'SCR-Diode DATA'!D$7:M$43,10,FALSE)</f>
        <v>345</v>
      </c>
      <c r="AM52" s="507">
        <f t="shared" si="17"/>
        <v>0.40952175313019323</v>
      </c>
    </row>
    <row r="53" spans="1:51" ht="19.5" thickBot="1">
      <c r="A53" s="1599"/>
      <c r="B53" s="1692"/>
      <c r="C53" s="1601"/>
      <c r="D53" s="1591"/>
      <c r="E53" s="1591"/>
      <c r="F53" s="1662"/>
      <c r="G53" s="1589"/>
      <c r="H53" s="1590"/>
      <c r="I53" s="1595"/>
      <c r="J53" s="1693"/>
      <c r="K53" s="1686"/>
      <c r="L53" s="1685"/>
      <c r="M53" s="1685"/>
      <c r="N53" s="1685"/>
      <c r="O53" s="1684"/>
      <c r="P53" s="1683"/>
      <c r="Q53" s="1683"/>
      <c r="R53" s="1683"/>
      <c r="S53" s="1682"/>
      <c r="T53" s="1569"/>
      <c r="U53" s="1568"/>
      <c r="V53" s="1567"/>
      <c r="W53" s="1605"/>
      <c r="X53" s="1605"/>
      <c r="Y53" s="1605"/>
      <c r="Z53" s="1566"/>
      <c r="AA53" s="1917"/>
      <c r="AB53" s="1592"/>
      <c r="AC53" s="1570"/>
      <c r="AD53" s="1755"/>
      <c r="AE53" s="1756"/>
      <c r="AF53" s="1757"/>
      <c r="AG53" s="1758"/>
      <c r="AH53" s="1877"/>
      <c r="AI53" s="1608"/>
      <c r="AJ53" s="1608"/>
      <c r="AK53" s="1608"/>
      <c r="AL53" s="1745"/>
      <c r="AM53" s="1746"/>
    </row>
    <row r="54" spans="1:51" ht="15.75" thickBot="1">
      <c r="A54" s="4"/>
      <c r="B54" s="4"/>
      <c r="AH54" s="330"/>
    </row>
    <row r="55" spans="1:51" ht="18.75">
      <c r="A55" s="1598"/>
      <c r="B55" s="1533"/>
      <c r="C55" s="1600"/>
      <c r="D55" s="1575"/>
      <c r="E55" s="1575"/>
      <c r="F55" s="1611"/>
      <c r="G55" s="1582"/>
      <c r="H55" s="1583"/>
      <c r="I55" s="1594"/>
      <c r="J55" s="1680"/>
      <c r="K55" s="1418"/>
      <c r="L55" s="1419"/>
      <c r="M55" s="1419"/>
      <c r="N55" s="1419"/>
      <c r="O55" s="1412"/>
      <c r="P55" s="1416"/>
      <c r="Q55" s="1416"/>
      <c r="R55" s="1416"/>
      <c r="S55" s="1687"/>
      <c r="T55" s="1624"/>
      <c r="U55" s="1616"/>
      <c r="V55" s="1622"/>
      <c r="W55" s="1602"/>
      <c r="X55" s="1602"/>
      <c r="Y55" s="1602"/>
      <c r="Z55" s="1579"/>
      <c r="AA55" s="1913"/>
      <c r="AB55" s="1588"/>
      <c r="AC55" s="1570"/>
      <c r="AD55" s="1751"/>
      <c r="AE55" s="1752"/>
      <c r="AF55" s="1753"/>
      <c r="AG55" s="1676"/>
      <c r="AH55" s="1878"/>
      <c r="AI55" s="1639"/>
      <c r="AJ55" s="1639"/>
      <c r="AK55" s="1639"/>
      <c r="AL55" s="1748"/>
      <c r="AM55" s="1876"/>
    </row>
    <row r="56" spans="1:51" ht="18.75">
      <c r="A56" s="1598" t="s">
        <v>501</v>
      </c>
      <c r="B56" s="1533">
        <f t="shared" ref="B56:B77" si="18">IF(A56=3,6,IF(A56=1,4,IF(A56="bd",1,IF(A56="fwd",1,"Circuit Type"))))</f>
        <v>1</v>
      </c>
      <c r="C56" s="1600">
        <v>1</v>
      </c>
      <c r="D56" s="1575">
        <f t="shared" ref="D56:D77" si="19">B56/C56</f>
        <v>1</v>
      </c>
      <c r="E56" s="1575">
        <v>1</v>
      </c>
      <c r="F56" s="1611">
        <f t="shared" ref="F56:F77" si="20">IF(A56=3,3*G56,IF(A56=1,2*G56,IF(A56="bd",1*G56,IF(A56="fwd",1,"Error"))))</f>
        <v>83.327547099942834</v>
      </c>
      <c r="G56" s="1582">
        <f t="shared" ref="G56:G77" si="21">(-AE56+SQRT(AG56))/2/AD56</f>
        <v>83.327547099942834</v>
      </c>
      <c r="H56" s="1583">
        <f t="shared" ref="H56:H77" si="22">IF(A56=3,SQRT(3),IF(A56=1,SQRT(2),1))</f>
        <v>1</v>
      </c>
      <c r="I56" s="1594">
        <f t="shared" ref="I56:I77" si="23">H56*G56</f>
        <v>83.327547099942834</v>
      </c>
      <c r="J56" s="1680" t="s">
        <v>548</v>
      </c>
      <c r="K56" s="1429" t="s">
        <v>502</v>
      </c>
      <c r="L56" s="1414">
        <v>100</v>
      </c>
      <c r="M56" s="1414"/>
      <c r="N56" s="1414">
        <v>1500</v>
      </c>
      <c r="O56" s="1414">
        <v>125</v>
      </c>
      <c r="P56" s="1425">
        <v>1.2</v>
      </c>
      <c r="Q56" s="1427">
        <v>1E-3</v>
      </c>
      <c r="R56" s="1450">
        <v>0.3</v>
      </c>
      <c r="S56" s="1456">
        <v>0.1</v>
      </c>
      <c r="T56" s="1624">
        <v>15</v>
      </c>
      <c r="U56" s="1616" t="s">
        <v>642</v>
      </c>
      <c r="V56" s="1622">
        <f>IF(E56=1,IF(U56="N",LOOKUP(T56,'HS250-DATA'!C$7:C$10,'HS250-DATA'!D$7:D$10),IF(U56="Y",LOOKUP(T56,'HS250-DATA'!C$22:C$25,'HS250-DATA'!D$22:D$25),"FAN?")),IF(U56="N",LOOKUP(T56,'HS250-DATA'!C$14:C$17,'HS250-DATA'!D$14:D$17),IF(U56="Y",LOOKUP(T56,'HS250-DATA'!C$29:C$32,'HS250-DATA'!D$29:D$32),"FAN?")))</f>
        <v>0.25</v>
      </c>
      <c r="W56" s="1602">
        <f t="shared" ref="W56:W77" si="24">(G56*H56)^2*Q56*10^-3+G56*P56</f>
        <v>100.00000000003709</v>
      </c>
      <c r="X56" s="1602">
        <f t="shared" ref="X56:X77" si="25">D56*W56</f>
        <v>100.00000000003709</v>
      </c>
      <c r="Y56" s="1602">
        <f t="shared" ref="Y56:Y77" si="26">IF(A56=3,W56*6,IF(A56=1,W56*4,W56))</f>
        <v>100.00000000003709</v>
      </c>
      <c r="Z56" s="1579">
        <f t="shared" ref="Z56:Z77" si="27">O56-5</f>
        <v>120</v>
      </c>
      <c r="AA56" s="1913">
        <f t="shared" ref="AA56:AA77" si="28">D56*W56*V56+AB56</f>
        <v>80.000000000009265</v>
      </c>
      <c r="AB56" s="1588">
        <v>55</v>
      </c>
      <c r="AC56" s="1570"/>
      <c r="AD56" s="1754">
        <f t="shared" ref="AD56:AD77" si="29">Q56*10^-3*H56^2</f>
        <v>9.9999999999999995E-7</v>
      </c>
      <c r="AE56" s="1634">
        <f t="shared" ref="AE56:AE77" si="30">P56</f>
        <v>1.2</v>
      </c>
      <c r="AF56" s="1635">
        <f t="shared" ref="AF56:AF77" si="31">(AB56-Z56)/(R56+S56+D56*V56)</f>
        <v>-100</v>
      </c>
      <c r="AG56" s="1646">
        <f t="shared" ref="AG56:AG77" si="32">AE56^2-4*AD56*AF56</f>
        <v>1.4403999999999999</v>
      </c>
      <c r="AH56" s="1790">
        <f t="shared" ref="AH56:AH77" si="33">SUM(AJ56:AL56)</f>
        <v>43.260000000000005</v>
      </c>
      <c r="AI56" s="1607"/>
      <c r="AJ56" s="1733">
        <f>C56*LOOKUP(T56,'HS250-DATA'!C$7:C$10,'HS250-DATA'!F$7:F$10)</f>
        <v>28.26</v>
      </c>
      <c r="AK56" s="1733">
        <f t="shared" ref="AK56:AK77" si="34">IF(U56="Y",C56*12,0)</f>
        <v>0</v>
      </c>
      <c r="AL56" s="1733">
        <f>C56*E56*VLOOKUP(K56,'SCR-Diode DATA'!D$7:M$43,10,FALSE)</f>
        <v>15</v>
      </c>
      <c r="AM56" s="507">
        <f t="shared" ref="AM56:AM77" si="35">AH56/F56</f>
        <v>0.51915604749668287</v>
      </c>
    </row>
    <row r="57" spans="1:51" ht="18.75">
      <c r="A57" s="1598" t="s">
        <v>501</v>
      </c>
      <c r="B57" s="1533">
        <f t="shared" si="18"/>
        <v>1</v>
      </c>
      <c r="C57" s="1600">
        <v>1</v>
      </c>
      <c r="D57" s="1575">
        <f t="shared" si="19"/>
        <v>1</v>
      </c>
      <c r="E57" s="1575">
        <v>1</v>
      </c>
      <c r="F57" s="1611">
        <f t="shared" si="20"/>
        <v>73.169967970894788</v>
      </c>
      <c r="G57" s="1582">
        <f t="shared" si="21"/>
        <v>73.169967970894788</v>
      </c>
      <c r="H57" s="1583">
        <f t="shared" si="22"/>
        <v>1</v>
      </c>
      <c r="I57" s="1594">
        <f t="shared" si="23"/>
        <v>73.169967970894788</v>
      </c>
      <c r="J57" s="1680" t="s">
        <v>548</v>
      </c>
      <c r="K57" s="1432" t="s">
        <v>569</v>
      </c>
      <c r="L57" s="1426">
        <v>90</v>
      </c>
      <c r="M57" s="1426">
        <v>150</v>
      </c>
      <c r="N57" s="1426">
        <v>1950</v>
      </c>
      <c r="O57" s="1425">
        <v>125</v>
      </c>
      <c r="P57" s="1425">
        <v>0.9</v>
      </c>
      <c r="Q57" s="1427">
        <v>2</v>
      </c>
      <c r="R57" s="1428">
        <v>0.28000000000000003</v>
      </c>
      <c r="S57" s="1457">
        <v>0.2</v>
      </c>
      <c r="T57" s="1624">
        <v>6.5</v>
      </c>
      <c r="U57" s="1616" t="s">
        <v>642</v>
      </c>
      <c r="V57" s="1622">
        <f>IF(E57=1,IF(U57="N",LOOKUP(T57,'HS250-DATA'!C$7:C$10,'HS250-DATA'!D$7:D$10),IF(U57="Y",LOOKUP(T57,'HS250-DATA'!C$22:C$25,'HS250-DATA'!D$22:D$25),"FAN?")),IF(U57="N",LOOKUP(T57,'HS250-DATA'!C$14:C$17,'HS250-DATA'!D$14:D$17),IF(U57="Y",LOOKUP(T57,'HS250-DATA'!C$29:C$32,'HS250-DATA'!D$29:D$32),"FAN?")))</f>
        <v>0.36899999999999999</v>
      </c>
      <c r="W57" s="1602">
        <f t="shared" si="24"/>
        <v>76.560659599528847</v>
      </c>
      <c r="X57" s="1602">
        <f t="shared" si="25"/>
        <v>76.560659599528847</v>
      </c>
      <c r="Y57" s="1602">
        <f t="shared" si="26"/>
        <v>76.560659599528847</v>
      </c>
      <c r="Z57" s="1579">
        <f t="shared" si="27"/>
        <v>120</v>
      </c>
      <c r="AA57" s="1913">
        <f t="shared" si="28"/>
        <v>83.250883392226143</v>
      </c>
      <c r="AB57" s="1588">
        <v>55</v>
      </c>
      <c r="AC57" s="1570"/>
      <c r="AD57" s="1754">
        <f t="shared" si="29"/>
        <v>2E-3</v>
      </c>
      <c r="AE57" s="1634">
        <f t="shared" si="30"/>
        <v>0.9</v>
      </c>
      <c r="AF57" s="1635">
        <f t="shared" si="31"/>
        <v>-76.560659599528861</v>
      </c>
      <c r="AG57" s="1646">
        <f t="shared" si="32"/>
        <v>1.4224852767962308</v>
      </c>
      <c r="AH57" s="1790">
        <f t="shared" si="33"/>
        <v>29.35</v>
      </c>
      <c r="AI57" s="1607"/>
      <c r="AJ57" s="1733">
        <f>C57*LOOKUP(T57,'HS250-DATA'!C$7:C$10,'HS250-DATA'!F$7:F$10)</f>
        <v>16.350000000000001</v>
      </c>
      <c r="AK57" s="1733">
        <f t="shared" si="34"/>
        <v>0</v>
      </c>
      <c r="AL57" s="1733">
        <f>C57*E57*VLOOKUP(K57,'SCR-Diode DATA'!D$7:M$43,10,FALSE)</f>
        <v>13</v>
      </c>
      <c r="AM57" s="507">
        <f t="shared" si="35"/>
        <v>0.40112085345827553</v>
      </c>
    </row>
    <row r="58" spans="1:51" ht="18.75">
      <c r="A58" s="1598" t="s">
        <v>501</v>
      </c>
      <c r="B58" s="1533">
        <f t="shared" si="18"/>
        <v>1</v>
      </c>
      <c r="C58" s="1600">
        <v>1</v>
      </c>
      <c r="D58" s="1575">
        <f t="shared" si="19"/>
        <v>1</v>
      </c>
      <c r="E58" s="1575">
        <v>1</v>
      </c>
      <c r="F58" s="1611">
        <f t="shared" si="20"/>
        <v>98.437336996604529</v>
      </c>
      <c r="G58" s="1582">
        <f t="shared" si="21"/>
        <v>98.437336996604529</v>
      </c>
      <c r="H58" s="1583">
        <f t="shared" si="22"/>
        <v>1</v>
      </c>
      <c r="I58" s="1594">
        <f t="shared" si="23"/>
        <v>98.437336996604529</v>
      </c>
      <c r="J58" s="1680" t="s">
        <v>548</v>
      </c>
      <c r="K58" s="1432" t="s">
        <v>569</v>
      </c>
      <c r="L58" s="1426">
        <v>90</v>
      </c>
      <c r="M58" s="1426">
        <v>150</v>
      </c>
      <c r="N58" s="1426">
        <v>1950</v>
      </c>
      <c r="O58" s="1425">
        <v>125</v>
      </c>
      <c r="P58" s="1425">
        <v>0.9</v>
      </c>
      <c r="Q58" s="1427">
        <v>2</v>
      </c>
      <c r="R58" s="1428">
        <v>0.28000000000000003</v>
      </c>
      <c r="S58" s="1457">
        <v>0.2</v>
      </c>
      <c r="T58" s="1624">
        <v>6.5</v>
      </c>
      <c r="U58" s="1616" t="s">
        <v>645</v>
      </c>
      <c r="V58" s="1622">
        <f>IF(E58=1,IF(U58="N",LOOKUP(T58,'HS250-DATA'!C$7:C$10,'HS250-DATA'!D$7:D$10),IF(U58="Y",LOOKUP(T58,'HS250-DATA'!C$22:C$25,'HS250-DATA'!D$22:D$25),"FAN?")),IF(U58="N",LOOKUP(T58,'HS250-DATA'!C$14:C$17,'HS250-DATA'!D$14:D$17),IF(U58="Y",LOOKUP(T58,'HS250-DATA'!C$29:C$32,'HS250-DATA'!D$29:D$32),"FAN?")))</f>
        <v>0.122</v>
      </c>
      <c r="W58" s="1602">
        <f t="shared" si="24"/>
        <v>107.97342192691025</v>
      </c>
      <c r="X58" s="1602">
        <f t="shared" si="25"/>
        <v>107.97342192691025</v>
      </c>
      <c r="Y58" s="1602">
        <f t="shared" si="26"/>
        <v>107.97342192691025</v>
      </c>
      <c r="Z58" s="1579">
        <f t="shared" si="27"/>
        <v>120</v>
      </c>
      <c r="AA58" s="1913">
        <f t="shared" si="28"/>
        <v>68.172757475083046</v>
      </c>
      <c r="AB58" s="1588">
        <v>55</v>
      </c>
      <c r="AC58" s="1570"/>
      <c r="AD58" s="1754">
        <f t="shared" si="29"/>
        <v>2E-3</v>
      </c>
      <c r="AE58" s="1634">
        <f t="shared" si="30"/>
        <v>0.9</v>
      </c>
      <c r="AF58" s="1635">
        <f t="shared" si="31"/>
        <v>-107.97342192691028</v>
      </c>
      <c r="AG58" s="1646">
        <f t="shared" si="32"/>
        <v>1.6737873754152823</v>
      </c>
      <c r="AH58" s="1790">
        <f t="shared" si="33"/>
        <v>41.35</v>
      </c>
      <c r="AI58" s="1607"/>
      <c r="AJ58" s="1733">
        <f>C58*LOOKUP(T58,'HS250-DATA'!C$7:C$10,'HS250-DATA'!F$7:F$10)</f>
        <v>16.350000000000001</v>
      </c>
      <c r="AK58" s="1733">
        <f t="shared" si="34"/>
        <v>12</v>
      </c>
      <c r="AL58" s="1733">
        <f>C58*E58*VLOOKUP(K58,'SCR-Diode DATA'!D$7:M$43,10,FALSE)</f>
        <v>13</v>
      </c>
      <c r="AM58" s="507">
        <f t="shared" si="35"/>
        <v>0.42006418765093489</v>
      </c>
    </row>
    <row r="59" spans="1:51" ht="18.75">
      <c r="A59" s="1598" t="s">
        <v>501</v>
      </c>
      <c r="B59" s="1533">
        <f t="shared" si="18"/>
        <v>1</v>
      </c>
      <c r="C59" s="1600">
        <v>1</v>
      </c>
      <c r="D59" s="1575">
        <f t="shared" si="19"/>
        <v>1</v>
      </c>
      <c r="E59" s="1575">
        <v>1</v>
      </c>
      <c r="F59" s="1611">
        <f t="shared" si="20"/>
        <v>80.594760908522161</v>
      </c>
      <c r="G59" s="1582">
        <f t="shared" si="21"/>
        <v>80.594760908522161</v>
      </c>
      <c r="H59" s="1583">
        <f t="shared" si="22"/>
        <v>1</v>
      </c>
      <c r="I59" s="1594">
        <f t="shared" si="23"/>
        <v>80.594760908522161</v>
      </c>
      <c r="J59" s="1680" t="s">
        <v>548</v>
      </c>
      <c r="K59" s="1432" t="s">
        <v>569</v>
      </c>
      <c r="L59" s="1426">
        <v>90</v>
      </c>
      <c r="M59" s="1426">
        <v>150</v>
      </c>
      <c r="N59" s="1426">
        <v>1950</v>
      </c>
      <c r="O59" s="1425">
        <v>125</v>
      </c>
      <c r="P59" s="1425">
        <v>0.9</v>
      </c>
      <c r="Q59" s="1427">
        <v>2</v>
      </c>
      <c r="R59" s="1428">
        <v>0.28000000000000003</v>
      </c>
      <c r="S59" s="1457">
        <v>0.2</v>
      </c>
      <c r="T59" s="1624">
        <v>10</v>
      </c>
      <c r="U59" s="1616" t="s">
        <v>642</v>
      </c>
      <c r="V59" s="1622">
        <f>IF(E59=1,IF(U59="N",LOOKUP(T59,'HS250-DATA'!C$7:C$10,'HS250-DATA'!D$7:D$10),IF(U59="Y",LOOKUP(T59,'HS250-DATA'!C$22:C$25,'HS250-DATA'!D$22:D$25),"FAN?")),IF(U59="N",LOOKUP(T59,'HS250-DATA'!C$14:C$17,'HS250-DATA'!D$14:D$17),IF(U59="Y",LOOKUP(T59,'HS250-DATA'!C$29:C$32,'HS250-DATA'!D$29:D$32),"FAN?")))</f>
        <v>0.28000000000000003</v>
      </c>
      <c r="W59" s="1602">
        <f t="shared" si="24"/>
        <v>85.526315789473657</v>
      </c>
      <c r="X59" s="1602">
        <f t="shared" si="25"/>
        <v>85.526315789473657</v>
      </c>
      <c r="Y59" s="1602">
        <f t="shared" si="26"/>
        <v>85.526315789473657</v>
      </c>
      <c r="Z59" s="1579">
        <f t="shared" si="27"/>
        <v>120</v>
      </c>
      <c r="AA59" s="1913">
        <f t="shared" si="28"/>
        <v>78.94736842105263</v>
      </c>
      <c r="AB59" s="1588">
        <v>55</v>
      </c>
      <c r="AC59" s="1570"/>
      <c r="AD59" s="1754">
        <f t="shared" si="29"/>
        <v>2E-3</v>
      </c>
      <c r="AE59" s="1634">
        <f t="shared" si="30"/>
        <v>0.9</v>
      </c>
      <c r="AF59" s="1635">
        <f t="shared" si="31"/>
        <v>-85.526315789473685</v>
      </c>
      <c r="AG59" s="1646">
        <f t="shared" si="32"/>
        <v>1.4942105263157894</v>
      </c>
      <c r="AH59" s="1790">
        <f t="shared" si="33"/>
        <v>32.86</v>
      </c>
      <c r="AI59" s="1607"/>
      <c r="AJ59" s="1733">
        <f>C59*LOOKUP(T59,'HS250-DATA'!C$7:C$10,'HS250-DATA'!F$7:F$10)</f>
        <v>19.86</v>
      </c>
      <c r="AK59" s="1733">
        <f t="shared" si="34"/>
        <v>0</v>
      </c>
      <c r="AL59" s="1733">
        <f>C59*E59*VLOOKUP(K59,'SCR-Diode DATA'!D$7:M$43,10,FALSE)</f>
        <v>13</v>
      </c>
      <c r="AM59" s="507">
        <f t="shared" si="35"/>
        <v>0.4077188098776946</v>
      </c>
    </row>
    <row r="60" spans="1:51" ht="18.75">
      <c r="A60" s="1598" t="s">
        <v>501</v>
      </c>
      <c r="B60" s="1533">
        <f t="shared" si="18"/>
        <v>1</v>
      </c>
      <c r="C60" s="1600">
        <v>1</v>
      </c>
      <c r="D60" s="1575">
        <f t="shared" si="19"/>
        <v>1</v>
      </c>
      <c r="E60" s="1575">
        <v>1</v>
      </c>
      <c r="F60" s="1611">
        <f t="shared" si="20"/>
        <v>99.417707191663339</v>
      </c>
      <c r="G60" s="1582">
        <f t="shared" si="21"/>
        <v>99.417707191663339</v>
      </c>
      <c r="H60" s="1583">
        <f t="shared" si="22"/>
        <v>1</v>
      </c>
      <c r="I60" s="1594">
        <f t="shared" si="23"/>
        <v>99.417707191663339</v>
      </c>
      <c r="J60" s="1680" t="s">
        <v>548</v>
      </c>
      <c r="K60" s="1432" t="s">
        <v>569</v>
      </c>
      <c r="L60" s="1426">
        <v>90</v>
      </c>
      <c r="M60" s="1426">
        <v>150</v>
      </c>
      <c r="N60" s="1426">
        <v>1950</v>
      </c>
      <c r="O60" s="1425">
        <v>125</v>
      </c>
      <c r="P60" s="1425">
        <v>0.9</v>
      </c>
      <c r="Q60" s="1427">
        <v>2</v>
      </c>
      <c r="R60" s="1428">
        <v>0.28000000000000003</v>
      </c>
      <c r="S60" s="1457">
        <v>0.2</v>
      </c>
      <c r="T60" s="1624">
        <v>10</v>
      </c>
      <c r="U60" s="1616" t="s">
        <v>645</v>
      </c>
      <c r="V60" s="1622">
        <f>IF(E60=1,IF(U60="N",LOOKUP(T60,'HS250-DATA'!C$7:C$10,'HS250-DATA'!D$7:D$10),IF(U60="Y",LOOKUP(T60,'HS250-DATA'!C$22:C$25,'HS250-DATA'!D$22:D$25),"FAN?")),IF(U60="N",LOOKUP(T60,'HS250-DATA'!C$14:C$17,'HS250-DATA'!D$14:D$17),IF(U60="Y",LOOKUP(T60,'HS250-DATA'!C$29:C$32,'HS250-DATA'!D$29:D$32),"FAN?")))</f>
        <v>0.115</v>
      </c>
      <c r="W60" s="1602">
        <f t="shared" si="24"/>
        <v>109.24369747899163</v>
      </c>
      <c r="X60" s="1602">
        <f t="shared" si="25"/>
        <v>109.24369747899163</v>
      </c>
      <c r="Y60" s="1602">
        <f t="shared" si="26"/>
        <v>109.24369747899163</v>
      </c>
      <c r="Z60" s="1579">
        <f t="shared" si="27"/>
        <v>120</v>
      </c>
      <c r="AA60" s="1913">
        <f t="shared" si="28"/>
        <v>67.563025210084035</v>
      </c>
      <c r="AB60" s="1588">
        <v>55</v>
      </c>
      <c r="AC60" s="1570"/>
      <c r="AD60" s="1754">
        <f t="shared" si="29"/>
        <v>2E-3</v>
      </c>
      <c r="AE60" s="1634">
        <f t="shared" si="30"/>
        <v>0.9</v>
      </c>
      <c r="AF60" s="1635">
        <f t="shared" si="31"/>
        <v>-109.24369747899158</v>
      </c>
      <c r="AG60" s="1646">
        <f t="shared" si="32"/>
        <v>1.6839495798319328</v>
      </c>
      <c r="AH60" s="1790">
        <f t="shared" si="33"/>
        <v>44.86</v>
      </c>
      <c r="AI60" s="1607"/>
      <c r="AJ60" s="1733">
        <f>C60*LOOKUP(T60,'HS250-DATA'!C$7:C$10,'HS250-DATA'!F$7:F$10)</f>
        <v>19.86</v>
      </c>
      <c r="AK60" s="1733">
        <f t="shared" si="34"/>
        <v>12</v>
      </c>
      <c r="AL60" s="1733">
        <f>C60*E60*VLOOKUP(K60,'SCR-Diode DATA'!D$7:M$43,10,FALSE)</f>
        <v>13</v>
      </c>
      <c r="AM60" s="507">
        <f t="shared" si="35"/>
        <v>0.45122746507839129</v>
      </c>
    </row>
    <row r="61" spans="1:51" ht="18.75">
      <c r="A61" s="1598" t="s">
        <v>501</v>
      </c>
      <c r="B61" s="1533">
        <f t="shared" si="18"/>
        <v>1</v>
      </c>
      <c r="C61" s="1600">
        <v>1</v>
      </c>
      <c r="D61" s="1575">
        <f t="shared" si="19"/>
        <v>1</v>
      </c>
      <c r="E61" s="1575">
        <v>1</v>
      </c>
      <c r="F61" s="1611">
        <f t="shared" si="20"/>
        <v>82.965399151966295</v>
      </c>
      <c r="G61" s="1582">
        <f t="shared" si="21"/>
        <v>82.965399151966295</v>
      </c>
      <c r="H61" s="1583">
        <f t="shared" si="22"/>
        <v>1</v>
      </c>
      <c r="I61" s="1594">
        <f t="shared" si="23"/>
        <v>82.965399151966295</v>
      </c>
      <c r="J61" s="1680" t="s">
        <v>548</v>
      </c>
      <c r="K61" s="1432" t="s">
        <v>569</v>
      </c>
      <c r="L61" s="1426">
        <v>90</v>
      </c>
      <c r="M61" s="1426">
        <v>150</v>
      </c>
      <c r="N61" s="1426">
        <v>1950</v>
      </c>
      <c r="O61" s="1425">
        <v>125</v>
      </c>
      <c r="P61" s="1425">
        <v>0.9</v>
      </c>
      <c r="Q61" s="1427">
        <v>2</v>
      </c>
      <c r="R61" s="1428">
        <v>0.28000000000000003</v>
      </c>
      <c r="S61" s="1457">
        <v>0.2</v>
      </c>
      <c r="T61" s="1624">
        <v>13</v>
      </c>
      <c r="U61" s="1616" t="s">
        <v>642</v>
      </c>
      <c r="V61" s="1622">
        <f>IF(E61=1,IF(U61="N",LOOKUP(T61,'HS250-DATA'!C$7:C$10,'HS250-DATA'!D$7:D$10),IF(U61="Y",LOOKUP(T61,'HS250-DATA'!C$22:C$25,'HS250-DATA'!D$22:D$25),"FAN?")),IF(U61="N",LOOKUP(T61,'HS250-DATA'!C$14:C$17,'HS250-DATA'!D$14:D$17),IF(U61="Y",LOOKUP(T61,'HS250-DATA'!C$29:C$32,'HS250-DATA'!D$29:D$32),"FAN?")))</f>
        <v>0.255</v>
      </c>
      <c r="W61" s="1602">
        <f t="shared" si="24"/>
        <v>88.43537414965985</v>
      </c>
      <c r="X61" s="1602">
        <f t="shared" si="25"/>
        <v>88.43537414965985</v>
      </c>
      <c r="Y61" s="1602">
        <f t="shared" si="26"/>
        <v>88.43537414965985</v>
      </c>
      <c r="Z61" s="1579">
        <f t="shared" si="27"/>
        <v>120</v>
      </c>
      <c r="AA61" s="1913">
        <f t="shared" si="28"/>
        <v>77.551020408163254</v>
      </c>
      <c r="AB61" s="1588">
        <v>55</v>
      </c>
      <c r="AC61" s="1570"/>
      <c r="AD61" s="1754">
        <f t="shared" si="29"/>
        <v>2E-3</v>
      </c>
      <c r="AE61" s="1634">
        <f t="shared" si="30"/>
        <v>0.9</v>
      </c>
      <c r="AF61" s="1635">
        <f t="shared" si="31"/>
        <v>-88.43537414965985</v>
      </c>
      <c r="AG61" s="1646">
        <f t="shared" si="32"/>
        <v>1.5174829931972789</v>
      </c>
      <c r="AH61" s="1790">
        <f t="shared" si="33"/>
        <v>37.549999999999997</v>
      </c>
      <c r="AI61" s="1607"/>
      <c r="AJ61" s="1733">
        <f>C61*LOOKUP(T61,'HS250-DATA'!C$7:C$10,'HS250-DATA'!F$7:F$10)</f>
        <v>24.55</v>
      </c>
      <c r="AK61" s="1733">
        <f t="shared" si="34"/>
        <v>0</v>
      </c>
      <c r="AL61" s="1733">
        <f>C61*E61*VLOOKUP(K61,'SCR-Diode DATA'!D$7:M$43,10,FALSE)</f>
        <v>13</v>
      </c>
      <c r="AM61" s="507">
        <f t="shared" si="35"/>
        <v>0.4525983166936895</v>
      </c>
    </row>
    <row r="62" spans="1:51" ht="18.75">
      <c r="A62" s="1598" t="s">
        <v>501</v>
      </c>
      <c r="B62" s="1533">
        <f t="shared" si="18"/>
        <v>1</v>
      </c>
      <c r="C62" s="1600">
        <v>1</v>
      </c>
      <c r="D62" s="1575">
        <f t="shared" si="19"/>
        <v>1</v>
      </c>
      <c r="E62" s="1575">
        <v>1</v>
      </c>
      <c r="F62" s="1611">
        <f t="shared" si="20"/>
        <v>100.13035195550698</v>
      </c>
      <c r="G62" s="1582">
        <f t="shared" si="21"/>
        <v>100.13035195550698</v>
      </c>
      <c r="H62" s="1583">
        <f t="shared" si="22"/>
        <v>1</v>
      </c>
      <c r="I62" s="1594">
        <f t="shared" si="23"/>
        <v>100.13035195550698</v>
      </c>
      <c r="J62" s="1680" t="s">
        <v>548</v>
      </c>
      <c r="K62" s="1432" t="s">
        <v>569</v>
      </c>
      <c r="L62" s="1426">
        <v>90</v>
      </c>
      <c r="M62" s="1426">
        <v>150</v>
      </c>
      <c r="N62" s="1426">
        <v>1950</v>
      </c>
      <c r="O62" s="1425">
        <v>125</v>
      </c>
      <c r="P62" s="1425">
        <v>0.9</v>
      </c>
      <c r="Q62" s="1427">
        <v>2</v>
      </c>
      <c r="R62" s="1428">
        <v>0.28000000000000003</v>
      </c>
      <c r="S62" s="1457">
        <v>0.2</v>
      </c>
      <c r="T62" s="1624">
        <v>13</v>
      </c>
      <c r="U62" s="1616" t="s">
        <v>645</v>
      </c>
      <c r="V62" s="1622">
        <f>IF(E62=1,IF(U62="N",LOOKUP(T62,'HS250-DATA'!C$7:C$10,'HS250-DATA'!D$7:D$10),IF(U62="Y",LOOKUP(T62,'HS250-DATA'!C$22:C$25,'HS250-DATA'!D$22:D$25),"FAN?")),IF(U62="N",LOOKUP(T62,'HS250-DATA'!C$14:C$17,'HS250-DATA'!D$14:D$17),IF(U62="Y",LOOKUP(T62,'HS250-DATA'!C$29:C$32,'HS250-DATA'!D$29:D$32),"FAN?")))</f>
        <v>0.11</v>
      </c>
      <c r="W62" s="1602">
        <f t="shared" si="24"/>
        <v>110.16949152542368</v>
      </c>
      <c r="X62" s="1602">
        <f t="shared" si="25"/>
        <v>110.16949152542368</v>
      </c>
      <c r="Y62" s="1602">
        <f t="shared" si="26"/>
        <v>110.16949152542368</v>
      </c>
      <c r="Z62" s="1579">
        <f t="shared" si="27"/>
        <v>120</v>
      </c>
      <c r="AA62" s="1913">
        <f t="shared" si="28"/>
        <v>67.118644067796609</v>
      </c>
      <c r="AB62" s="1588">
        <v>55</v>
      </c>
      <c r="AC62" s="1570"/>
      <c r="AD62" s="1754">
        <f t="shared" si="29"/>
        <v>2E-3</v>
      </c>
      <c r="AE62" s="1634">
        <f t="shared" si="30"/>
        <v>0.9</v>
      </c>
      <c r="AF62" s="1635">
        <f t="shared" si="31"/>
        <v>-110.16949152542371</v>
      </c>
      <c r="AG62" s="1646">
        <f t="shared" si="32"/>
        <v>1.6913559322033898</v>
      </c>
      <c r="AH62" s="1790">
        <f t="shared" si="33"/>
        <v>49.55</v>
      </c>
      <c r="AI62" s="1607"/>
      <c r="AJ62" s="1733">
        <f>C62*LOOKUP(T62,'HS250-DATA'!C$7:C$10,'HS250-DATA'!F$7:F$10)</f>
        <v>24.55</v>
      </c>
      <c r="AK62" s="1733">
        <f t="shared" si="34"/>
        <v>12</v>
      </c>
      <c r="AL62" s="1733">
        <f>C62*E62*VLOOKUP(K62,'SCR-Diode DATA'!D$7:M$43,10,FALSE)</f>
        <v>13</v>
      </c>
      <c r="AM62" s="507">
        <f t="shared" si="35"/>
        <v>0.49485494689979304</v>
      </c>
    </row>
    <row r="63" spans="1:51" ht="18.75">
      <c r="A63" s="1598" t="s">
        <v>501</v>
      </c>
      <c r="B63" s="1533">
        <f t="shared" si="18"/>
        <v>1</v>
      </c>
      <c r="C63" s="1600">
        <v>1</v>
      </c>
      <c r="D63" s="1575">
        <f t="shared" si="19"/>
        <v>1</v>
      </c>
      <c r="E63" s="1575">
        <v>1</v>
      </c>
      <c r="F63" s="1611">
        <f t="shared" si="20"/>
        <v>83.456719727752841</v>
      </c>
      <c r="G63" s="1582">
        <f t="shared" si="21"/>
        <v>83.456719727752841</v>
      </c>
      <c r="H63" s="1583">
        <f t="shared" si="22"/>
        <v>1</v>
      </c>
      <c r="I63" s="1594">
        <f t="shared" si="23"/>
        <v>83.456719727752841</v>
      </c>
      <c r="J63" s="1680" t="s">
        <v>548</v>
      </c>
      <c r="K63" s="1432" t="s">
        <v>569</v>
      </c>
      <c r="L63" s="1426">
        <v>90</v>
      </c>
      <c r="M63" s="1426">
        <v>150</v>
      </c>
      <c r="N63" s="1426">
        <v>1950</v>
      </c>
      <c r="O63" s="1425">
        <v>125</v>
      </c>
      <c r="P63" s="1425">
        <v>0.9</v>
      </c>
      <c r="Q63" s="1427">
        <v>2</v>
      </c>
      <c r="R63" s="1428">
        <v>0.28000000000000003</v>
      </c>
      <c r="S63" s="1457">
        <v>0.2</v>
      </c>
      <c r="T63" s="1624">
        <v>15</v>
      </c>
      <c r="U63" s="1616" t="s">
        <v>642</v>
      </c>
      <c r="V63" s="1622">
        <f>IF(E63=1,IF(U63="N",LOOKUP(T63,'HS250-DATA'!C$7:C$10,'HS250-DATA'!D$7:D$10),IF(U63="Y",LOOKUP(T63,'HS250-DATA'!C$22:C$25,'HS250-DATA'!D$22:D$25),"FAN?")),IF(U63="N",LOOKUP(T63,'HS250-DATA'!C$14:C$17,'HS250-DATA'!D$14:D$17),IF(U63="Y",LOOKUP(T63,'HS250-DATA'!C$29:C$32,'HS250-DATA'!D$29:D$32),"FAN?")))</f>
        <v>0.25</v>
      </c>
      <c r="W63" s="1602">
        <f t="shared" si="24"/>
        <v>89.041095890410944</v>
      </c>
      <c r="X63" s="1602">
        <f t="shared" si="25"/>
        <v>89.041095890410944</v>
      </c>
      <c r="Y63" s="1602">
        <f t="shared" si="26"/>
        <v>89.041095890410944</v>
      </c>
      <c r="Z63" s="1579">
        <f t="shared" si="27"/>
        <v>120</v>
      </c>
      <c r="AA63" s="1913">
        <f t="shared" si="28"/>
        <v>77.260273972602732</v>
      </c>
      <c r="AB63" s="1588">
        <v>55</v>
      </c>
      <c r="AC63" s="1570"/>
      <c r="AD63" s="1754">
        <f t="shared" si="29"/>
        <v>2E-3</v>
      </c>
      <c r="AE63" s="1634">
        <f t="shared" si="30"/>
        <v>0.9</v>
      </c>
      <c r="AF63" s="1635">
        <f t="shared" si="31"/>
        <v>-89.041095890410958</v>
      </c>
      <c r="AG63" s="1646">
        <f t="shared" si="32"/>
        <v>1.5223287671232877</v>
      </c>
      <c r="AH63" s="1790">
        <f t="shared" si="33"/>
        <v>41.260000000000005</v>
      </c>
      <c r="AI63" s="1607"/>
      <c r="AJ63" s="1733">
        <f>C63*LOOKUP(T63,'HS250-DATA'!C$7:C$10,'HS250-DATA'!F$7:F$10)</f>
        <v>28.26</v>
      </c>
      <c r="AK63" s="1733">
        <f t="shared" si="34"/>
        <v>0</v>
      </c>
      <c r="AL63" s="1733">
        <f>C63*E63*VLOOKUP(K63,'SCR-Diode DATA'!D$7:M$43,10,FALSE)</f>
        <v>13</v>
      </c>
      <c r="AM63" s="507">
        <f t="shared" si="35"/>
        <v>0.49438799098018388</v>
      </c>
    </row>
    <row r="64" spans="1:51" ht="18.75">
      <c r="A64" s="1598" t="s">
        <v>501</v>
      </c>
      <c r="B64" s="1533">
        <f t="shared" si="18"/>
        <v>1</v>
      </c>
      <c r="C64" s="1600">
        <v>1</v>
      </c>
      <c r="D64" s="1575">
        <f t="shared" si="19"/>
        <v>1</v>
      </c>
      <c r="E64" s="1575">
        <v>1</v>
      </c>
      <c r="F64" s="1611">
        <f t="shared" si="20"/>
        <v>100.70807612529705</v>
      </c>
      <c r="G64" s="1582">
        <f t="shared" si="21"/>
        <v>100.70807612529705</v>
      </c>
      <c r="H64" s="1583">
        <f t="shared" si="22"/>
        <v>1</v>
      </c>
      <c r="I64" s="1594">
        <f t="shared" si="23"/>
        <v>100.70807612529705</v>
      </c>
      <c r="J64" s="1680" t="s">
        <v>548</v>
      </c>
      <c r="K64" s="1432" t="s">
        <v>569</v>
      </c>
      <c r="L64" s="1426">
        <v>90</v>
      </c>
      <c r="M64" s="1426">
        <v>150</v>
      </c>
      <c r="N64" s="1426">
        <v>1950</v>
      </c>
      <c r="O64" s="1425">
        <v>125</v>
      </c>
      <c r="P64" s="1425">
        <v>0.9</v>
      </c>
      <c r="Q64" s="1427">
        <v>2</v>
      </c>
      <c r="R64" s="1428">
        <v>0.28000000000000003</v>
      </c>
      <c r="S64" s="1457">
        <v>0.2</v>
      </c>
      <c r="T64" s="1624">
        <v>15</v>
      </c>
      <c r="U64" s="1616" t="s">
        <v>645</v>
      </c>
      <c r="V64" s="1622">
        <f>IF(E64=1,IF(U64="N",LOOKUP(T64,'HS250-DATA'!C$7:C$10,'HS250-DATA'!D$7:D$10),IF(U64="Y",LOOKUP(T64,'HS250-DATA'!C$22:C$25,'HS250-DATA'!D$22:D$25),"FAN?")),IF(U64="N",LOOKUP(T64,'HS250-DATA'!C$14:C$17,'HS250-DATA'!D$14:D$17),IF(U64="Y",LOOKUP(T64,'HS250-DATA'!C$29:C$32,'HS250-DATA'!D$29:D$32),"FAN?")))</f>
        <v>0.106</v>
      </c>
      <c r="W64" s="1602">
        <f t="shared" si="24"/>
        <v>110.92150170648461</v>
      </c>
      <c r="X64" s="1602">
        <f t="shared" si="25"/>
        <v>110.92150170648461</v>
      </c>
      <c r="Y64" s="1602">
        <f t="shared" si="26"/>
        <v>110.92150170648461</v>
      </c>
      <c r="Z64" s="1579">
        <f t="shared" si="27"/>
        <v>120</v>
      </c>
      <c r="AA64" s="1913">
        <f t="shared" si="28"/>
        <v>66.757679180887365</v>
      </c>
      <c r="AB64" s="1588">
        <v>55</v>
      </c>
      <c r="AC64" s="1570"/>
      <c r="AD64" s="1754">
        <f t="shared" si="29"/>
        <v>2E-3</v>
      </c>
      <c r="AE64" s="1634">
        <f t="shared" si="30"/>
        <v>0.9</v>
      </c>
      <c r="AF64" s="1635">
        <f t="shared" si="31"/>
        <v>-110.92150170648463</v>
      </c>
      <c r="AG64" s="1646">
        <f t="shared" si="32"/>
        <v>1.6973720136518771</v>
      </c>
      <c r="AH64" s="1790">
        <f t="shared" si="33"/>
        <v>53.260000000000005</v>
      </c>
      <c r="AI64" s="1607"/>
      <c r="AJ64" s="1733">
        <f>C64*LOOKUP(T64,'HS250-DATA'!C$7:C$10,'HS250-DATA'!F$7:F$10)</f>
        <v>28.26</v>
      </c>
      <c r="AK64" s="1733">
        <f t="shared" si="34"/>
        <v>12</v>
      </c>
      <c r="AL64" s="1733">
        <f>C64*E64*VLOOKUP(K64,'SCR-Diode DATA'!D$7:M$43,10,FALSE)</f>
        <v>13</v>
      </c>
      <c r="AM64" s="507">
        <f t="shared" si="35"/>
        <v>0.52885530187009022</v>
      </c>
    </row>
    <row r="65" spans="1:39" ht="18.75">
      <c r="A65" s="1598" t="s">
        <v>501</v>
      </c>
      <c r="B65" s="1533">
        <f t="shared" si="18"/>
        <v>1</v>
      </c>
      <c r="C65" s="1600">
        <v>1</v>
      </c>
      <c r="D65" s="1575">
        <f t="shared" si="19"/>
        <v>1</v>
      </c>
      <c r="E65" s="1575">
        <v>1</v>
      </c>
      <c r="F65" s="1611">
        <f t="shared" si="20"/>
        <v>136.74720711953495</v>
      </c>
      <c r="G65" s="1582">
        <f t="shared" si="21"/>
        <v>136.74720711953495</v>
      </c>
      <c r="H65" s="1583">
        <f t="shared" si="22"/>
        <v>1</v>
      </c>
      <c r="I65" s="1594">
        <f t="shared" si="23"/>
        <v>136.74720711953495</v>
      </c>
      <c r="J65" s="1680" t="s">
        <v>548</v>
      </c>
      <c r="K65" s="1432" t="s">
        <v>505</v>
      </c>
      <c r="L65" s="1426">
        <v>160</v>
      </c>
      <c r="M65" s="1426">
        <v>250</v>
      </c>
      <c r="N65" s="1426">
        <v>3350</v>
      </c>
      <c r="O65" s="1425">
        <v>150</v>
      </c>
      <c r="P65" s="1425">
        <v>0.85</v>
      </c>
      <c r="Q65" s="1427">
        <v>1.2</v>
      </c>
      <c r="R65" s="1428">
        <v>0.18</v>
      </c>
      <c r="S65" s="1457">
        <v>0.1</v>
      </c>
      <c r="T65" s="1624">
        <v>6.5</v>
      </c>
      <c r="U65" s="1616" t="s">
        <v>642</v>
      </c>
      <c r="V65" s="1622">
        <f>IF(E65=1,IF(U65="N",LOOKUP(T65,'HS250-DATA'!C$7:C$10,'HS250-DATA'!D$7:D$10),IF(U65="Y",LOOKUP(T65,'HS250-DATA'!C$22:C$25,'HS250-DATA'!D$22:D$25),"FAN?")),IF(U65="N",LOOKUP(T65,'HS250-DATA'!C$14:C$17,'HS250-DATA'!D$14:D$17),IF(U65="Y",LOOKUP(T65,'HS250-DATA'!C$29:C$32,'HS250-DATA'!D$29:D$32),"FAN?")))</f>
        <v>0.36899999999999999</v>
      </c>
      <c r="W65" s="1602">
        <f t="shared" si="24"/>
        <v>138.67488443759629</v>
      </c>
      <c r="X65" s="1602">
        <f t="shared" si="25"/>
        <v>138.67488443759629</v>
      </c>
      <c r="Y65" s="1602">
        <f t="shared" si="26"/>
        <v>138.67488443759629</v>
      </c>
      <c r="Z65" s="1579">
        <f t="shared" si="27"/>
        <v>145</v>
      </c>
      <c r="AA65" s="1913">
        <f t="shared" si="28"/>
        <v>106.17103235747302</v>
      </c>
      <c r="AB65" s="1588">
        <v>55</v>
      </c>
      <c r="AC65" s="1570"/>
      <c r="AD65" s="1754">
        <f t="shared" si="29"/>
        <v>1.1999999999999999E-3</v>
      </c>
      <c r="AE65" s="1634">
        <f t="shared" si="30"/>
        <v>0.85</v>
      </c>
      <c r="AF65" s="1635">
        <f t="shared" si="31"/>
        <v>-138.67488443759629</v>
      </c>
      <c r="AG65" s="1646">
        <f t="shared" si="32"/>
        <v>1.3881394453004621</v>
      </c>
      <c r="AH65" s="1790">
        <f t="shared" si="33"/>
        <v>46.35</v>
      </c>
      <c r="AI65" s="1607"/>
      <c r="AJ65" s="1733">
        <f>C65*LOOKUP(T65,'HS250-DATA'!C$7:C$10,'HS250-DATA'!F$7:F$10)</f>
        <v>16.350000000000001</v>
      </c>
      <c r="AK65" s="1733">
        <f t="shared" si="34"/>
        <v>0</v>
      </c>
      <c r="AL65" s="1733">
        <f>C65*E65*VLOOKUP(K65,'SCR-Diode DATA'!D$7:M$43,10,FALSE)</f>
        <v>30</v>
      </c>
      <c r="AM65" s="507">
        <f t="shared" si="35"/>
        <v>0.33894659332591737</v>
      </c>
    </row>
    <row r="66" spans="1:39" ht="18.75">
      <c r="A66" s="1598" t="s">
        <v>501</v>
      </c>
      <c r="B66" s="1533">
        <f t="shared" si="18"/>
        <v>1</v>
      </c>
      <c r="C66" s="1600">
        <v>1</v>
      </c>
      <c r="D66" s="1575">
        <f t="shared" si="19"/>
        <v>1</v>
      </c>
      <c r="E66" s="1575">
        <v>1</v>
      </c>
      <c r="F66" s="1611">
        <f t="shared" si="20"/>
        <v>204.40400205563765</v>
      </c>
      <c r="G66" s="1582">
        <f t="shared" si="21"/>
        <v>204.40400205563765</v>
      </c>
      <c r="H66" s="1583">
        <f t="shared" si="22"/>
        <v>1</v>
      </c>
      <c r="I66" s="1594">
        <f t="shared" si="23"/>
        <v>204.40400205563765</v>
      </c>
      <c r="J66" s="1680" t="s">
        <v>548</v>
      </c>
      <c r="K66" s="1432" t="s">
        <v>505</v>
      </c>
      <c r="L66" s="1426">
        <v>160</v>
      </c>
      <c r="M66" s="1426">
        <v>250</v>
      </c>
      <c r="N66" s="1426">
        <v>3350</v>
      </c>
      <c r="O66" s="1425">
        <v>150</v>
      </c>
      <c r="P66" s="1425">
        <v>0.85</v>
      </c>
      <c r="Q66" s="1427">
        <v>1.2</v>
      </c>
      <c r="R66" s="1428">
        <v>0.18</v>
      </c>
      <c r="S66" s="1457">
        <v>0.1</v>
      </c>
      <c r="T66" s="1624">
        <v>6.5</v>
      </c>
      <c r="U66" s="1616" t="s">
        <v>645</v>
      </c>
      <c r="V66" s="1622">
        <f>IF(E66=1,IF(U66="N",LOOKUP(T66,'HS250-DATA'!C$7:C$10,'HS250-DATA'!D$7:D$10),IF(U66="Y",LOOKUP(T66,'HS250-DATA'!C$22:C$25,'HS250-DATA'!D$22:D$25),"FAN?")),IF(U66="N",LOOKUP(T66,'HS250-DATA'!C$14:C$17,'HS250-DATA'!D$14:D$17),IF(U66="Y",LOOKUP(T66,'HS250-DATA'!C$29:C$32,'HS250-DATA'!D$29:D$32),"FAN?")))</f>
        <v>0.122</v>
      </c>
      <c r="W66" s="1602">
        <f t="shared" si="24"/>
        <v>223.88059701492531</v>
      </c>
      <c r="X66" s="1602">
        <f t="shared" si="25"/>
        <v>223.88059701492531</v>
      </c>
      <c r="Y66" s="1602">
        <f t="shared" si="26"/>
        <v>223.88059701492531</v>
      </c>
      <c r="Z66" s="1579">
        <f t="shared" si="27"/>
        <v>145</v>
      </c>
      <c r="AA66" s="1913">
        <f t="shared" si="28"/>
        <v>82.31343283582089</v>
      </c>
      <c r="AB66" s="1588">
        <v>55</v>
      </c>
      <c r="AC66" s="1570"/>
      <c r="AD66" s="1754">
        <f t="shared" si="29"/>
        <v>1.1999999999999999E-3</v>
      </c>
      <c r="AE66" s="1634">
        <f t="shared" si="30"/>
        <v>0.85</v>
      </c>
      <c r="AF66" s="1635">
        <f t="shared" si="31"/>
        <v>-223.88059701492537</v>
      </c>
      <c r="AG66" s="1646">
        <f t="shared" si="32"/>
        <v>1.7971268656716417</v>
      </c>
      <c r="AH66" s="1790">
        <f t="shared" si="33"/>
        <v>58.35</v>
      </c>
      <c r="AI66" s="1607"/>
      <c r="AJ66" s="1733">
        <f>C66*LOOKUP(T66,'HS250-DATA'!C$7:C$10,'HS250-DATA'!F$7:F$10)</f>
        <v>16.350000000000001</v>
      </c>
      <c r="AK66" s="1733">
        <f>IF(U66="Y",C66*12,0)</f>
        <v>12</v>
      </c>
      <c r="AL66" s="1733">
        <f>C66*E66*VLOOKUP(K66,'SCR-Diode DATA'!D$7:M$43,10,FALSE)</f>
        <v>30</v>
      </c>
      <c r="AM66" s="507">
        <f t="shared" si="35"/>
        <v>0.28546407806691304</v>
      </c>
    </row>
    <row r="67" spans="1:39" ht="18.75">
      <c r="A67" s="1598" t="s">
        <v>501</v>
      </c>
      <c r="B67" s="1533">
        <f t="shared" si="18"/>
        <v>1</v>
      </c>
      <c r="C67" s="1600">
        <v>1</v>
      </c>
      <c r="D67" s="1575">
        <f t="shared" si="19"/>
        <v>1</v>
      </c>
      <c r="E67" s="1575">
        <v>1</v>
      </c>
      <c r="F67" s="1611">
        <f t="shared" si="20"/>
        <v>155.10987825401702</v>
      </c>
      <c r="G67" s="1582">
        <f t="shared" si="21"/>
        <v>155.10987825401702</v>
      </c>
      <c r="H67" s="1583">
        <f t="shared" si="22"/>
        <v>1</v>
      </c>
      <c r="I67" s="1594">
        <f t="shared" si="23"/>
        <v>155.10987825401702</v>
      </c>
      <c r="J67" s="1680" t="s">
        <v>548</v>
      </c>
      <c r="K67" s="1432" t="s">
        <v>505</v>
      </c>
      <c r="L67" s="1426">
        <v>160</v>
      </c>
      <c r="M67" s="1426">
        <v>250</v>
      </c>
      <c r="N67" s="1426">
        <v>3350</v>
      </c>
      <c r="O67" s="1425">
        <v>150</v>
      </c>
      <c r="P67" s="1425">
        <v>0.85</v>
      </c>
      <c r="Q67" s="1427">
        <v>1.2</v>
      </c>
      <c r="R67" s="1428">
        <v>0.18</v>
      </c>
      <c r="S67" s="1457">
        <v>0.1</v>
      </c>
      <c r="T67" s="1624">
        <v>10</v>
      </c>
      <c r="U67" s="1616" t="s">
        <v>642</v>
      </c>
      <c r="V67" s="1622">
        <f>IF(E67=1,IF(U67="N",LOOKUP(T67,'HS250-DATA'!C$7:C$10,'HS250-DATA'!D$7:D$10),IF(U67="Y",LOOKUP(T67,'HS250-DATA'!C$22:C$25,'HS250-DATA'!D$22:D$25),"FAN?")),IF(U67="N",LOOKUP(T67,'HS250-DATA'!C$14:C$17,'HS250-DATA'!D$14:D$17),IF(U67="Y",LOOKUP(T67,'HS250-DATA'!C$29:C$32,'HS250-DATA'!D$29:D$32),"FAN?")))</f>
        <v>0.28000000000000003</v>
      </c>
      <c r="W67" s="1602">
        <f t="shared" si="24"/>
        <v>160.71428571428564</v>
      </c>
      <c r="X67" s="1602">
        <f t="shared" si="25"/>
        <v>160.71428571428564</v>
      </c>
      <c r="Y67" s="1602">
        <f t="shared" si="26"/>
        <v>160.71428571428564</v>
      </c>
      <c r="Z67" s="1579">
        <f t="shared" si="27"/>
        <v>145</v>
      </c>
      <c r="AA67" s="1913">
        <f t="shared" si="28"/>
        <v>99.999999999999986</v>
      </c>
      <c r="AB67" s="1588">
        <v>55</v>
      </c>
      <c r="AC67" s="1570"/>
      <c r="AD67" s="1754">
        <f t="shared" si="29"/>
        <v>1.1999999999999999E-3</v>
      </c>
      <c r="AE67" s="1634">
        <f t="shared" si="30"/>
        <v>0.85</v>
      </c>
      <c r="AF67" s="1635">
        <f t="shared" si="31"/>
        <v>-160.71428571428569</v>
      </c>
      <c r="AG67" s="1646">
        <f t="shared" si="32"/>
        <v>1.4939285714285711</v>
      </c>
      <c r="AH67" s="1790">
        <f t="shared" si="33"/>
        <v>49.86</v>
      </c>
      <c r="AI67" s="1607"/>
      <c r="AJ67" s="1733">
        <f>C67*LOOKUP(T67,'HS250-DATA'!C$7:C$10,'HS250-DATA'!F$7:F$10)</f>
        <v>19.86</v>
      </c>
      <c r="AK67" s="1733">
        <f>IF(U67="Y",C67*12,0)</f>
        <v>0</v>
      </c>
      <c r="AL67" s="1733">
        <f>C67*E67*VLOOKUP(K67,'SCR-Diode DATA'!D$7:M$43,10,FALSE)</f>
        <v>30</v>
      </c>
      <c r="AM67" s="507">
        <f t="shared" si="35"/>
        <v>0.3214495463554316</v>
      </c>
    </row>
    <row r="68" spans="1:39" ht="18.75">
      <c r="A68" s="1598" t="s">
        <v>501</v>
      </c>
      <c r="B68" s="1533">
        <f t="shared" si="18"/>
        <v>1</v>
      </c>
      <c r="C68" s="1600">
        <v>1</v>
      </c>
      <c r="D68" s="1575">
        <f t="shared" si="19"/>
        <v>1</v>
      </c>
      <c r="E68" s="1575">
        <v>1</v>
      </c>
      <c r="F68" s="1611">
        <f t="shared" si="20"/>
        <v>161.21760129814834</v>
      </c>
      <c r="G68" s="1582">
        <f t="shared" si="21"/>
        <v>161.21760129814834</v>
      </c>
      <c r="H68" s="1583">
        <f t="shared" si="22"/>
        <v>1</v>
      </c>
      <c r="I68" s="1594">
        <f t="shared" si="23"/>
        <v>161.21760129814834</v>
      </c>
      <c r="J68" s="1680" t="s">
        <v>548</v>
      </c>
      <c r="K68" s="1432" t="s">
        <v>505</v>
      </c>
      <c r="L68" s="1426">
        <v>160</v>
      </c>
      <c r="M68" s="1426">
        <v>250</v>
      </c>
      <c r="N68" s="1426">
        <v>3350</v>
      </c>
      <c r="O68" s="1425">
        <v>150</v>
      </c>
      <c r="P68" s="1425">
        <v>0.85</v>
      </c>
      <c r="Q68" s="1427">
        <v>1.2</v>
      </c>
      <c r="R68" s="1428">
        <v>0.18</v>
      </c>
      <c r="S68" s="1457">
        <v>0.1</v>
      </c>
      <c r="T68" s="1624">
        <v>13</v>
      </c>
      <c r="U68" s="1616" t="s">
        <v>642</v>
      </c>
      <c r="V68" s="1622">
        <f>IF(E68=1,IF(U68="N",LOOKUP(T68,'HS250-DATA'!C$7:C$10,'HS250-DATA'!D$7:D$10),IF(U68="Y",LOOKUP(T68,'HS250-DATA'!C$22:C$25,'HS250-DATA'!D$22:D$25),"FAN?")),IF(U68="N",LOOKUP(T68,'HS250-DATA'!C$14:C$17,'HS250-DATA'!D$14:D$17),IF(U68="Y",LOOKUP(T68,'HS250-DATA'!C$29:C$32,'HS250-DATA'!D$29:D$32),"FAN?")))</f>
        <v>0.255</v>
      </c>
      <c r="W68" s="1602">
        <f t="shared" si="24"/>
        <v>168.22429906542052</v>
      </c>
      <c r="X68" s="1602">
        <f t="shared" si="25"/>
        <v>168.22429906542052</v>
      </c>
      <c r="Y68" s="1602">
        <f t="shared" si="26"/>
        <v>168.22429906542052</v>
      </c>
      <c r="Z68" s="1579">
        <f t="shared" si="27"/>
        <v>145</v>
      </c>
      <c r="AA68" s="1913">
        <f t="shared" si="28"/>
        <v>97.89719626168224</v>
      </c>
      <c r="AB68" s="1588">
        <v>55</v>
      </c>
      <c r="AC68" s="1570"/>
      <c r="AD68" s="1754">
        <f t="shared" si="29"/>
        <v>1.1999999999999999E-3</v>
      </c>
      <c r="AE68" s="1634">
        <f t="shared" si="30"/>
        <v>0.85</v>
      </c>
      <c r="AF68" s="1635">
        <f t="shared" si="31"/>
        <v>-168.22429906542055</v>
      </c>
      <c r="AG68" s="1646">
        <f t="shared" si="32"/>
        <v>1.5299766355140185</v>
      </c>
      <c r="AH68" s="1790">
        <f t="shared" si="33"/>
        <v>54.55</v>
      </c>
      <c r="AI68" s="1607"/>
      <c r="AJ68" s="1733">
        <f>C68*LOOKUP(T68,'HS250-DATA'!C$7:C$10,'HS250-DATA'!F$7:F$10)</f>
        <v>24.55</v>
      </c>
      <c r="AK68" s="1733">
        <f>IF(U68="Y",C68*12,0)</f>
        <v>0</v>
      </c>
      <c r="AL68" s="1733">
        <f>C68*E68*VLOOKUP(K68,'SCR-Diode DATA'!D$7:M$43,10,FALSE)</f>
        <v>30</v>
      </c>
      <c r="AM68" s="507">
        <f t="shared" si="35"/>
        <v>0.33836255818691757</v>
      </c>
    </row>
    <row r="69" spans="1:39" ht="18.75">
      <c r="A69" s="1598" t="s">
        <v>501</v>
      </c>
      <c r="B69" s="1533">
        <f t="shared" si="18"/>
        <v>1</v>
      </c>
      <c r="C69" s="1600">
        <v>1</v>
      </c>
      <c r="D69" s="1575">
        <f t="shared" si="19"/>
        <v>1</v>
      </c>
      <c r="E69" s="1575">
        <v>1</v>
      </c>
      <c r="F69" s="1611">
        <f t="shared" si="20"/>
        <v>162.49904899486427</v>
      </c>
      <c r="G69" s="1582">
        <f t="shared" si="21"/>
        <v>162.49904899486427</v>
      </c>
      <c r="H69" s="1583">
        <f t="shared" si="22"/>
        <v>1</v>
      </c>
      <c r="I69" s="1594">
        <f t="shared" si="23"/>
        <v>162.49904899486427</v>
      </c>
      <c r="J69" s="1680" t="s">
        <v>548</v>
      </c>
      <c r="K69" s="1432" t="s">
        <v>505</v>
      </c>
      <c r="L69" s="1426">
        <v>160</v>
      </c>
      <c r="M69" s="1426">
        <v>250</v>
      </c>
      <c r="N69" s="1426">
        <v>3350</v>
      </c>
      <c r="O69" s="1425">
        <v>150</v>
      </c>
      <c r="P69" s="1425">
        <v>0.85</v>
      </c>
      <c r="Q69" s="1427">
        <v>1.2</v>
      </c>
      <c r="R69" s="1428">
        <v>0.18</v>
      </c>
      <c r="S69" s="1457">
        <v>0.1</v>
      </c>
      <c r="T69" s="1624">
        <v>15</v>
      </c>
      <c r="U69" s="1616" t="s">
        <v>642</v>
      </c>
      <c r="V69" s="1622">
        <f>IF(E69=1,IF(U69="N",LOOKUP(T69,'HS250-DATA'!C$7:C$10,'HS250-DATA'!D$7:D$10),IF(U69="Y",LOOKUP(T69,'HS250-DATA'!C$22:C$25,'HS250-DATA'!D$22:D$25),"FAN?")),IF(U69="N",LOOKUP(T69,'HS250-DATA'!C$14:C$17,'HS250-DATA'!D$14:D$17),IF(U69="Y",LOOKUP(T69,'HS250-DATA'!C$29:C$32,'HS250-DATA'!D$29:D$32),"FAN?")))</f>
        <v>0.25</v>
      </c>
      <c r="W69" s="1602">
        <f t="shared" si="24"/>
        <v>169.81132075471697</v>
      </c>
      <c r="X69" s="1602">
        <f t="shared" si="25"/>
        <v>169.81132075471697</v>
      </c>
      <c r="Y69" s="1602">
        <f t="shared" si="26"/>
        <v>169.81132075471697</v>
      </c>
      <c r="Z69" s="1579">
        <f t="shared" si="27"/>
        <v>145</v>
      </c>
      <c r="AA69" s="1913">
        <f t="shared" si="28"/>
        <v>97.452830188679243</v>
      </c>
      <c r="AB69" s="1588">
        <v>55</v>
      </c>
      <c r="AC69" s="1570"/>
      <c r="AD69" s="1754">
        <f t="shared" si="29"/>
        <v>1.1999999999999999E-3</v>
      </c>
      <c r="AE69" s="1634">
        <f t="shared" si="30"/>
        <v>0.85</v>
      </c>
      <c r="AF69" s="1635">
        <f t="shared" si="31"/>
        <v>-169.81132075471697</v>
      </c>
      <c r="AG69" s="1646">
        <f t="shared" si="32"/>
        <v>1.5375943396226415</v>
      </c>
      <c r="AH69" s="1790">
        <f t="shared" si="33"/>
        <v>58.260000000000005</v>
      </c>
      <c r="AI69" s="1607"/>
      <c r="AJ69" s="1733">
        <f>C69*LOOKUP(T69,'HS250-DATA'!C$7:C$10,'HS250-DATA'!F$7:F$10)</f>
        <v>28.26</v>
      </c>
      <c r="AK69" s="1733">
        <f>IF(U69="Y",C69*12,0)</f>
        <v>0</v>
      </c>
      <c r="AL69" s="1733">
        <f>C69*E69*VLOOKUP(K69,'SCR-Diode DATA'!D$7:M$43,10,FALSE)</f>
        <v>30</v>
      </c>
      <c r="AM69" s="507">
        <f t="shared" si="35"/>
        <v>0.3585251751340483</v>
      </c>
    </row>
    <row r="70" spans="1:39" ht="18.75">
      <c r="A70" s="1598" t="s">
        <v>501</v>
      </c>
      <c r="B70" s="1533">
        <f t="shared" si="18"/>
        <v>1</v>
      </c>
      <c r="C70" s="1600">
        <v>1</v>
      </c>
      <c r="D70" s="1575">
        <f t="shared" si="19"/>
        <v>1</v>
      </c>
      <c r="E70" s="1575">
        <v>1</v>
      </c>
      <c r="F70" s="1611">
        <f t="shared" si="20"/>
        <v>218.49459837826703</v>
      </c>
      <c r="G70" s="1582">
        <f t="shared" si="21"/>
        <v>218.49459837826703</v>
      </c>
      <c r="H70" s="1583">
        <f t="shared" si="22"/>
        <v>1</v>
      </c>
      <c r="I70" s="1594">
        <f t="shared" si="23"/>
        <v>218.49459837826703</v>
      </c>
      <c r="J70" s="1680" t="s">
        <v>548</v>
      </c>
      <c r="K70" s="1432" t="s">
        <v>572</v>
      </c>
      <c r="L70" s="1426">
        <v>350</v>
      </c>
      <c r="M70" s="1426">
        <v>550</v>
      </c>
      <c r="N70" s="1426">
        <v>7340</v>
      </c>
      <c r="O70" s="1425">
        <v>150</v>
      </c>
      <c r="P70" s="1425">
        <v>0.65400000000000003</v>
      </c>
      <c r="Q70" s="1427">
        <v>0.32</v>
      </c>
      <c r="R70" s="1428">
        <v>0.14000000000000001</v>
      </c>
      <c r="S70" s="1457">
        <v>0.06</v>
      </c>
      <c r="T70" s="1624">
        <v>6.5</v>
      </c>
      <c r="U70" s="1616" t="s">
        <v>642</v>
      </c>
      <c r="V70" s="1622">
        <f>IF(E70=1,IF(U70="N",LOOKUP(T70,'HS250-DATA'!C$7:C$10,'HS250-DATA'!D$7:D$10),IF(U70="Y",LOOKUP(T70,'HS250-DATA'!C$22:C$25,'HS250-DATA'!D$22:D$25),"FAN?")),IF(U70="N",LOOKUP(T70,'HS250-DATA'!C$14:C$17,'HS250-DATA'!D$14:D$17),IF(U70="Y",LOOKUP(T70,'HS250-DATA'!C$29:C$32,'HS250-DATA'!D$29:D$32),"FAN?")))</f>
        <v>0.36899999999999999</v>
      </c>
      <c r="W70" s="1602">
        <f t="shared" si="24"/>
        <v>158.1722319859403</v>
      </c>
      <c r="X70" s="1602">
        <f t="shared" si="25"/>
        <v>158.1722319859403</v>
      </c>
      <c r="Y70" s="1602">
        <f t="shared" si="26"/>
        <v>158.1722319859403</v>
      </c>
      <c r="Z70" s="1579">
        <f t="shared" si="27"/>
        <v>145</v>
      </c>
      <c r="AA70" s="1913">
        <f t="shared" si="28"/>
        <v>113.36555360281197</v>
      </c>
      <c r="AB70" s="1588">
        <v>55</v>
      </c>
      <c r="AC70" s="1570"/>
      <c r="AD70" s="1754">
        <f t="shared" si="29"/>
        <v>3.2000000000000003E-4</v>
      </c>
      <c r="AE70" s="1634">
        <f t="shared" si="30"/>
        <v>0.65400000000000003</v>
      </c>
      <c r="AF70" s="1635">
        <f t="shared" si="31"/>
        <v>-158.17223198594027</v>
      </c>
      <c r="AG70" s="1646">
        <f t="shared" si="32"/>
        <v>0.63017645694200364</v>
      </c>
      <c r="AH70" s="1790">
        <f t="shared" si="33"/>
        <v>91.35</v>
      </c>
      <c r="AI70" s="1607"/>
      <c r="AJ70" s="1733">
        <f>C70*LOOKUP(T70,'HS250-DATA'!C$7:C$10,'HS250-DATA'!F$7:F$10)</f>
        <v>16.350000000000001</v>
      </c>
      <c r="AK70" s="1733">
        <f t="shared" si="34"/>
        <v>0</v>
      </c>
      <c r="AL70" s="1733">
        <f>C70*E70*VLOOKUP(K70,'SCR-Diode DATA'!D$7:M$43,10,FALSE)</f>
        <v>75</v>
      </c>
      <c r="AM70" s="507">
        <f t="shared" si="35"/>
        <v>0.4180881389198054</v>
      </c>
    </row>
    <row r="71" spans="1:39" ht="18.75">
      <c r="A71" s="1598" t="s">
        <v>501</v>
      </c>
      <c r="B71" s="1533">
        <f t="shared" si="18"/>
        <v>1</v>
      </c>
      <c r="C71" s="1600">
        <v>1</v>
      </c>
      <c r="D71" s="1575">
        <f t="shared" si="19"/>
        <v>1</v>
      </c>
      <c r="E71" s="1575">
        <v>1</v>
      </c>
      <c r="F71" s="1611">
        <f t="shared" si="20"/>
        <v>254.90454856153599</v>
      </c>
      <c r="G71" s="1582">
        <f t="shared" si="21"/>
        <v>254.90454856153599</v>
      </c>
      <c r="H71" s="1583">
        <f t="shared" si="22"/>
        <v>1</v>
      </c>
      <c r="I71" s="1594">
        <f t="shared" si="23"/>
        <v>254.90454856153599</v>
      </c>
      <c r="J71" s="1680" t="s">
        <v>548</v>
      </c>
      <c r="K71" s="1432" t="s">
        <v>572</v>
      </c>
      <c r="L71" s="1426">
        <v>350</v>
      </c>
      <c r="M71" s="1426">
        <v>550</v>
      </c>
      <c r="N71" s="1426">
        <v>7340</v>
      </c>
      <c r="O71" s="1425">
        <v>150</v>
      </c>
      <c r="P71" s="1425">
        <v>0.65400000000000003</v>
      </c>
      <c r="Q71" s="1427">
        <v>0.32</v>
      </c>
      <c r="R71" s="1428">
        <v>0.14000000000000001</v>
      </c>
      <c r="S71" s="1457">
        <v>0.06</v>
      </c>
      <c r="T71" s="1624">
        <v>10</v>
      </c>
      <c r="U71" s="1616" t="s">
        <v>642</v>
      </c>
      <c r="V71" s="1622">
        <f>IF(E71=1,IF(U71="N",LOOKUP(T71,'HS250-DATA'!C$7:C$10,'HS250-DATA'!D$7:D$10),IF(U71="Y",LOOKUP(T71,'HS250-DATA'!C$22:C$25,'HS250-DATA'!D$22:D$25),"FAN?")),IF(U71="N",LOOKUP(T71,'HS250-DATA'!C$14:C$17,'HS250-DATA'!D$14:D$17),IF(U71="Y",LOOKUP(T71,'HS250-DATA'!C$29:C$32,'HS250-DATA'!D$29:D$32),"FAN?")))</f>
        <v>0.28000000000000003</v>
      </c>
      <c r="W71" s="1602">
        <f t="shared" si="24"/>
        <v>187.49999999999989</v>
      </c>
      <c r="X71" s="1602">
        <f t="shared" si="25"/>
        <v>187.49999999999989</v>
      </c>
      <c r="Y71" s="1602">
        <f t="shared" si="26"/>
        <v>187.49999999999989</v>
      </c>
      <c r="Z71" s="1579">
        <f t="shared" si="27"/>
        <v>145</v>
      </c>
      <c r="AA71" s="1913">
        <f t="shared" si="28"/>
        <v>107.49999999999997</v>
      </c>
      <c r="AB71" s="1588">
        <v>55</v>
      </c>
      <c r="AC71" s="1570"/>
      <c r="AD71" s="1754">
        <f t="shared" si="29"/>
        <v>3.2000000000000003E-4</v>
      </c>
      <c r="AE71" s="1634">
        <f t="shared" si="30"/>
        <v>0.65400000000000003</v>
      </c>
      <c r="AF71" s="1635">
        <f t="shared" si="31"/>
        <v>-187.49999999999997</v>
      </c>
      <c r="AG71" s="1646">
        <f t="shared" si="32"/>
        <v>0.66771599999999998</v>
      </c>
      <c r="AH71" s="1790">
        <f t="shared" si="33"/>
        <v>94.86</v>
      </c>
      <c r="AI71" s="1607"/>
      <c r="AJ71" s="1733">
        <f>C71*LOOKUP(T71,'HS250-DATA'!C$7:C$10,'HS250-DATA'!F$7:F$10)</f>
        <v>19.86</v>
      </c>
      <c r="AK71" s="1733">
        <f>IF(U71="Y",C71*12,0)</f>
        <v>0</v>
      </c>
      <c r="AL71" s="1733">
        <f>C71*E71*VLOOKUP(K71,'SCR-Diode DATA'!D$7:M$43,10,FALSE)</f>
        <v>75</v>
      </c>
      <c r="AM71" s="507">
        <f t="shared" si="35"/>
        <v>0.37213929894664094</v>
      </c>
    </row>
    <row r="72" spans="1:39" ht="18.75">
      <c r="A72" s="1598" t="s">
        <v>501</v>
      </c>
      <c r="B72" s="1533">
        <f t="shared" si="18"/>
        <v>1</v>
      </c>
      <c r="C72" s="1600">
        <v>1</v>
      </c>
      <c r="D72" s="1575">
        <f t="shared" si="19"/>
        <v>1</v>
      </c>
      <c r="E72" s="1575">
        <v>1</v>
      </c>
      <c r="F72" s="1611">
        <f t="shared" si="20"/>
        <v>267.45055382915922</v>
      </c>
      <c r="G72" s="1582">
        <f t="shared" si="21"/>
        <v>267.45055382915922</v>
      </c>
      <c r="H72" s="1583">
        <f t="shared" si="22"/>
        <v>1</v>
      </c>
      <c r="I72" s="1594">
        <f t="shared" si="23"/>
        <v>267.45055382915922</v>
      </c>
      <c r="J72" s="1680" t="s">
        <v>548</v>
      </c>
      <c r="K72" s="1432" t="s">
        <v>572</v>
      </c>
      <c r="L72" s="1426">
        <v>350</v>
      </c>
      <c r="M72" s="1426">
        <v>550</v>
      </c>
      <c r="N72" s="1426">
        <v>7340</v>
      </c>
      <c r="O72" s="1425">
        <v>150</v>
      </c>
      <c r="P72" s="1425">
        <v>0.65400000000000003</v>
      </c>
      <c r="Q72" s="1427">
        <v>0.32</v>
      </c>
      <c r="R72" s="1428">
        <v>0.14000000000000001</v>
      </c>
      <c r="S72" s="1457">
        <v>0.06</v>
      </c>
      <c r="T72" s="1624">
        <v>13</v>
      </c>
      <c r="U72" s="1616" t="s">
        <v>642</v>
      </c>
      <c r="V72" s="1622">
        <f>IF(E72=1,IF(U72="N",LOOKUP(T72,'HS250-DATA'!C$7:C$10,'HS250-DATA'!D$7:D$10),IF(U72="Y",LOOKUP(T72,'HS250-DATA'!C$22:C$25,'HS250-DATA'!D$22:D$25),"FAN?")),IF(U72="N",LOOKUP(T72,'HS250-DATA'!C$14:C$17,'HS250-DATA'!D$14:D$17),IF(U72="Y",LOOKUP(T72,'HS250-DATA'!C$29:C$32,'HS250-DATA'!D$29:D$32),"FAN?")))</f>
        <v>0.255</v>
      </c>
      <c r="W72" s="1602">
        <f t="shared" si="24"/>
        <v>197.80219780219781</v>
      </c>
      <c r="X72" s="1602">
        <f t="shared" si="25"/>
        <v>197.80219780219781</v>
      </c>
      <c r="Y72" s="1602">
        <f t="shared" si="26"/>
        <v>197.80219780219781</v>
      </c>
      <c r="Z72" s="1579">
        <f t="shared" si="27"/>
        <v>145</v>
      </c>
      <c r="AA72" s="1913">
        <f t="shared" si="28"/>
        <v>105.43956043956044</v>
      </c>
      <c r="AB72" s="1588">
        <v>55</v>
      </c>
      <c r="AC72" s="1570"/>
      <c r="AD72" s="1754">
        <f t="shared" si="29"/>
        <v>3.2000000000000003E-4</v>
      </c>
      <c r="AE72" s="1634">
        <f t="shared" si="30"/>
        <v>0.65400000000000003</v>
      </c>
      <c r="AF72" s="1635">
        <f t="shared" si="31"/>
        <v>-197.80219780219778</v>
      </c>
      <c r="AG72" s="1646">
        <f t="shared" si="32"/>
        <v>0.68090281318681323</v>
      </c>
      <c r="AH72" s="1790">
        <f t="shared" si="33"/>
        <v>99.55</v>
      </c>
      <c r="AI72" s="1607"/>
      <c r="AJ72" s="1733">
        <f>C72*LOOKUP(T72,'HS250-DATA'!C$7:C$10,'HS250-DATA'!F$7:F$10)</f>
        <v>24.55</v>
      </c>
      <c r="AK72" s="1733">
        <f>IF(U72="Y",C72*12,0)</f>
        <v>0</v>
      </c>
      <c r="AL72" s="1733">
        <f>C72*E72*VLOOKUP(K72,'SCR-Diode DATA'!D$7:M$43,10,FALSE)</f>
        <v>75</v>
      </c>
      <c r="AM72" s="507">
        <f t="shared" si="35"/>
        <v>0.37221833559406298</v>
      </c>
    </row>
    <row r="73" spans="1:39" ht="18.75">
      <c r="A73" s="1598" t="s">
        <v>501</v>
      </c>
      <c r="B73" s="1533">
        <f t="shared" si="18"/>
        <v>1</v>
      </c>
      <c r="C73" s="1600">
        <v>1</v>
      </c>
      <c r="D73" s="1575">
        <f t="shared" si="19"/>
        <v>1</v>
      </c>
      <c r="E73" s="1575">
        <v>1</v>
      </c>
      <c r="F73" s="1611">
        <f t="shared" si="20"/>
        <v>270.11126758375406</v>
      </c>
      <c r="G73" s="1582">
        <f t="shared" si="21"/>
        <v>270.11126758375406</v>
      </c>
      <c r="H73" s="1583">
        <f t="shared" si="22"/>
        <v>1</v>
      </c>
      <c r="I73" s="1594">
        <f t="shared" si="23"/>
        <v>270.11126758375406</v>
      </c>
      <c r="J73" s="1680" t="s">
        <v>548</v>
      </c>
      <c r="K73" s="1432" t="s">
        <v>572</v>
      </c>
      <c r="L73" s="1426">
        <v>350</v>
      </c>
      <c r="M73" s="1426">
        <v>550</v>
      </c>
      <c r="N73" s="1426">
        <v>7340</v>
      </c>
      <c r="O73" s="1425">
        <v>150</v>
      </c>
      <c r="P73" s="1425">
        <v>0.65400000000000003</v>
      </c>
      <c r="Q73" s="1427">
        <v>0.32</v>
      </c>
      <c r="R73" s="1428">
        <v>0.14000000000000001</v>
      </c>
      <c r="S73" s="1457">
        <v>0.06</v>
      </c>
      <c r="T73" s="1624">
        <v>15</v>
      </c>
      <c r="U73" s="1616" t="s">
        <v>642</v>
      </c>
      <c r="V73" s="1622">
        <f>IF(E73=1,IF(U73="N",LOOKUP(T73,'HS250-DATA'!C$7:C$10,'HS250-DATA'!D$7:D$10),IF(U73="Y",LOOKUP(T73,'HS250-DATA'!C$22:C$25,'HS250-DATA'!D$22:D$25),"FAN?")),IF(U73="N",LOOKUP(T73,'HS250-DATA'!C$14:C$17,'HS250-DATA'!D$14:D$17),IF(U73="Y",LOOKUP(T73,'HS250-DATA'!C$29:C$32,'HS250-DATA'!D$29:D$32),"FAN?")))</f>
        <v>0.25</v>
      </c>
      <c r="W73" s="1602">
        <f t="shared" si="24"/>
        <v>199.99999999999991</v>
      </c>
      <c r="X73" s="1602">
        <f t="shared" si="25"/>
        <v>199.99999999999991</v>
      </c>
      <c r="Y73" s="1602">
        <f t="shared" si="26"/>
        <v>199.99999999999991</v>
      </c>
      <c r="Z73" s="1579">
        <f t="shared" si="27"/>
        <v>145</v>
      </c>
      <c r="AA73" s="1913">
        <f t="shared" si="28"/>
        <v>104.99999999999997</v>
      </c>
      <c r="AB73" s="1588">
        <v>55</v>
      </c>
      <c r="AC73" s="1570"/>
      <c r="AD73" s="1754">
        <f t="shared" si="29"/>
        <v>3.2000000000000003E-4</v>
      </c>
      <c r="AE73" s="1634">
        <f t="shared" si="30"/>
        <v>0.65400000000000003</v>
      </c>
      <c r="AF73" s="1635">
        <f t="shared" si="31"/>
        <v>-200</v>
      </c>
      <c r="AG73" s="1646">
        <f t="shared" si="32"/>
        <v>0.68371599999999999</v>
      </c>
      <c r="AH73" s="1790">
        <f t="shared" si="33"/>
        <v>103.26</v>
      </c>
      <c r="AI73" s="1607"/>
      <c r="AJ73" s="1733">
        <f>C73*LOOKUP(T73,'HS250-DATA'!C$7:C$10,'HS250-DATA'!F$7:F$10)</f>
        <v>28.26</v>
      </c>
      <c r="AK73" s="1733">
        <f>IF(U73="Y",C73*12,0)</f>
        <v>0</v>
      </c>
      <c r="AL73" s="1733">
        <f>C73*E73*VLOOKUP(K73,'SCR-Diode DATA'!D$7:M$43,10,FALSE)</f>
        <v>75</v>
      </c>
      <c r="AM73" s="507">
        <f t="shared" si="35"/>
        <v>0.38228690318511771</v>
      </c>
    </row>
    <row r="74" spans="1:39" ht="18.75">
      <c r="A74" s="1598" t="s">
        <v>501</v>
      </c>
      <c r="B74" s="1533">
        <f t="shared" si="18"/>
        <v>1</v>
      </c>
      <c r="C74" s="1600">
        <v>1</v>
      </c>
      <c r="D74" s="1575">
        <f t="shared" si="19"/>
        <v>1</v>
      </c>
      <c r="E74" s="1575">
        <v>1</v>
      </c>
      <c r="F74" s="1611">
        <f t="shared" si="20"/>
        <v>536.99158860424393</v>
      </c>
      <c r="G74" s="1582">
        <f t="shared" si="21"/>
        <v>536.99158860424393</v>
      </c>
      <c r="H74" s="1583">
        <f t="shared" si="22"/>
        <v>1</v>
      </c>
      <c r="I74" s="1594">
        <f t="shared" si="23"/>
        <v>536.99158860424393</v>
      </c>
      <c r="J74" s="1680" t="s">
        <v>558</v>
      </c>
      <c r="K74" s="1432" t="s">
        <v>508</v>
      </c>
      <c r="L74" s="1426">
        <v>600</v>
      </c>
      <c r="M74" s="1426">
        <v>950</v>
      </c>
      <c r="N74" s="1426">
        <v>19000</v>
      </c>
      <c r="O74" s="1425">
        <v>150</v>
      </c>
      <c r="P74" s="1425">
        <v>0.747</v>
      </c>
      <c r="Q74" s="1427">
        <v>0.24299999999999999</v>
      </c>
      <c r="R74" s="1428">
        <v>6.5000000000000002E-2</v>
      </c>
      <c r="S74" s="1457">
        <v>0.02</v>
      </c>
      <c r="T74" s="1624">
        <v>15</v>
      </c>
      <c r="U74" s="1616" t="s">
        <v>645</v>
      </c>
      <c r="V74" s="1622">
        <f>IF(E74=1,IF(U74="N",LOOKUP(T74,'HS250-DATA'!C$7:C$10,'HS250-DATA'!D$7:D$10),IF(U74="Y",LOOKUP(T74,'HS250-DATA'!C$22:C$25,'HS250-DATA'!D$22:D$25),"FAN?")),IF(U74="N",LOOKUP(T74,'HS250-DATA'!C$14:C$17,'HS250-DATA'!D$14:D$17),IF(U74="Y",LOOKUP(T74,'HS250-DATA'!C$29:C$32,'HS250-DATA'!D$29:D$32),"FAN?")))</f>
        <v>0.106</v>
      </c>
      <c r="W74" s="1602">
        <f t="shared" si="24"/>
        <v>471.2041884816756</v>
      </c>
      <c r="X74" s="1602">
        <f t="shared" si="25"/>
        <v>471.2041884816756</v>
      </c>
      <c r="Y74" s="1602">
        <f t="shared" si="26"/>
        <v>471.2041884816756</v>
      </c>
      <c r="Z74" s="1579">
        <f t="shared" si="27"/>
        <v>145</v>
      </c>
      <c r="AA74" s="1913">
        <f t="shared" si="28"/>
        <v>104.9476439790576</v>
      </c>
      <c r="AB74" s="1588">
        <v>55</v>
      </c>
      <c r="AC74" s="1570"/>
      <c r="AD74" s="1754">
        <f t="shared" si="29"/>
        <v>2.43E-4</v>
      </c>
      <c r="AE74" s="1634">
        <f t="shared" si="30"/>
        <v>0.747</v>
      </c>
      <c r="AF74" s="1635">
        <f t="shared" si="31"/>
        <v>-471.20418848167537</v>
      </c>
      <c r="AG74" s="1646">
        <f t="shared" si="32"/>
        <v>1.0160194712041886</v>
      </c>
      <c r="AH74" s="1790">
        <f t="shared" si="33"/>
        <v>132.26</v>
      </c>
      <c r="AI74" s="1607"/>
      <c r="AJ74" s="1733">
        <f>C74*LOOKUP(T74,'HS250-DATA'!C$7:C$10,'HS250-DATA'!F$7:F$10)</f>
        <v>28.26</v>
      </c>
      <c r="AK74" s="1733">
        <f t="shared" si="34"/>
        <v>12</v>
      </c>
      <c r="AL74" s="1733">
        <f>C74*E74*VLOOKUP(K74,'SCR-Diode DATA'!D$7:M$43,10,FALSE)</f>
        <v>92</v>
      </c>
      <c r="AM74" s="507">
        <f t="shared" si="35"/>
        <v>0.24629808512228663</v>
      </c>
    </row>
    <row r="75" spans="1:39" ht="18.75">
      <c r="A75" s="1598" t="s">
        <v>501</v>
      </c>
      <c r="B75" s="1533">
        <f t="shared" si="18"/>
        <v>1</v>
      </c>
      <c r="C75" s="1600">
        <v>1</v>
      </c>
      <c r="D75" s="1575">
        <f t="shared" si="19"/>
        <v>1</v>
      </c>
      <c r="E75" s="1575">
        <v>1</v>
      </c>
      <c r="F75" s="1611">
        <f t="shared" si="20"/>
        <v>481.28107488234338</v>
      </c>
      <c r="G75" s="1582">
        <f t="shared" si="21"/>
        <v>481.28107488234338</v>
      </c>
      <c r="H75" s="1583">
        <f t="shared" si="22"/>
        <v>1</v>
      </c>
      <c r="I75" s="1594">
        <f t="shared" si="23"/>
        <v>481.28107488234338</v>
      </c>
      <c r="J75" s="1680" t="s">
        <v>558</v>
      </c>
      <c r="K75" s="1432" t="s">
        <v>509</v>
      </c>
      <c r="L75" s="1426">
        <v>2500</v>
      </c>
      <c r="M75" s="1426">
        <v>3925</v>
      </c>
      <c r="N75" s="1426">
        <v>48400</v>
      </c>
      <c r="O75" s="1425">
        <v>150</v>
      </c>
      <c r="P75" s="1425">
        <v>0.63200000000000001</v>
      </c>
      <c r="Q75" s="1427">
        <v>5.9799999999999999E-2</v>
      </c>
      <c r="R75" s="1428">
        <v>2.4E-2</v>
      </c>
      <c r="S75" s="1457">
        <v>8.9999999999999993E-3</v>
      </c>
      <c r="T75" s="1624">
        <v>15</v>
      </c>
      <c r="U75" s="1616" t="s">
        <v>642</v>
      </c>
      <c r="V75" s="1622">
        <f>IF(E75=1,IF(U75="N",LOOKUP(T75,'HS250-DATA'!C$7:C$10,'HS250-DATA'!D$7:D$10),IF(U75="Y",LOOKUP(T75,'HS250-DATA'!C$22:C$25,'HS250-DATA'!D$22:D$25),"FAN?")),IF(U75="N",LOOKUP(T75,'HS250-DATA'!C$14:C$17,'HS250-DATA'!D$14:D$17),IF(U75="Y",LOOKUP(T75,'HS250-DATA'!C$29:C$32,'HS250-DATA'!D$29:D$32),"FAN?")))</f>
        <v>0.25</v>
      </c>
      <c r="W75" s="1602">
        <f t="shared" si="24"/>
        <v>318.02120141342726</v>
      </c>
      <c r="X75" s="1602">
        <f t="shared" si="25"/>
        <v>318.02120141342726</v>
      </c>
      <c r="Y75" s="1602">
        <f t="shared" si="26"/>
        <v>318.02120141342726</v>
      </c>
      <c r="Z75" s="1579">
        <f t="shared" si="27"/>
        <v>145</v>
      </c>
      <c r="AA75" s="1913">
        <f t="shared" si="28"/>
        <v>134.5053003533568</v>
      </c>
      <c r="AB75" s="1588">
        <v>55</v>
      </c>
      <c r="AC75" s="1570"/>
      <c r="AD75" s="1754">
        <f t="shared" si="29"/>
        <v>5.9800000000000003E-5</v>
      </c>
      <c r="AE75" s="1634">
        <f t="shared" si="30"/>
        <v>0.63200000000000001</v>
      </c>
      <c r="AF75" s="1635">
        <f t="shared" si="31"/>
        <v>-318.02120141342755</v>
      </c>
      <c r="AG75" s="1646">
        <f t="shared" si="32"/>
        <v>0.47549467137809187</v>
      </c>
      <c r="AH75" s="1790">
        <f t="shared" si="33"/>
        <v>373.26</v>
      </c>
      <c r="AI75" s="1607"/>
      <c r="AJ75" s="1733">
        <f>C75*LOOKUP(T75,'HS250-DATA'!C$7:C$10,'HS250-DATA'!F$7:F$10)</f>
        <v>28.26</v>
      </c>
      <c r="AK75" s="1733">
        <f t="shared" si="34"/>
        <v>0</v>
      </c>
      <c r="AL75" s="1733">
        <f>C75*E75*VLOOKUP(K75,'SCR-Diode DATA'!D$7:M$43,10,FALSE)</f>
        <v>345</v>
      </c>
      <c r="AM75" s="507">
        <f t="shared" si="35"/>
        <v>0.77555511629300855</v>
      </c>
    </row>
    <row r="76" spans="1:39" ht="18.75">
      <c r="A76" s="1598" t="s">
        <v>501</v>
      </c>
      <c r="B76" s="1533">
        <f t="shared" si="18"/>
        <v>1</v>
      </c>
      <c r="C76" s="1600">
        <v>1</v>
      </c>
      <c r="D76" s="1575">
        <f t="shared" si="19"/>
        <v>1</v>
      </c>
      <c r="E76" s="1575">
        <v>1</v>
      </c>
      <c r="F76" s="1611">
        <f t="shared" si="20"/>
        <v>317.50958133985603</v>
      </c>
      <c r="G76" s="1582">
        <f t="shared" si="21"/>
        <v>317.50958133985603</v>
      </c>
      <c r="H76" s="1583">
        <f t="shared" si="22"/>
        <v>1</v>
      </c>
      <c r="I76" s="1594">
        <f t="shared" si="23"/>
        <v>317.50958133985603</v>
      </c>
      <c r="J76" s="1680" t="s">
        <v>558</v>
      </c>
      <c r="K76" s="1418" t="s">
        <v>472</v>
      </c>
      <c r="L76" s="1419">
        <v>1500</v>
      </c>
      <c r="M76" s="1419">
        <v>2355</v>
      </c>
      <c r="N76" s="1419">
        <v>62000</v>
      </c>
      <c r="O76" s="1412">
        <v>125</v>
      </c>
      <c r="P76" s="1416">
        <v>0.69099999999999995</v>
      </c>
      <c r="Q76" s="1412">
        <v>0.10199999999999999</v>
      </c>
      <c r="R76" s="1412">
        <v>2.4E-2</v>
      </c>
      <c r="S76" s="1687">
        <v>8.9999999999999993E-3</v>
      </c>
      <c r="T76" s="1624">
        <v>15</v>
      </c>
      <c r="U76" s="1616" t="s">
        <v>642</v>
      </c>
      <c r="V76" s="1622">
        <f>IF(E76=1,IF(U76="N",LOOKUP(T76,'HS250-DATA'!C$7:C$10,'HS250-DATA'!D$7:D$10),IF(U76="Y",LOOKUP(T76,'HS250-DATA'!C$22:C$25,'HS250-DATA'!D$22:D$25),"FAN?")),IF(U76="N",LOOKUP(T76,'HS250-DATA'!C$14:C$17,'HS250-DATA'!D$14:D$17),IF(U76="Y",LOOKUP(T76,'HS250-DATA'!C$29:C$32,'HS250-DATA'!D$29:D$32),"FAN?")))</f>
        <v>0.25</v>
      </c>
      <c r="W76" s="1602">
        <f t="shared" si="24"/>
        <v>229.68197879858678</v>
      </c>
      <c r="X76" s="1602">
        <f t="shared" si="25"/>
        <v>229.68197879858678</v>
      </c>
      <c r="Y76" s="1602">
        <f t="shared" si="26"/>
        <v>229.68197879858678</v>
      </c>
      <c r="Z76" s="1579">
        <f t="shared" si="27"/>
        <v>120</v>
      </c>
      <c r="AA76" s="1913">
        <f t="shared" si="28"/>
        <v>112.4204946996467</v>
      </c>
      <c r="AB76" s="1588">
        <v>55</v>
      </c>
      <c r="AC76" s="1570"/>
      <c r="AD76" s="1754">
        <f t="shared" si="29"/>
        <v>1.02E-4</v>
      </c>
      <c r="AE76" s="1634">
        <f t="shared" si="30"/>
        <v>0.69099999999999995</v>
      </c>
      <c r="AF76" s="1635">
        <f t="shared" si="31"/>
        <v>-229.68197879858656</v>
      </c>
      <c r="AG76" s="1646">
        <f t="shared" si="32"/>
        <v>0.57119124734982329</v>
      </c>
      <c r="AH76" s="1790">
        <f t="shared" si="33"/>
        <v>218.26</v>
      </c>
      <c r="AI76" s="1607"/>
      <c r="AJ76" s="1733">
        <f>C76*LOOKUP(T76,'HS250-DATA'!C$7:C$10,'HS250-DATA'!F$7:F$10)</f>
        <v>28.26</v>
      </c>
      <c r="AK76" s="1733">
        <f t="shared" si="34"/>
        <v>0</v>
      </c>
      <c r="AL76" s="1733">
        <f>C76*E76*VLOOKUP(K76,'SCR-Diode DATA'!D$7:M$43,10,FALSE)</f>
        <v>190</v>
      </c>
      <c r="AM76" s="507">
        <f t="shared" si="35"/>
        <v>0.68741232651615247</v>
      </c>
    </row>
    <row r="77" spans="1:39" ht="18.75">
      <c r="A77" s="1598" t="s">
        <v>501</v>
      </c>
      <c r="B77" s="1533">
        <f t="shared" si="18"/>
        <v>1</v>
      </c>
      <c r="C77" s="1600">
        <v>1</v>
      </c>
      <c r="D77" s="1575">
        <f t="shared" si="19"/>
        <v>1</v>
      </c>
      <c r="E77" s="1575">
        <v>1</v>
      </c>
      <c r="F77" s="1611">
        <f t="shared" si="20"/>
        <v>317.50958133985603</v>
      </c>
      <c r="G77" s="1582">
        <f t="shared" si="21"/>
        <v>317.50958133985603</v>
      </c>
      <c r="H77" s="1583">
        <f t="shared" si="22"/>
        <v>1</v>
      </c>
      <c r="I77" s="1594">
        <f t="shared" si="23"/>
        <v>317.50958133985603</v>
      </c>
      <c r="J77" s="1680" t="s">
        <v>558</v>
      </c>
      <c r="K77" s="1418" t="s">
        <v>472</v>
      </c>
      <c r="L77" s="1419">
        <v>1500</v>
      </c>
      <c r="M77" s="1419">
        <v>2355</v>
      </c>
      <c r="N77" s="1419">
        <v>62000</v>
      </c>
      <c r="O77" s="1412">
        <v>125</v>
      </c>
      <c r="P77" s="1416">
        <v>0.69099999999999995</v>
      </c>
      <c r="Q77" s="1412">
        <v>0.10199999999999999</v>
      </c>
      <c r="R77" s="1412">
        <v>2.4E-2</v>
      </c>
      <c r="S77" s="1687">
        <v>8.9999999999999993E-3</v>
      </c>
      <c r="T77" s="1624">
        <v>15</v>
      </c>
      <c r="U77" s="1616" t="s">
        <v>642</v>
      </c>
      <c r="V77" s="1622">
        <f>IF(E77=1,IF(U77="N",LOOKUP(T77,'HS250-DATA'!C$7:C$10,'HS250-DATA'!D$7:D$10),IF(U77="Y",LOOKUP(T77,'HS250-DATA'!C$22:C$25,'HS250-DATA'!D$22:D$25),"FAN?")),IF(U77="N",LOOKUP(T77,'HS250-DATA'!C$14:C$17,'HS250-DATA'!D$14:D$17),IF(U77="Y",LOOKUP(T77,'HS250-DATA'!C$29:C$32,'HS250-DATA'!D$29:D$32),"FAN?")))</f>
        <v>0.25</v>
      </c>
      <c r="W77" s="1602">
        <f t="shared" si="24"/>
        <v>229.68197879858678</v>
      </c>
      <c r="X77" s="1602">
        <f t="shared" si="25"/>
        <v>229.68197879858678</v>
      </c>
      <c r="Y77" s="1602">
        <f t="shared" si="26"/>
        <v>229.68197879858678</v>
      </c>
      <c r="Z77" s="1579">
        <f t="shared" si="27"/>
        <v>120</v>
      </c>
      <c r="AA77" s="1913">
        <f t="shared" si="28"/>
        <v>112.4204946996467</v>
      </c>
      <c r="AB77" s="1588">
        <v>55</v>
      </c>
      <c r="AC77" s="1570"/>
      <c r="AD77" s="1754">
        <f t="shared" si="29"/>
        <v>1.02E-4</v>
      </c>
      <c r="AE77" s="1634">
        <f t="shared" si="30"/>
        <v>0.69099999999999995</v>
      </c>
      <c r="AF77" s="1635">
        <f t="shared" si="31"/>
        <v>-229.68197879858656</v>
      </c>
      <c r="AG77" s="1646">
        <f t="shared" si="32"/>
        <v>0.57119124734982329</v>
      </c>
      <c r="AH77" s="1790">
        <f t="shared" si="33"/>
        <v>218.26</v>
      </c>
      <c r="AI77" s="1607"/>
      <c r="AJ77" s="1733">
        <f>C77*LOOKUP(T77,'HS250-DATA'!C$7:C$10,'HS250-DATA'!F$7:F$10)</f>
        <v>28.26</v>
      </c>
      <c r="AK77" s="1733">
        <f t="shared" si="34"/>
        <v>0</v>
      </c>
      <c r="AL77" s="1733">
        <f>C77*E77*VLOOKUP(K77,'SCR-Diode DATA'!D$7:M$43,10,FALSE)</f>
        <v>190</v>
      </c>
      <c r="AM77" s="507">
        <f t="shared" si="35"/>
        <v>0.68741232651615247</v>
      </c>
    </row>
    <row r="78" spans="1:39" ht="19.5" thickBot="1">
      <c r="A78" s="1599"/>
      <c r="B78" s="1692"/>
      <c r="C78" s="1601"/>
      <c r="D78" s="1591"/>
      <c r="E78" s="1591"/>
      <c r="F78" s="1662"/>
      <c r="G78" s="1589"/>
      <c r="H78" s="1590"/>
      <c r="I78" s="1595"/>
      <c r="J78" s="1693"/>
      <c r="K78" s="1686"/>
      <c r="L78" s="1685"/>
      <c r="M78" s="1685"/>
      <c r="N78" s="1685"/>
      <c r="O78" s="1684"/>
      <c r="P78" s="1683"/>
      <c r="Q78" s="1683"/>
      <c r="R78" s="1683"/>
      <c r="S78" s="1682"/>
      <c r="T78" s="1569"/>
      <c r="U78" s="1568"/>
      <c r="V78" s="1567"/>
      <c r="W78" s="1605"/>
      <c r="X78" s="1605"/>
      <c r="Y78" s="1605"/>
      <c r="Z78" s="1566"/>
      <c r="AA78" s="1917"/>
      <c r="AB78" s="1592"/>
      <c r="AC78" s="1570"/>
      <c r="AD78" s="1755"/>
      <c r="AE78" s="1756"/>
      <c r="AF78" s="1757"/>
      <c r="AG78" s="1758"/>
      <c r="AH78" s="1877"/>
      <c r="AI78" s="1608"/>
      <c r="AJ78" s="1608"/>
      <c r="AK78" s="1608"/>
      <c r="AL78" s="1745"/>
      <c r="AM78" s="1746"/>
    </row>
    <row r="79" spans="1:39">
      <c r="AH79" s="330"/>
    </row>
    <row r="80" spans="1:39">
      <c r="AH80" s="330"/>
    </row>
    <row r="81" spans="1:51">
      <c r="AH81" s="330"/>
    </row>
    <row r="82" spans="1:51">
      <c r="AH82" s="330"/>
    </row>
    <row r="83" spans="1:51">
      <c r="AH83" s="330"/>
    </row>
    <row r="84" spans="1:51" ht="18.75">
      <c r="A84" s="1598" t="s">
        <v>501</v>
      </c>
      <c r="B84" s="1533">
        <f>IF(A84=3,6,IF(A84=1,4,IF(A84="bd",1,IF(A84="fwd",1,"Circuit Type"))))</f>
        <v>1</v>
      </c>
      <c r="C84" s="1600">
        <v>1</v>
      </c>
      <c r="D84" s="1575">
        <f>B84/C84</f>
        <v>1</v>
      </c>
      <c r="E84" s="1575">
        <v>1</v>
      </c>
      <c r="F84" s="1611">
        <f>IF(A84=3,3*G84,IF(A84=1,2*G84,IF(A84="bd",1*G84,IF(A84="fwd",1,"Error"))))</f>
        <v>319.02988969871581</v>
      </c>
      <c r="G84" s="1582">
        <f>(-AE84+SQRT(AG84))/2/AD84</f>
        <v>319.02988969871581</v>
      </c>
      <c r="H84" s="1583">
        <f>IF(A84=3,SQRT(3),IF(A84=1,SQRT(2),1))</f>
        <v>1</v>
      </c>
      <c r="I84" s="1594">
        <f>H84*G84</f>
        <v>319.02988969871581</v>
      </c>
      <c r="J84" s="1680" t="s">
        <v>548</v>
      </c>
      <c r="K84" s="1432" t="s">
        <v>680</v>
      </c>
      <c r="L84" s="1426">
        <v>320</v>
      </c>
      <c r="M84" s="1426">
        <v>502</v>
      </c>
      <c r="N84" s="1426">
        <v>8500</v>
      </c>
      <c r="O84" s="1425">
        <v>150</v>
      </c>
      <c r="P84" s="1425">
        <v>0.86</v>
      </c>
      <c r="Q84" s="1427">
        <v>0.44</v>
      </c>
      <c r="R84" s="1428">
        <v>0.125</v>
      </c>
      <c r="S84" s="1457">
        <v>3.5000000000000003E-2</v>
      </c>
      <c r="T84" s="1624">
        <v>6.5</v>
      </c>
      <c r="U84" s="1616" t="s">
        <v>645</v>
      </c>
      <c r="V84" s="1622">
        <f>IF(E84=1,IF(U84="N",LOOKUP(T84,'HS250-DATA'!C$7:C$10,'HS250-DATA'!D$7:D$10),IF(U84="Y",LOOKUP(T84,'HS250-DATA'!C$22:C$25,'HS250-DATA'!D$22:D$25),"FAN?")),IF(U84="N",LOOKUP(T84,'HS250-DATA'!C$14:C$17,'HS250-DATA'!D$14:D$17),IF(U84="Y",LOOKUP(T84,'HS250-DATA'!C$29:C$32,'HS250-DATA'!D$29:D$32),"FAN?")))</f>
        <v>0.122</v>
      </c>
      <c r="W84" s="1602">
        <f>(G84*H84)^2*Q84*10^-3+G84*P84</f>
        <v>319.14893617021249</v>
      </c>
      <c r="X84" s="1602">
        <f>D84*W84</f>
        <v>319.14893617021249</v>
      </c>
      <c r="Y84" s="1602">
        <f>IF(A84=3,W84*6,IF(A84=1,W84*4,W84))</f>
        <v>319.14893617021249</v>
      </c>
      <c r="Z84" s="1579">
        <f>O84-5</f>
        <v>145</v>
      </c>
      <c r="AA84" s="1913">
        <f>D84*W84*V84+AB84</f>
        <v>93.936170212765916</v>
      </c>
      <c r="AB84" s="1588">
        <v>55</v>
      </c>
      <c r="AC84" s="1570"/>
      <c r="AD84" s="1754">
        <f>Q84*10^-3*H84^2</f>
        <v>4.4000000000000002E-4</v>
      </c>
      <c r="AE84" s="1634">
        <f>P84</f>
        <v>0.86</v>
      </c>
      <c r="AF84" s="1635">
        <f>(AB84-Z84)/(R84+S84+D84*V84)</f>
        <v>-319.14893617021272</v>
      </c>
      <c r="AG84" s="1646">
        <f>AE84^2-4*AD84*AF84</f>
        <v>1.3013021276595742</v>
      </c>
      <c r="AH84" s="1790">
        <f>SUM(AJ84:AL84)</f>
        <v>82.550000000000011</v>
      </c>
      <c r="AI84" s="1607"/>
      <c r="AJ84" s="1733">
        <f>C84*LOOKUP(T84,'HS250-DATA'!C$7:C$10,'HS250-DATA'!F$7:F$10)</f>
        <v>16.350000000000001</v>
      </c>
      <c r="AK84" s="1733">
        <f>IF(U84="Y",C84*12,0)</f>
        <v>12</v>
      </c>
      <c r="AL84" s="1733">
        <f>C84*E84*VLOOKUP(K84,'SCR-Diode DATA'!D$7:M$43,10,FALSE)</f>
        <v>54.2</v>
      </c>
      <c r="AM84" s="507">
        <f>AH84/F84</f>
        <v>0.25875318478139542</v>
      </c>
      <c r="AX84" s="1804">
        <v>4000</v>
      </c>
      <c r="AY84" s="1802">
        <v>26068</v>
      </c>
    </row>
    <row r="85" spans="1:51" ht="18.75">
      <c r="A85" s="1598" t="s">
        <v>501</v>
      </c>
      <c r="B85" s="1533">
        <f>IF(A85=3,6,IF(A85=1,4,IF(A85="bd",1,IF(A85="fwd",1,"Circuit Type"))))</f>
        <v>1</v>
      </c>
      <c r="C85" s="1600">
        <v>1</v>
      </c>
      <c r="D85" s="1575">
        <f>B85/C85</f>
        <v>1</v>
      </c>
      <c r="E85" s="1575">
        <v>1</v>
      </c>
      <c r="F85" s="1611">
        <f>IF(A85=3,3*G85,IF(A85=1,2*G85,IF(A85="bd",1*G85,IF(A85="fwd",1,"Error"))))</f>
        <v>326.13190535815164</v>
      </c>
      <c r="G85" s="1582">
        <f>(-AE85+SQRT(AG85))/2/AD85</f>
        <v>326.13190535815164</v>
      </c>
      <c r="H85" s="1583">
        <f>IF(A85=3,SQRT(3),IF(A85=1,SQRT(2),1))</f>
        <v>1</v>
      </c>
      <c r="I85" s="1594">
        <f>H85*G85</f>
        <v>326.13190535815164</v>
      </c>
      <c r="J85" s="1680" t="s">
        <v>548</v>
      </c>
      <c r="K85" s="1432" t="s">
        <v>680</v>
      </c>
      <c r="L85" s="1426">
        <v>320</v>
      </c>
      <c r="M85" s="1426">
        <v>502</v>
      </c>
      <c r="N85" s="1426">
        <v>8500</v>
      </c>
      <c r="O85" s="1425">
        <v>150</v>
      </c>
      <c r="P85" s="1425">
        <v>0.86</v>
      </c>
      <c r="Q85" s="1427">
        <v>0.44</v>
      </c>
      <c r="R85" s="1428">
        <v>0.125</v>
      </c>
      <c r="S85" s="1457">
        <v>3.5000000000000003E-2</v>
      </c>
      <c r="T85" s="1624">
        <v>10</v>
      </c>
      <c r="U85" s="1616" t="s">
        <v>645</v>
      </c>
      <c r="V85" s="1622">
        <f>IF(E85=1,IF(U85="N",LOOKUP(T85,'HS250-DATA'!C$7:C$10,'HS250-DATA'!D$7:D$10),IF(U85="Y",LOOKUP(T85,'HS250-DATA'!C$22:C$25,'HS250-DATA'!D$22:D$25),"FAN?")),IF(U85="N",LOOKUP(T85,'HS250-DATA'!C$14:C$17,'HS250-DATA'!D$14:D$17),IF(U85="Y",LOOKUP(T85,'HS250-DATA'!C$29:C$32,'HS250-DATA'!D$29:D$32),"FAN?")))</f>
        <v>0.115</v>
      </c>
      <c r="W85" s="1602">
        <f>(G85*H85)^2*Q85*10^-3+G85*P85</f>
        <v>327.27272727272725</v>
      </c>
      <c r="X85" s="1602">
        <f>D85*W85</f>
        <v>327.27272727272725</v>
      </c>
      <c r="Y85" s="1602">
        <f>IF(A85=3,W85*6,IF(A85=1,W85*4,W85))</f>
        <v>327.27272727272725</v>
      </c>
      <c r="Z85" s="1579">
        <f>O85-5</f>
        <v>145</v>
      </c>
      <c r="AA85" s="1913">
        <f>D85*W85*V85+AB85</f>
        <v>92.636363636363626</v>
      </c>
      <c r="AB85" s="1588">
        <v>55</v>
      </c>
      <c r="AC85" s="1570"/>
      <c r="AD85" s="1754">
        <f>Q85*10^-3*H85^2</f>
        <v>4.4000000000000002E-4</v>
      </c>
      <c r="AE85" s="1634">
        <f>P85</f>
        <v>0.86</v>
      </c>
      <c r="AF85" s="1635">
        <f>(AB85-Z85)/(R85+S85+D85*V85)</f>
        <v>-327.27272727272725</v>
      </c>
      <c r="AG85" s="1646">
        <f>AE85^2-4*AD85*AF85</f>
        <v>1.3155999999999999</v>
      </c>
      <c r="AH85" s="1790">
        <f>SUM(AJ85:AL85)</f>
        <v>86.06</v>
      </c>
      <c r="AI85" s="1607"/>
      <c r="AJ85" s="1733">
        <f>C85*LOOKUP(T85,'HS250-DATA'!C$7:C$10,'HS250-DATA'!F$7:F$10)</f>
        <v>19.86</v>
      </c>
      <c r="AK85" s="1733">
        <f>IF(U85="Y",C85*12,0)</f>
        <v>12</v>
      </c>
      <c r="AL85" s="1733">
        <f>C85*E85*VLOOKUP(K85,'SCR-Diode DATA'!D$7:M$43,10,FALSE)</f>
        <v>54.2</v>
      </c>
      <c r="AM85" s="507">
        <f>AH85/F85</f>
        <v>0.26388095916433141</v>
      </c>
      <c r="AX85" s="1804">
        <v>4000</v>
      </c>
      <c r="AY85" s="1802">
        <v>26068</v>
      </c>
    </row>
    <row r="86" spans="1:51" ht="18.75">
      <c r="A86" s="1598" t="s">
        <v>501</v>
      </c>
      <c r="B86" s="1533">
        <f>IF(A86=3,6,IF(A86=1,4,IF(A86="bd",1,IF(A86="fwd",1,"Circuit Type"))))</f>
        <v>1</v>
      </c>
      <c r="C86" s="1600">
        <v>1</v>
      </c>
      <c r="D86" s="1575">
        <f>B86/C86</f>
        <v>1</v>
      </c>
      <c r="E86" s="1575">
        <v>1</v>
      </c>
      <c r="F86" s="1611">
        <f>IF(A86=3,3*G86,IF(A86=1,2*G86,IF(A86="bd",1*G86,IF(A86="fwd",1,"Error"))))</f>
        <v>331.40513264805253</v>
      </c>
      <c r="G86" s="1582">
        <f>(-AE86+SQRT(AG86))/2/AD86</f>
        <v>331.40513264805253</v>
      </c>
      <c r="H86" s="1583">
        <f>IF(A86=3,SQRT(3),IF(A86=1,SQRT(2),1))</f>
        <v>1</v>
      </c>
      <c r="I86" s="1594">
        <f>H86*G86</f>
        <v>331.40513264805253</v>
      </c>
      <c r="J86" s="1680" t="s">
        <v>548</v>
      </c>
      <c r="K86" s="1432" t="s">
        <v>680</v>
      </c>
      <c r="L86" s="1426">
        <v>320</v>
      </c>
      <c r="M86" s="1426">
        <v>502</v>
      </c>
      <c r="N86" s="1426">
        <v>8500</v>
      </c>
      <c r="O86" s="1425">
        <v>150</v>
      </c>
      <c r="P86" s="1425">
        <v>0.86</v>
      </c>
      <c r="Q86" s="1427">
        <v>0.44</v>
      </c>
      <c r="R86" s="1428">
        <v>0.125</v>
      </c>
      <c r="S86" s="1457">
        <v>3.5000000000000003E-2</v>
      </c>
      <c r="T86" s="1624">
        <v>13</v>
      </c>
      <c r="U86" s="1616" t="s">
        <v>645</v>
      </c>
      <c r="V86" s="1622">
        <f>IF(E86=1,IF(U86="N",LOOKUP(T86,'HS250-DATA'!C$7:C$10,'HS250-DATA'!D$7:D$10),IF(U86="Y",LOOKUP(T86,'HS250-DATA'!C$22:C$25,'HS250-DATA'!D$22:D$25),"FAN?")),IF(U86="N",LOOKUP(T86,'HS250-DATA'!C$14:C$17,'HS250-DATA'!D$14:D$17),IF(U86="Y",LOOKUP(T86,'HS250-DATA'!C$29:C$32,'HS250-DATA'!D$29:D$32),"FAN?")))</f>
        <v>0.11</v>
      </c>
      <c r="W86" s="1602">
        <f>(G86*H86)^2*Q86*10^-3+G86*P86</f>
        <v>333.33333333333343</v>
      </c>
      <c r="X86" s="1602">
        <f>D86*W86</f>
        <v>333.33333333333343</v>
      </c>
      <c r="Y86" s="1602">
        <f>IF(A86=3,W86*6,IF(A86=1,W86*4,W86))</f>
        <v>333.33333333333343</v>
      </c>
      <c r="Z86" s="1579">
        <f>O86-5</f>
        <v>145</v>
      </c>
      <c r="AA86" s="1913">
        <f>D86*W86*V86+AB86</f>
        <v>91.666666666666686</v>
      </c>
      <c r="AB86" s="1588">
        <v>55</v>
      </c>
      <c r="AC86" s="1570"/>
      <c r="AD86" s="1754">
        <f>Q86*10^-3*H86^2</f>
        <v>4.4000000000000002E-4</v>
      </c>
      <c r="AE86" s="1634">
        <f>P86</f>
        <v>0.86</v>
      </c>
      <c r="AF86" s="1635">
        <f>(AB86-Z86)/(R86+S86+D86*V86)</f>
        <v>-333.33333333333331</v>
      </c>
      <c r="AG86" s="1646">
        <f>AE86^2-4*AD86*AF86</f>
        <v>1.3262666666666667</v>
      </c>
      <c r="AH86" s="1790">
        <f>SUM(AJ86:AL86)</f>
        <v>90.75</v>
      </c>
      <c r="AI86" s="1607"/>
      <c r="AJ86" s="1733">
        <f>C86*LOOKUP(T86,'HS250-DATA'!C$7:C$10,'HS250-DATA'!F$7:F$10)</f>
        <v>24.55</v>
      </c>
      <c r="AK86" s="1733">
        <f>IF(U86="Y",C86*12,0)</f>
        <v>12</v>
      </c>
      <c r="AL86" s="1733">
        <f>C86*E86*VLOOKUP(K86,'SCR-Diode DATA'!D$7:M$43,10,FALSE)</f>
        <v>54.2</v>
      </c>
      <c r="AM86" s="507">
        <f>AH86/F86</f>
        <v>0.27383402083991015</v>
      </c>
      <c r="AX86" s="1804">
        <v>4000</v>
      </c>
      <c r="AY86" s="1802">
        <v>26068</v>
      </c>
    </row>
    <row r="87" spans="1:51" ht="18.75">
      <c r="A87" s="1598" t="s">
        <v>501</v>
      </c>
      <c r="B87" s="1533">
        <f>IF(A87=3,6,IF(A87=1,4,IF(A87="bd",1,IF(A87="fwd",1,"Circuit Type"))))</f>
        <v>1</v>
      </c>
      <c r="C87" s="1600">
        <v>1</v>
      </c>
      <c r="D87" s="1575">
        <f>B87/C87</f>
        <v>1</v>
      </c>
      <c r="E87" s="1575">
        <v>1</v>
      </c>
      <c r="F87" s="1611">
        <f>IF(A87=3,3*G87,IF(A87=1,2*G87,IF(A87="bd",1*G87,IF(A87="fwd",1,"Error"))))</f>
        <v>335.75044758067423</v>
      </c>
      <c r="G87" s="1582">
        <f>(-AE87+SQRT(AG87))/2/AD87</f>
        <v>335.75044758067423</v>
      </c>
      <c r="H87" s="1583">
        <f>IF(A87=3,SQRT(3),IF(A87=1,SQRT(2),1))</f>
        <v>1</v>
      </c>
      <c r="I87" s="1594">
        <f>H87*G87</f>
        <v>335.75044758067423</v>
      </c>
      <c r="J87" s="1680" t="s">
        <v>548</v>
      </c>
      <c r="K87" s="1432" t="s">
        <v>680</v>
      </c>
      <c r="L87" s="1426">
        <v>320</v>
      </c>
      <c r="M87" s="1426">
        <v>502</v>
      </c>
      <c r="N87" s="1426">
        <v>8500</v>
      </c>
      <c r="O87" s="1425">
        <v>150</v>
      </c>
      <c r="P87" s="1425">
        <v>0.86</v>
      </c>
      <c r="Q87" s="1427">
        <v>0.44</v>
      </c>
      <c r="R87" s="1428">
        <v>0.125</v>
      </c>
      <c r="S87" s="1457">
        <v>3.5000000000000003E-2</v>
      </c>
      <c r="T87" s="1624">
        <v>15</v>
      </c>
      <c r="U87" s="1616" t="s">
        <v>645</v>
      </c>
      <c r="V87" s="1622">
        <f>IF(E87=1,IF(U87="N",LOOKUP(T87,'HS250-DATA'!C$7:C$10,'HS250-DATA'!D$7:D$10),IF(U87="Y",LOOKUP(T87,'HS250-DATA'!C$22:C$25,'HS250-DATA'!D$22:D$25),"FAN?")),IF(U87="N",LOOKUP(T87,'HS250-DATA'!C$14:C$17,'HS250-DATA'!D$14:D$17),IF(U87="Y",LOOKUP(T87,'HS250-DATA'!C$29:C$32,'HS250-DATA'!D$29:D$32),"FAN?")))</f>
        <v>0.106</v>
      </c>
      <c r="W87" s="1602">
        <f>(G87*H87)^2*Q87*10^-3+G87*P87</f>
        <v>338.34586466165399</v>
      </c>
      <c r="X87" s="1602">
        <f>D87*W87</f>
        <v>338.34586466165399</v>
      </c>
      <c r="Y87" s="1602">
        <f>IF(A87=3,W87*6,IF(A87=1,W87*4,W87))</f>
        <v>338.34586466165399</v>
      </c>
      <c r="Z87" s="1579">
        <f>O87-5</f>
        <v>145</v>
      </c>
      <c r="AA87" s="1913">
        <f>D87*W87*V87+AB87</f>
        <v>90.864661654135318</v>
      </c>
      <c r="AB87" s="1588">
        <v>55</v>
      </c>
      <c r="AC87" s="1570"/>
      <c r="AD87" s="1754">
        <f>Q87*10^-3*H87^2</f>
        <v>4.4000000000000002E-4</v>
      </c>
      <c r="AE87" s="1634">
        <f>P87</f>
        <v>0.86</v>
      </c>
      <c r="AF87" s="1635">
        <f>(AB87-Z87)/(R87+S87+D87*V87)</f>
        <v>-338.3458646616541</v>
      </c>
      <c r="AG87" s="1646">
        <f>AE87^2-4*AD87*AF87</f>
        <v>1.3350887218045111</v>
      </c>
      <c r="AH87" s="1790">
        <f>SUM(AJ87:AL87)</f>
        <v>94.460000000000008</v>
      </c>
      <c r="AI87" s="1607"/>
      <c r="AJ87" s="1733">
        <f>C87*LOOKUP(T87,'HS250-DATA'!C$7:C$10,'HS250-DATA'!F$7:F$10)</f>
        <v>28.26</v>
      </c>
      <c r="AK87" s="1733">
        <f>IF(U87="Y",C87*12,0)</f>
        <v>12</v>
      </c>
      <c r="AL87" s="1733">
        <f>C87*E87*VLOOKUP(K87,'SCR-Diode DATA'!D$7:M$43,10,FALSE)</f>
        <v>54.2</v>
      </c>
      <c r="AM87" s="507">
        <f>AH87/F87</f>
        <v>0.28133990790080221</v>
      </c>
      <c r="AX87" s="1804">
        <v>4000</v>
      </c>
      <c r="AY87" s="1802">
        <v>26068</v>
      </c>
    </row>
    <row r="88" spans="1:51" ht="18.75">
      <c r="A88" s="1598" t="s">
        <v>501</v>
      </c>
      <c r="B88" s="1533">
        <f>IF(A88=3,6,IF(A88=1,4,IF(A88="bd",1,IF(A88="fwd",1,"Circuit Type"))))</f>
        <v>1</v>
      </c>
      <c r="C88" s="1600">
        <v>1</v>
      </c>
      <c r="D88" s="1575">
        <f>B88/C88</f>
        <v>1</v>
      </c>
      <c r="E88" s="1575">
        <v>1</v>
      </c>
      <c r="F88" s="1611">
        <f>IF(A88=3,3*G88,IF(A88=1,2*G88,IF(A88="bd",1*G88,IF(A88="fwd",1,"Error"))))</f>
        <v>209.51916789498887</v>
      </c>
      <c r="G88" s="1582">
        <f>(-AE88+SQRT(AG88))/2/AD88</f>
        <v>209.51916789498887</v>
      </c>
      <c r="H88" s="1583">
        <f>IF(A88=3,SQRT(3),IF(A88=1,SQRT(2),1))</f>
        <v>1</v>
      </c>
      <c r="I88" s="1594">
        <f>H88*G88</f>
        <v>209.51916789498887</v>
      </c>
      <c r="J88" s="1680" t="s">
        <v>548</v>
      </c>
      <c r="K88" s="1920" t="s">
        <v>505</v>
      </c>
      <c r="L88" s="1426">
        <v>160</v>
      </c>
      <c r="M88" s="1426">
        <v>250</v>
      </c>
      <c r="N88" s="1426">
        <v>3350</v>
      </c>
      <c r="O88" s="1425">
        <v>150</v>
      </c>
      <c r="P88" s="1425">
        <v>0.85</v>
      </c>
      <c r="Q88" s="1427">
        <v>1.2</v>
      </c>
      <c r="R88" s="1428">
        <v>0.18</v>
      </c>
      <c r="S88" s="1457">
        <v>0.1</v>
      </c>
      <c r="T88" s="1624">
        <v>13</v>
      </c>
      <c r="U88" s="1616" t="s">
        <v>645</v>
      </c>
      <c r="V88" s="1622">
        <f>IF(E88=1,IF(U88="N",LOOKUP(T88,'HS250-DATA'!C$7:C$10,'HS250-DATA'!D$7:D$10),IF(U88="Y",LOOKUP(T88,'HS250-DATA'!C$22:C$25,'HS250-DATA'!D$22:D$25),"FAN?")),IF(U88="N",LOOKUP(T88,'HS250-DATA'!C$14:C$17,'HS250-DATA'!D$14:D$17),IF(U88="Y",LOOKUP(T88,'HS250-DATA'!C$29:C$32,'HS250-DATA'!D$29:D$32),"FAN?")))</f>
        <v>0.11</v>
      </c>
      <c r="W88" s="1602">
        <f>(G88*H88)^2*Q88*10^-3+G88*P88</f>
        <v>230.76923076923077</v>
      </c>
      <c r="X88" s="1602">
        <f>D88*W88</f>
        <v>230.76923076923077</v>
      </c>
      <c r="Y88" s="1602">
        <f>IF(A88=3,W88*6,IF(A88=1,W88*4,W88))</f>
        <v>230.76923076923077</v>
      </c>
      <c r="Z88" s="1579">
        <f>O88-5</f>
        <v>145</v>
      </c>
      <c r="AA88" s="1913">
        <f>D88*W88*V88+AB88</f>
        <v>80.384615384615387</v>
      </c>
      <c r="AB88" s="1588">
        <v>55</v>
      </c>
      <c r="AC88" s="1570"/>
      <c r="AD88" s="1754">
        <f>Q88*10^-3*H88^2</f>
        <v>1.1999999999999999E-3</v>
      </c>
      <c r="AE88" s="1634">
        <f>P88</f>
        <v>0.85</v>
      </c>
      <c r="AF88" s="1635">
        <f>(AB88-Z88)/(R88+S88+D88*V88)</f>
        <v>-230.76923076923077</v>
      </c>
      <c r="AG88" s="1646">
        <f>AE88^2-4*AD88*AF88</f>
        <v>1.8301923076923075</v>
      </c>
      <c r="AH88" s="1790">
        <f>SUM(AJ88:AL88)</f>
        <v>66.55</v>
      </c>
      <c r="AI88" s="1607"/>
      <c r="AJ88" s="1733">
        <f>C88*LOOKUP(T88,'HS250-DATA'!C$7:C$10,'HS250-DATA'!F$7:F$10)</f>
        <v>24.55</v>
      </c>
      <c r="AK88" s="1733">
        <f>IF(U88="Y",C88*12,0)</f>
        <v>12</v>
      </c>
      <c r="AL88" s="1733">
        <f>C88*E88*VLOOKUP(K88,'SCR-Diode DATA'!D$7:M$43,10,FALSE)</f>
        <v>30</v>
      </c>
      <c r="AM88" s="507">
        <f>AH88/F88</f>
        <v>0.31763203657507316</v>
      </c>
      <c r="AX88" s="1804">
        <v>4000</v>
      </c>
      <c r="AY88" s="1802">
        <v>26068</v>
      </c>
    </row>
    <row r="90" spans="1:51" ht="18.75">
      <c r="A90" s="1598" t="s">
        <v>501</v>
      </c>
      <c r="B90" s="1533">
        <f>IF(A90=3,6,IF(A90=1,4,IF(A90="bd",1,IF(A90="fwd",1,"Circuit Type"))))</f>
        <v>1</v>
      </c>
      <c r="C90" s="1600">
        <v>1</v>
      </c>
      <c r="D90" s="1575">
        <f>B90/C90</f>
        <v>1</v>
      </c>
      <c r="E90" s="1575">
        <v>1</v>
      </c>
      <c r="F90" s="1611">
        <f>IF(A90=3,3*G90,IF(A90=1,2*G90,IF(A90="bd",1*G90,IF(A90="fwd",1,"Error"))))</f>
        <v>282.49854598161875</v>
      </c>
      <c r="G90" s="1582">
        <f>(-AE90+SQRT(AG90))/2/AD90</f>
        <v>282.49854598161875</v>
      </c>
      <c r="H90" s="1583">
        <f>IF(A90=3,SQRT(3),IF(A90=1,SQRT(2),1))</f>
        <v>1</v>
      </c>
      <c r="I90" s="1594">
        <f>H90*G90</f>
        <v>282.49854598161875</v>
      </c>
      <c r="J90" s="1680" t="s">
        <v>548</v>
      </c>
      <c r="K90" s="1920" t="s">
        <v>678</v>
      </c>
      <c r="L90" s="1426">
        <v>250</v>
      </c>
      <c r="M90" s="1426">
        <v>393</v>
      </c>
      <c r="N90" s="1426">
        <v>5900</v>
      </c>
      <c r="O90" s="1425">
        <v>150</v>
      </c>
      <c r="P90" s="1425">
        <v>0.92</v>
      </c>
      <c r="Q90" s="1427">
        <v>0.49</v>
      </c>
      <c r="R90" s="1428">
        <v>0.16</v>
      </c>
      <c r="S90" s="1457">
        <v>3.5000000000000003E-2</v>
      </c>
      <c r="T90" s="1624">
        <v>15</v>
      </c>
      <c r="U90" s="1616" t="s">
        <v>645</v>
      </c>
      <c r="V90" s="1622">
        <f>IF(E90=1,IF(U90="N",LOOKUP(T90,'HS250-DATA'!C$7:C$10,'HS250-DATA'!D$7:D$10),IF(U90="Y",LOOKUP(T90,'HS250-DATA'!C$22:C$25,'HS250-DATA'!D$22:D$25),"FAN?")),IF(U90="N",LOOKUP(T90,'HS250-DATA'!C$14:C$17,'HS250-DATA'!D$14:D$17),IF(U90="Y",LOOKUP(T90,'HS250-DATA'!C$29:C$32,'HS250-DATA'!D$29:D$32),"FAN?")))</f>
        <v>0.106</v>
      </c>
      <c r="W90" s="1602">
        <f>(G90*H90)^2*Q90*10^-3+G90*P90</f>
        <v>299.00332225913638</v>
      </c>
      <c r="X90" s="1602">
        <f>D90*W90</f>
        <v>299.00332225913638</v>
      </c>
      <c r="Y90" s="1602">
        <f>IF(A90=3,W90*6,IF(A90=1,W90*4,W90))</f>
        <v>299.00332225913638</v>
      </c>
      <c r="Z90" s="1579">
        <f>O90-5</f>
        <v>145</v>
      </c>
      <c r="AA90" s="1913">
        <f>D90*W90*V90+AB90</f>
        <v>86.694352159468451</v>
      </c>
      <c r="AB90" s="1588">
        <v>55</v>
      </c>
      <c r="AC90" s="1570"/>
      <c r="AD90" s="1754">
        <f>Q90*10^-3*H90^2</f>
        <v>4.8999999999999998E-4</v>
      </c>
      <c r="AE90" s="1634">
        <f>P90</f>
        <v>0.92</v>
      </c>
      <c r="AF90" s="1635">
        <f>(AB90-Z90)/(R90+S90+D90*V90)</f>
        <v>-299.00332225913621</v>
      </c>
      <c r="AG90" s="1646">
        <f>AE90^2-4*AD90*AF90</f>
        <v>1.432446511627907</v>
      </c>
      <c r="AH90" s="1790">
        <f>SUM(AJ90:AL90)</f>
        <v>86.360000000000014</v>
      </c>
      <c r="AI90" s="1607"/>
      <c r="AJ90" s="1733">
        <f>C90*LOOKUP(T90,'HS250-DATA'!C$7:C$10,'HS250-DATA'!F$7:F$10)</f>
        <v>28.26</v>
      </c>
      <c r="AK90" s="1733">
        <f>IF(U90="Y",C90*12,0)</f>
        <v>12</v>
      </c>
      <c r="AL90" s="1733">
        <f>C90*E90*VLOOKUP(K90,'SCR-Diode DATA'!D$7:M$43,10,FALSE)</f>
        <v>46.1</v>
      </c>
      <c r="AM90" s="507">
        <f>AH90/F90</f>
        <v>0.30570068847582377</v>
      </c>
      <c r="AX90" s="1804">
        <v>4000</v>
      </c>
      <c r="AY90" s="1802">
        <v>26068</v>
      </c>
    </row>
    <row r="91" spans="1:51">
      <c r="G91" s="576"/>
    </row>
    <row r="93" spans="1:51" s="1849" customFormat="1" ht="23.25">
      <c r="A93" s="1820">
        <v>3</v>
      </c>
      <c r="B93" s="1821">
        <f>IF(A93=3,6,IF(A93=1,4,IF(A93="bd",1,IF(A93="fwd",1,"Circuit Type"))))</f>
        <v>6</v>
      </c>
      <c r="C93" s="1822">
        <v>1</v>
      </c>
      <c r="D93" s="1823">
        <f>B93/C93</f>
        <v>6</v>
      </c>
      <c r="E93" s="2075">
        <v>3</v>
      </c>
      <c r="F93" s="1824">
        <f>IF(A93=3,3*G93,IF(A93=1,2*G93,IF(A93="bd",1*G93,IF(A93="fwd",1,"Error"))))</f>
        <v>171.90413796890823</v>
      </c>
      <c r="G93" s="1825">
        <f>(-AE93+SQRT(AG93))/2/AD93</f>
        <v>57.30137932296941</v>
      </c>
      <c r="H93" s="1826">
        <f>IF(A93=3,SQRT(3),IF(A93=1,SQRT(2),1))</f>
        <v>1.7320508075688772</v>
      </c>
      <c r="I93" s="1827">
        <f>H93*G93</f>
        <v>99.248900331159732</v>
      </c>
      <c r="J93" s="1828" t="s">
        <v>548</v>
      </c>
      <c r="K93" s="1829" t="s">
        <v>549</v>
      </c>
      <c r="L93" s="1830">
        <v>90</v>
      </c>
      <c r="M93" s="1830">
        <v>150</v>
      </c>
      <c r="N93" s="1830">
        <v>1950</v>
      </c>
      <c r="O93" s="1831">
        <v>125</v>
      </c>
      <c r="P93" s="1832">
        <v>0.9</v>
      </c>
      <c r="Q93" s="1832">
        <v>2</v>
      </c>
      <c r="R93" s="1832">
        <v>0.28000000000000003</v>
      </c>
      <c r="S93" s="1833">
        <v>0.2</v>
      </c>
      <c r="T93" s="1834">
        <v>15</v>
      </c>
      <c r="U93" s="1835" t="s">
        <v>645</v>
      </c>
      <c r="V93" s="1836">
        <f>IF(E93=1,IF(U93="N",LOOKUP(T93,'HS250-DATA'!C$7:C$10,'HS250-DATA'!D$7:D$10),IF(U93="Y",LOOKUP(T93,'HS250-DATA'!C$22:C$25,'HS250-DATA'!D$22:D$25),"FAN?")),IF(U93="N",LOOKUP(T93,'HS250-DATA'!C$14:C$17,'HS250-DATA'!D$14:D$17),IF(U93="Y",LOOKUP(T93,'HS250-DATA'!C$29:C$32,'HS250-DATA'!D$29:D$32),"FAN?")))</f>
        <v>7.1999999999999995E-2</v>
      </c>
      <c r="W93" s="1837">
        <f>(G93*H93)^2*Q93*10^-3+G93*P93</f>
        <v>71.271929824561425</v>
      </c>
      <c r="X93" s="1837">
        <f>D93*W93</f>
        <v>427.63157894736855</v>
      </c>
      <c r="Y93" s="1837">
        <f>IF(A93=3,W93*6,IF(A93=1,W93*4,W93))</f>
        <v>427.63157894736855</v>
      </c>
      <c r="Z93" s="1838">
        <f>O93-5</f>
        <v>120</v>
      </c>
      <c r="AA93" s="1912">
        <f>D93*W93*V93+AB93</f>
        <v>85.789473684210535</v>
      </c>
      <c r="AB93" s="1839">
        <v>55</v>
      </c>
      <c r="AC93" s="1840"/>
      <c r="AD93" s="1841">
        <f>Q93*10^-3*H93^2</f>
        <v>5.9999999999999993E-3</v>
      </c>
      <c r="AE93" s="1842">
        <f>P93</f>
        <v>0.9</v>
      </c>
      <c r="AF93" s="1843">
        <f>(AB93-Z93)/(R93+S93+D93*V93)</f>
        <v>-71.271929824561411</v>
      </c>
      <c r="AG93" s="1844">
        <f>AE93^2-4*AD93*AF93</f>
        <v>2.5205263157894739</v>
      </c>
      <c r="AH93" s="1845">
        <f>SUM(AJ93:AL93)</f>
        <v>79.260000000000005</v>
      </c>
      <c r="AI93" s="1846"/>
      <c r="AJ93" s="1847">
        <f>C93*LOOKUP(T93,'HS250-DATA'!C$7:C$10,'HS250-DATA'!F$7:F$10)</f>
        <v>28.26</v>
      </c>
      <c r="AK93" s="1847">
        <f>IF(U93="Y",C93*12,0)</f>
        <v>12</v>
      </c>
      <c r="AL93" s="1847">
        <f>C93*E93*VLOOKUP(K93,'SCR-Diode DATA'!D$7:M$43,10,FALSE)</f>
        <v>39</v>
      </c>
      <c r="AM93" s="1848">
        <f>AH93/F93</f>
        <v>0.46107092555465717</v>
      </c>
      <c r="AO93" s="1850">
        <f>0.5*F93</f>
        <v>85.952068984454115</v>
      </c>
      <c r="AP93" s="1851" t="s">
        <v>569</v>
      </c>
      <c r="AQ93" s="1850">
        <f>1.8*F93</f>
        <v>309.42744834403481</v>
      </c>
      <c r="AR93" s="1849">
        <v>350</v>
      </c>
      <c r="AS93" s="1849">
        <f>LOOKUP(AR93,'FUSE DATA'!X$8:X$43,'FUSE DATA'!Y$8:Y$43)</f>
        <v>1724</v>
      </c>
      <c r="AT93" s="1852">
        <f>AR93/F93</f>
        <v>2.0360184701505175</v>
      </c>
      <c r="AU93" s="1852" t="str">
        <f>IF(AS93&lt;1950,"F1892Sxxxx",IF(AS93&lt;3350,"CS61xx16B",IF(A93&lt;7340,"ND41xx35",IF(A93&lt;19000,"LS41xx60","PS41xx25"))))</f>
        <v>F1892Sxxxx</v>
      </c>
      <c r="AX93" s="1853">
        <v>60</v>
      </c>
      <c r="AY93" s="1854">
        <v>269</v>
      </c>
    </row>
    <row r="94" spans="1:51" s="1849" customFormat="1" ht="23.25">
      <c r="A94" s="1820"/>
      <c r="B94" s="1821"/>
      <c r="C94" s="1822"/>
      <c r="D94" s="1823"/>
      <c r="E94" s="2076"/>
      <c r="F94" s="1824">
        <v>150</v>
      </c>
      <c r="G94" s="1825"/>
      <c r="H94" s="1826"/>
      <c r="I94" s="1827"/>
      <c r="J94" s="1828"/>
      <c r="K94" s="1829"/>
      <c r="L94" s="1830"/>
      <c r="M94" s="1830"/>
      <c r="N94" s="1830"/>
      <c r="O94" s="1831"/>
      <c r="P94" s="1832"/>
      <c r="Q94" s="1832"/>
      <c r="R94" s="1832"/>
      <c r="S94" s="1833"/>
      <c r="T94" s="1834"/>
      <c r="U94" s="1835"/>
      <c r="V94" s="1836"/>
      <c r="W94" s="1837"/>
      <c r="X94" s="1837"/>
      <c r="Y94" s="1837"/>
      <c r="Z94" s="1838"/>
      <c r="AA94" s="1912"/>
      <c r="AB94" s="1839"/>
      <c r="AC94" s="1840"/>
      <c r="AD94" s="1841"/>
      <c r="AE94" s="1842"/>
      <c r="AF94" s="1843"/>
      <c r="AG94" s="1844"/>
      <c r="AH94" s="1845"/>
      <c r="AI94" s="1846"/>
      <c r="AJ94" s="1847"/>
      <c r="AK94" s="1847"/>
      <c r="AL94" s="1847"/>
      <c r="AM94" s="1848"/>
      <c r="AN94" s="1849">
        <f>1.8*F94</f>
        <v>270</v>
      </c>
      <c r="AO94" s="1850">
        <f>0.5*F94</f>
        <v>75</v>
      </c>
      <c r="AP94" s="1851"/>
      <c r="AQ94" s="1850">
        <f>1.8*F94</f>
        <v>270</v>
      </c>
      <c r="AR94" s="1926">
        <v>300</v>
      </c>
      <c r="AS94" s="1849">
        <f>LOOKUP(AR94,'FUSE DATA'!X$8:X$43,'FUSE DATA'!Y$8:Y$43)</f>
        <v>1324</v>
      </c>
      <c r="AT94" s="1852">
        <f>AR94/F94</f>
        <v>2</v>
      </c>
      <c r="AU94" s="1852" t="str">
        <f>IF(AS94&lt;1950,"F1892Sxxxx",IF(AS94&lt;3350,"CS61xx16B",IF(A94&lt;7340,"ND41xx35",IF(A94&lt;19000,"LS41xx60","PS41xx25"))))</f>
        <v>F1892Sxxxx</v>
      </c>
      <c r="AX94" s="1853"/>
      <c r="AY94" s="1854"/>
    </row>
    <row r="95" spans="1:51" ht="23.25">
      <c r="E95" s="2077"/>
    </row>
    <row r="96" spans="1:51" s="1873" customFormat="1" ht="23.25">
      <c r="A96" s="1820">
        <v>3</v>
      </c>
      <c r="B96" s="1855">
        <f>IF(A96=3,6,IF(A96=1,4,IF(A96="bd",1,IF(A96="fwd",1,"Circuit Type"))))</f>
        <v>6</v>
      </c>
      <c r="C96" s="1822">
        <v>1</v>
      </c>
      <c r="D96" s="1822">
        <f>B96/C96</f>
        <v>6</v>
      </c>
      <c r="E96" s="2075">
        <v>3</v>
      </c>
      <c r="F96" s="1824">
        <f>IF(A96=3,3*G96,IF(A96=1,2*G96,IF(A96="bd",1*G96,IF(A96="fwd",1,"Error"))))</f>
        <v>231.89764687162577</v>
      </c>
      <c r="G96" s="1856">
        <f>(-AE96+SQRT(AG96))/2/AD96</f>
        <v>77.299215623875256</v>
      </c>
      <c r="H96" s="1857">
        <f>IF(A96=3,SQRT(3),IF(A96=1,SQRT(2),1))</f>
        <v>1.7320508075688772</v>
      </c>
      <c r="I96" s="1858">
        <f>H96*G96</f>
        <v>133.88616884577391</v>
      </c>
      <c r="J96" s="1859" t="s">
        <v>548</v>
      </c>
      <c r="K96" s="1860" t="s">
        <v>554</v>
      </c>
      <c r="L96" s="1861">
        <v>160</v>
      </c>
      <c r="M96" s="1861">
        <v>250</v>
      </c>
      <c r="N96" s="1861">
        <v>4100</v>
      </c>
      <c r="O96" s="1862">
        <v>125</v>
      </c>
      <c r="P96" s="1863">
        <v>0.85</v>
      </c>
      <c r="Q96" s="1863">
        <v>1.5</v>
      </c>
      <c r="R96" s="1863">
        <v>0.17</v>
      </c>
      <c r="S96" s="1864">
        <v>0.1</v>
      </c>
      <c r="T96" s="1834">
        <v>15</v>
      </c>
      <c r="U96" s="1835" t="s">
        <v>645</v>
      </c>
      <c r="V96" s="1836">
        <f>IF(E96=1,IF(U96="N",LOOKUP(T96,'HS250-DATA'!C$7:C$10,'HS250-DATA'!D$7:D$10),IF(U96="Y",LOOKUP(T96,'HS250-DATA'!C$22:C$25,'HS250-DATA'!D$22:D$25),"FAN?")),IF(U96="N",LOOKUP(T96,'HS250-DATA'!C$14:C$17,'HS250-DATA'!D$14:D$17),IF(U96="Y",LOOKUP(T96,'HS250-DATA'!C$29:C$32,'HS250-DATA'!D$29:D$32),"FAN?")))</f>
        <v>7.1999999999999995E-2</v>
      </c>
      <c r="W96" s="1865">
        <f>(G96*H96)^2*Q96*10^-3+G96*P96</f>
        <v>92.592592592592581</v>
      </c>
      <c r="X96" s="1865">
        <f>D96*W96</f>
        <v>555.55555555555543</v>
      </c>
      <c r="Y96" s="1865">
        <f>IF(A96=3,W96*6,IF(A96=1,W96*4,W96))</f>
        <v>555.55555555555543</v>
      </c>
      <c r="Z96" s="1838">
        <f>O96-5</f>
        <v>120</v>
      </c>
      <c r="AA96" s="1914">
        <f>D96*W96*V96+AB96</f>
        <v>94.999999999999986</v>
      </c>
      <c r="AB96" s="1866">
        <v>55</v>
      </c>
      <c r="AC96" s="1867"/>
      <c r="AD96" s="1841">
        <f>Q96*10^-3*H96^2</f>
        <v>4.4999999999999997E-3</v>
      </c>
      <c r="AE96" s="1842">
        <f>P96</f>
        <v>0.85</v>
      </c>
      <c r="AF96" s="1843">
        <f>(AB96-Z96)/(R96+S96+D96*V96)</f>
        <v>-92.592592592592595</v>
      </c>
      <c r="AG96" s="1868">
        <f>AE96^2-4*AD96*AF96</f>
        <v>2.3891666666666662</v>
      </c>
      <c r="AH96" s="1869">
        <f>SUM(AJ96:AL96)</f>
        <v>148.26</v>
      </c>
      <c r="AI96" s="1870"/>
      <c r="AJ96" s="1871">
        <f>C96*LOOKUP(T96,'HS250-DATA'!C$7:C$10,'HS250-DATA'!F$7:F$10)</f>
        <v>28.26</v>
      </c>
      <c r="AK96" s="1871">
        <f>IF(U96="Y",C96*12,0)</f>
        <v>12</v>
      </c>
      <c r="AL96" s="1871">
        <f>C96*E96*VLOOKUP(K96,'SCR-Diode DATA'!D$7:M$43,10,FALSE)</f>
        <v>108</v>
      </c>
      <c r="AM96" s="1872">
        <f>AH96/F96</f>
        <v>0.63933378367601101</v>
      </c>
      <c r="AN96" s="1849"/>
      <c r="AO96" s="1850">
        <f>0.5*F96</f>
        <v>115.94882343581288</v>
      </c>
      <c r="AP96" s="1852" t="s">
        <v>505</v>
      </c>
      <c r="AQ96" s="1850">
        <f>1.8*F96</f>
        <v>417.41576436892638</v>
      </c>
      <c r="AR96" s="1849">
        <v>450</v>
      </c>
      <c r="AS96" s="1849">
        <f>LOOKUP(AR96,'FUSE DATA'!X$8:X$43,'FUSE DATA'!Y$8:Y$43)</f>
        <v>2578</v>
      </c>
      <c r="AT96" s="1852">
        <f>AR96/F96</f>
        <v>1.9405112818980508</v>
      </c>
      <c r="AU96" s="1852" t="str">
        <f>IF(AS96&lt;1950,"F1892Sxxxx",IF(AS96&lt;3350,"CS61xx16B",IF(A96&lt;7340,"ND41xx35",IF(A96&lt;19000,"LS41xx60","PS41xx25"))))</f>
        <v>CS61xx16B</v>
      </c>
      <c r="AX96" s="1853">
        <v>125</v>
      </c>
      <c r="AY96" s="1874">
        <v>510</v>
      </c>
    </row>
    <row r="97" spans="1:51" s="1873" customFormat="1" ht="23.25">
      <c r="A97" s="1820"/>
      <c r="B97" s="1855"/>
      <c r="C97" s="1822"/>
      <c r="D97" s="1822"/>
      <c r="E97" s="2076"/>
      <c r="F97" s="1824">
        <v>225</v>
      </c>
      <c r="G97" s="1856"/>
      <c r="H97" s="1857"/>
      <c r="I97" s="1858"/>
      <c r="J97" s="1859"/>
      <c r="K97" s="1860"/>
      <c r="L97" s="1861"/>
      <c r="M97" s="1861"/>
      <c r="N97" s="1861"/>
      <c r="O97" s="1862"/>
      <c r="P97" s="1863"/>
      <c r="Q97" s="1863"/>
      <c r="R97" s="1863"/>
      <c r="S97" s="1864"/>
      <c r="T97" s="1834"/>
      <c r="U97" s="1835"/>
      <c r="V97" s="1836"/>
      <c r="W97" s="1865"/>
      <c r="X97" s="1865"/>
      <c r="Y97" s="1865"/>
      <c r="Z97" s="1838"/>
      <c r="AA97" s="1914"/>
      <c r="AB97" s="1866"/>
      <c r="AC97" s="1867"/>
      <c r="AD97" s="1841"/>
      <c r="AE97" s="1842"/>
      <c r="AF97" s="1843"/>
      <c r="AG97" s="1868"/>
      <c r="AH97" s="1869"/>
      <c r="AI97" s="1906">
        <f>AH96/F97</f>
        <v>0.65893333333333326</v>
      </c>
      <c r="AJ97" s="1871"/>
      <c r="AK97" s="1871"/>
      <c r="AL97" s="1871"/>
      <c r="AM97" s="1872"/>
      <c r="AN97" s="1849">
        <f>1.8*F97</f>
        <v>405</v>
      </c>
      <c r="AO97" s="1850">
        <f>0.5*F97</f>
        <v>112.5</v>
      </c>
      <c r="AP97" s="1852" t="s">
        <v>505</v>
      </c>
      <c r="AQ97" s="1850">
        <f>1.8*F97</f>
        <v>405</v>
      </c>
      <c r="AR97" s="1926">
        <v>450</v>
      </c>
      <c r="AS97" s="1849">
        <f>LOOKUP(AR97,'FUSE DATA'!X$8:X$43,'FUSE DATA'!Y$8:Y$43)</f>
        <v>2578</v>
      </c>
      <c r="AT97" s="1852">
        <f>AR97/F97</f>
        <v>2</v>
      </c>
      <c r="AU97" s="1852" t="str">
        <f>IF(AS97&lt;1950,"F1892Sxxxx",IF(AS97&lt;3350,"CS61xx16B",IF(A97&lt;7340,"ND41xx35",IF(A97&lt;19000,"LS41xx60","PS41xx25"))))</f>
        <v>CS61xx16B</v>
      </c>
      <c r="AX97" s="1853"/>
      <c r="AY97" s="1874"/>
    </row>
    <row r="98" spans="1:51" ht="23.25">
      <c r="E98" s="2077"/>
    </row>
    <row r="99" spans="1:51" s="1849" customFormat="1" ht="23.25">
      <c r="A99" s="1820">
        <v>3</v>
      </c>
      <c r="B99" s="1821">
        <f>IF(A99=3,6,IF(A99=1,4,IF(A99="bd",1,IF(A99="fwd",1,"Circuit Type"))))</f>
        <v>6</v>
      </c>
      <c r="C99" s="1822">
        <v>1</v>
      </c>
      <c r="D99" s="1823">
        <f>B99/C99</f>
        <v>6</v>
      </c>
      <c r="E99" s="2075">
        <v>3</v>
      </c>
      <c r="F99" s="1824">
        <f>IF(A99=3,3*G99,IF(A99=1,2*G99,IF(A99="bd",1*G99,IF(A99="fwd",1,"Error"))))</f>
        <v>308.35312732675175</v>
      </c>
      <c r="G99" s="1825">
        <f>(-AE99+SQRT(AG99))/2/AD99</f>
        <v>102.78437577558392</v>
      </c>
      <c r="H99" s="1826">
        <f>IF(A99=3,SQRT(3),IF(A99=1,SQRT(2),1))</f>
        <v>1.7320508075688772</v>
      </c>
      <c r="I99" s="1827">
        <f>H99*G99</f>
        <v>178.02776106756306</v>
      </c>
      <c r="J99" s="1828" t="s">
        <v>548</v>
      </c>
      <c r="K99" s="1829" t="s">
        <v>469</v>
      </c>
      <c r="L99" s="1830">
        <v>250</v>
      </c>
      <c r="M99" s="1830">
        <v>393</v>
      </c>
      <c r="N99" s="1830">
        <v>8800</v>
      </c>
      <c r="O99" s="1831">
        <v>125</v>
      </c>
      <c r="P99" s="1832">
        <v>0.81899999999999995</v>
      </c>
      <c r="Q99" s="1832">
        <v>0.58899999999999997</v>
      </c>
      <c r="R99" s="1832">
        <v>0.14000000000000001</v>
      </c>
      <c r="S99" s="1833">
        <v>0.06</v>
      </c>
      <c r="T99" s="1834">
        <v>15</v>
      </c>
      <c r="U99" s="1835" t="s">
        <v>645</v>
      </c>
      <c r="V99" s="1836">
        <f>IF(E99=1,IF(U99="N",LOOKUP(T99,'HS250-DATA'!C$7:C$10,'HS250-DATA'!D$7:D$10),IF(U99="Y",LOOKUP(T99,'HS250-DATA'!C$22:C$25,'HS250-DATA'!D$22:D$25),"FAN?")),IF(U99="N",LOOKUP(T99,'HS250-DATA'!C$14:C$17,'HS250-DATA'!D$14:D$17),IF(U99="Y",LOOKUP(T99,'HS250-DATA'!C$29:C$32,'HS250-DATA'!D$29:D$32),"FAN?")))</f>
        <v>7.1999999999999995E-2</v>
      </c>
      <c r="W99" s="1837">
        <f>(G99*H99)^2*Q99*10^-3+G99*P99</f>
        <v>102.84810126582281</v>
      </c>
      <c r="X99" s="1837">
        <f>D99*W99</f>
        <v>617.08860759493678</v>
      </c>
      <c r="Y99" s="1837">
        <f>IF(A99=3,W99*6,IF(A99=1,W99*4,W99))</f>
        <v>617.08860759493678</v>
      </c>
      <c r="Z99" s="1838">
        <f>O99-5</f>
        <v>120</v>
      </c>
      <c r="AA99" s="1912">
        <f>D99*W99*V99+AB99</f>
        <v>99.430379746835442</v>
      </c>
      <c r="AB99" s="1839">
        <v>55</v>
      </c>
      <c r="AC99" s="1840"/>
      <c r="AD99" s="1841">
        <f>Q99*10^-3*H99^2</f>
        <v>1.7669999999999997E-3</v>
      </c>
      <c r="AE99" s="1842">
        <f>P99</f>
        <v>0.81899999999999995</v>
      </c>
      <c r="AF99" s="1843">
        <f>(AB99-Z99)/(R99+S99+D99*V99)</f>
        <v>-102.84810126582281</v>
      </c>
      <c r="AG99" s="1844">
        <f>AE99^2-4*AD99*AF99</f>
        <v>1.3976913797468353</v>
      </c>
      <c r="AH99" s="1845">
        <f>SUM(AJ99:AL99)</f>
        <v>265.26</v>
      </c>
      <c r="AI99" s="1846"/>
      <c r="AJ99" s="1847">
        <f>C99*LOOKUP(T99,'HS250-DATA'!C$7:C$10,'HS250-DATA'!F$7:F$10)</f>
        <v>28.26</v>
      </c>
      <c r="AK99" s="1847">
        <f>IF(U99="Y",C99*12,0)</f>
        <v>12</v>
      </c>
      <c r="AL99" s="1847">
        <f>C99*E99*VLOOKUP(K99,'SCR-Diode DATA'!D$7:M$43,10,FALSE)</f>
        <v>225</v>
      </c>
      <c r="AM99" s="1848">
        <f>AH99/F99</f>
        <v>0.86024747762299369</v>
      </c>
      <c r="AO99" s="1850">
        <f>0.5*F99</f>
        <v>154.17656366337587</v>
      </c>
      <c r="AP99" s="1923" t="s">
        <v>678</v>
      </c>
      <c r="AQ99" s="1850">
        <f>1.8*F99</f>
        <v>555.03562918815317</v>
      </c>
      <c r="AR99" s="1849">
        <v>600</v>
      </c>
      <c r="AS99" s="1849">
        <f>LOOKUP(AR99,'FUSE DATA'!X$8:X$43,'FUSE DATA'!Y$8:Y$43)</f>
        <v>3532</v>
      </c>
      <c r="AT99" s="1852">
        <f>AR99/F99</f>
        <v>1.9458210305880881</v>
      </c>
      <c r="AU99" s="1852" t="str">
        <f>IF(AS99&lt;1950,"F1892Sxxxx",IF(AS99&lt;3350,"CS61xx16B",IF(A99&lt;7340,"ND41xx35",IF(A99&lt;19000,"LS41xx60","PS41xx25"))))</f>
        <v>ND41xx35</v>
      </c>
      <c r="AX99" s="1853">
        <v>250</v>
      </c>
      <c r="AY99" s="1874">
        <v>1058</v>
      </c>
    </row>
    <row r="100" spans="1:51" s="1849" customFormat="1" ht="23.25">
      <c r="A100" s="1820"/>
      <c r="B100" s="1821"/>
      <c r="C100" s="1822"/>
      <c r="D100" s="1823"/>
      <c r="E100" s="2076"/>
      <c r="F100" s="1824">
        <v>330</v>
      </c>
      <c r="G100" s="1825"/>
      <c r="H100" s="1826"/>
      <c r="I100" s="1827"/>
      <c r="J100" s="1828"/>
      <c r="K100" s="1829"/>
      <c r="L100" s="1830"/>
      <c r="M100" s="1830"/>
      <c r="N100" s="1830"/>
      <c r="O100" s="1831"/>
      <c r="P100" s="1832"/>
      <c r="Q100" s="1832"/>
      <c r="R100" s="1832"/>
      <c r="S100" s="1833"/>
      <c r="T100" s="1834"/>
      <c r="U100" s="1835"/>
      <c r="V100" s="1836"/>
      <c r="W100" s="1837"/>
      <c r="X100" s="1837"/>
      <c r="Y100" s="1837"/>
      <c r="Z100" s="1838"/>
      <c r="AA100" s="1912"/>
      <c r="AB100" s="1839"/>
      <c r="AC100" s="1840"/>
      <c r="AD100" s="1841"/>
      <c r="AE100" s="1842"/>
      <c r="AF100" s="1843"/>
      <c r="AG100" s="1844"/>
      <c r="AH100" s="1845"/>
      <c r="AI100" s="1906">
        <f>AH99/F100</f>
        <v>0.80381818181818177</v>
      </c>
      <c r="AJ100" s="1847"/>
      <c r="AK100" s="1847"/>
      <c r="AL100" s="1847"/>
      <c r="AM100" s="1848"/>
      <c r="AN100" s="1849">
        <f>1.8*F100</f>
        <v>594</v>
      </c>
      <c r="AO100" s="1850">
        <f>0.5*F100</f>
        <v>165</v>
      </c>
      <c r="AP100" s="1923" t="s">
        <v>678</v>
      </c>
      <c r="AQ100" s="1850"/>
      <c r="AR100" s="1926">
        <v>600</v>
      </c>
      <c r="AS100" s="1849">
        <f>LOOKUP(AR100,'FUSE DATA'!X$8:X$43,'FUSE DATA'!Y$8:Y$43)</f>
        <v>3532</v>
      </c>
      <c r="AT100" s="1852">
        <f>AR100/F100</f>
        <v>1.8181818181818181</v>
      </c>
      <c r="AU100" s="1923" t="s">
        <v>680</v>
      </c>
      <c r="AX100" s="1853"/>
      <c r="AY100" s="1874"/>
    </row>
    <row r="101" spans="1:51" s="84" customFormat="1" ht="18.75">
      <c r="A101" s="2001"/>
      <c r="B101" s="2052"/>
      <c r="C101" s="2001"/>
      <c r="D101" s="2053"/>
      <c r="E101" s="2002"/>
      <c r="F101" s="2003"/>
      <c r="G101" s="2054"/>
      <c r="H101" s="2055"/>
      <c r="I101" s="2054"/>
      <c r="J101" s="2056"/>
      <c r="K101" s="2057"/>
      <c r="L101" s="2058"/>
      <c r="M101" s="2058"/>
      <c r="N101" s="2058"/>
      <c r="O101" s="2057"/>
      <c r="P101" s="2059"/>
      <c r="Q101" s="2059"/>
      <c r="R101" s="2059"/>
      <c r="S101" s="2059"/>
      <c r="T101" s="2006"/>
      <c r="U101" s="2006"/>
      <c r="V101" s="2060"/>
      <c r="W101" s="2061"/>
      <c r="X101" s="2061"/>
      <c r="Y101" s="2061"/>
      <c r="Z101" s="2062"/>
      <c r="AA101" s="2063"/>
      <c r="AB101" s="2053"/>
      <c r="AC101" s="2041"/>
      <c r="AD101" s="2064"/>
      <c r="AE101" s="2065"/>
      <c r="AF101" s="2066"/>
      <c r="AG101" s="2054"/>
      <c r="AH101" s="2067"/>
      <c r="AI101" s="2010"/>
      <c r="AJ101" s="2068"/>
      <c r="AK101" s="2068"/>
      <c r="AL101" s="2068"/>
      <c r="AM101" s="2069"/>
      <c r="AO101" s="2070"/>
      <c r="AP101" s="2071"/>
      <c r="AQ101" s="2070"/>
      <c r="AR101" s="2072"/>
      <c r="AT101" s="2015"/>
      <c r="AU101" s="2071"/>
      <c r="AX101" s="2073"/>
      <c r="AY101" s="2074"/>
    </row>
    <row r="103" spans="1:51" s="1873" customFormat="1" ht="18.75">
      <c r="A103" s="1820">
        <v>3</v>
      </c>
      <c r="B103" s="1855">
        <f>IF(A103=3,6,IF(A103=1,4,IF(A103="bd",1,IF(A103="fwd",1,"Circuit Type"))))</f>
        <v>6</v>
      </c>
      <c r="C103" s="1822">
        <v>3</v>
      </c>
      <c r="D103" s="1822">
        <f>B103/C103</f>
        <v>2</v>
      </c>
      <c r="E103" s="1822">
        <v>1</v>
      </c>
      <c r="F103" s="1824">
        <f>IF(A103=3,3*G103,IF(A103=1,2*G103,IF(A103="bd",1*G103,IF(A103="fwd",1,"Error"))))</f>
        <v>439.18507142182011</v>
      </c>
      <c r="G103" s="1856">
        <f>(-AE103+SQRT(AG103))/2/AD103</f>
        <v>146.39502380727336</v>
      </c>
      <c r="H103" s="1857">
        <f>IF(A103=3,SQRT(3),IF(A103=1,SQRT(2),1))</f>
        <v>1.7320508075688772</v>
      </c>
      <c r="I103" s="1858">
        <f>H103*G103</f>
        <v>253.56361920945284</v>
      </c>
      <c r="J103" s="1859" t="s">
        <v>548</v>
      </c>
      <c r="K103" s="1860" t="s">
        <v>469</v>
      </c>
      <c r="L103" s="1861">
        <v>250</v>
      </c>
      <c r="M103" s="1861">
        <v>393</v>
      </c>
      <c r="N103" s="1861">
        <v>8800</v>
      </c>
      <c r="O103" s="1862">
        <v>125</v>
      </c>
      <c r="P103" s="1863">
        <v>0.81899999999999995</v>
      </c>
      <c r="Q103" s="1863">
        <v>0.58899999999999997</v>
      </c>
      <c r="R103" s="1863">
        <v>0.14000000000000001</v>
      </c>
      <c r="S103" s="1864">
        <v>0.06</v>
      </c>
      <c r="T103" s="1834">
        <v>15</v>
      </c>
      <c r="U103" s="1835" t="s">
        <v>645</v>
      </c>
      <c r="V103" s="1836">
        <f>IF(E103=1,IF(U103="N",LOOKUP(T103,'HS250-DATA'!C$7:C$10,'HS250-DATA'!D$7:D$10),IF(U103="Y",LOOKUP(T103,'HS250-DATA'!C$22:C$25,'HS250-DATA'!D$22:D$25),"FAN?")),IF(U103="N",LOOKUP(T103,'HS250-DATA'!C$14:C$17,'HS250-DATA'!D$14:D$17),IF(U103="Y",LOOKUP(T103,'HS250-DATA'!C$29:C$32,'HS250-DATA'!D$29:D$32),"FAN?")))</f>
        <v>0.106</v>
      </c>
      <c r="W103" s="1865">
        <f>(G103*H103)^2*Q103*10^-3+G103*P103</f>
        <v>157.76699029126215</v>
      </c>
      <c r="X103" s="1865">
        <f>D103*W103</f>
        <v>315.53398058252429</v>
      </c>
      <c r="Y103" s="1865">
        <f>IF(A103=3,W103*6,IF(A103=1,W103*4,W103))</f>
        <v>946.60194174757294</v>
      </c>
      <c r="Z103" s="1838">
        <f>O103-5</f>
        <v>120</v>
      </c>
      <c r="AA103" s="1914">
        <f>D103*W103*V103+AB103</f>
        <v>88.446601941747574</v>
      </c>
      <c r="AB103" s="1839">
        <v>55</v>
      </c>
      <c r="AC103" s="1867"/>
      <c r="AD103" s="1841">
        <f>Q103*10^-3*H103^2</f>
        <v>1.7669999999999997E-3</v>
      </c>
      <c r="AE103" s="1842">
        <f>P103</f>
        <v>0.81899999999999995</v>
      </c>
      <c r="AF103" s="1843">
        <f>(AB103-Z103)/(R103+S103+D103*V103)</f>
        <v>-157.76699029126212</v>
      </c>
      <c r="AG103" s="1868">
        <f>AE103^2-4*AD103*AF103</f>
        <v>1.7858580873786405</v>
      </c>
      <c r="AH103" s="1869">
        <f>SUM(AJ103:AL103)</f>
        <v>345.78</v>
      </c>
      <c r="AI103" s="1870"/>
      <c r="AJ103" s="1871">
        <f>C103*LOOKUP(T103,'HS250-DATA'!C$7:C$10,'HS250-DATA'!F$7:F$10)</f>
        <v>84.78</v>
      </c>
      <c r="AK103" s="1871">
        <f>IF(U103="Y",C103*12,0)</f>
        <v>36</v>
      </c>
      <c r="AL103" s="1871">
        <f>C103*E103*VLOOKUP(K103,'SCR-Diode DATA'!D$7:M$43,10,FALSE)</f>
        <v>225</v>
      </c>
      <c r="AM103" s="1872">
        <f>AH103/F103</f>
        <v>0.78732184334173727</v>
      </c>
      <c r="AN103" s="1849"/>
      <c r="AO103" s="1850">
        <f>0.5*F103</f>
        <v>219.59253571091006</v>
      </c>
      <c r="AP103" s="1923" t="s">
        <v>678</v>
      </c>
      <c r="AQ103" s="1850">
        <f>1.8*F103</f>
        <v>790.53312855927618</v>
      </c>
      <c r="AR103" s="1849">
        <v>800</v>
      </c>
      <c r="AS103" s="1849">
        <f>LOOKUP(AR103,'FUSE DATA'!X$8:X$43,'FUSE DATA'!Y$8:Y$43)</f>
        <v>4196</v>
      </c>
      <c r="AT103" s="1852">
        <f>AR103/F103</f>
        <v>1.8215555401509338</v>
      </c>
      <c r="AU103" s="1852" t="s">
        <v>508</v>
      </c>
      <c r="AX103" s="1853">
        <v>275</v>
      </c>
      <c r="AY103" s="1874">
        <v>1196</v>
      </c>
    </row>
    <row r="104" spans="1:51" s="1873" customFormat="1" ht="18.75">
      <c r="A104" s="1820"/>
      <c r="B104" s="1855"/>
      <c r="C104" s="1822"/>
      <c r="D104" s="1822"/>
      <c r="E104" s="1865"/>
      <c r="F104" s="1824">
        <v>500</v>
      </c>
      <c r="G104" s="1856"/>
      <c r="H104" s="1857"/>
      <c r="I104" s="1858"/>
      <c r="J104" s="1859"/>
      <c r="K104" s="1860"/>
      <c r="L104" s="1861"/>
      <c r="M104" s="1861"/>
      <c r="N104" s="1861"/>
      <c r="O104" s="1862"/>
      <c r="P104" s="1863"/>
      <c r="Q104" s="1863"/>
      <c r="R104" s="1863"/>
      <c r="S104" s="1864"/>
      <c r="T104" s="1834"/>
      <c r="U104" s="1835"/>
      <c r="V104" s="1836"/>
      <c r="W104" s="1865"/>
      <c r="X104" s="1865"/>
      <c r="Y104" s="1865"/>
      <c r="Z104" s="1838"/>
      <c r="AA104" s="1914"/>
      <c r="AB104" s="1866"/>
      <c r="AC104" s="1867"/>
      <c r="AD104" s="1841"/>
      <c r="AE104" s="1842"/>
      <c r="AF104" s="1843"/>
      <c r="AG104" s="1868"/>
      <c r="AH104" s="1869"/>
      <c r="AI104" s="1906">
        <f>AH103/F104</f>
        <v>0.69155999999999995</v>
      </c>
      <c r="AJ104" s="1871"/>
      <c r="AK104" s="1871"/>
      <c r="AL104" s="1871"/>
      <c r="AM104" s="1872"/>
      <c r="AN104" s="1849">
        <f>1.8*F104</f>
        <v>900</v>
      </c>
      <c r="AO104" s="1850">
        <f>0.5*F104</f>
        <v>250</v>
      </c>
      <c r="AP104" s="1923" t="s">
        <v>678</v>
      </c>
      <c r="AQ104" s="1850"/>
      <c r="AR104" s="1926">
        <v>900</v>
      </c>
      <c r="AS104" s="1849">
        <f>LOOKUP(AR104,'FUSE DATA'!X$8:X$43,'FUSE DATA'!Y$8:Y$43)</f>
        <v>4708</v>
      </c>
      <c r="AT104" s="1852">
        <f>AR104/F104</f>
        <v>1.8</v>
      </c>
      <c r="AU104" s="1852" t="s">
        <v>508</v>
      </c>
      <c r="AX104" s="1853"/>
      <c r="AY104" s="1874"/>
    </row>
    <row r="106" spans="1:51" s="1873" customFormat="1" ht="18.75">
      <c r="A106" s="1820">
        <v>3</v>
      </c>
      <c r="B106" s="1855">
        <f>IF(A106=3,6,IF(A106=1,4,IF(A106="bd",1,IF(A106="fwd",1,"Circuit Type"))))</f>
        <v>6</v>
      </c>
      <c r="C106" s="1822">
        <v>3</v>
      </c>
      <c r="D106" s="1822">
        <f>B106/C106</f>
        <v>2</v>
      </c>
      <c r="E106" s="1822">
        <v>1</v>
      </c>
      <c r="F106" s="1824">
        <f>IF(A106=3,3*G106,IF(A106=1,2*G106,IF(A106="bd",1*G106,IF(A106="fwd",1,"Error"))))</f>
        <v>645.807530170154</v>
      </c>
      <c r="G106" s="1856">
        <f>(-AE106+SQRT(AG106))/2/AD106</f>
        <v>215.26917672338467</v>
      </c>
      <c r="H106" s="1857">
        <f>IF(A106=3,SQRT(3),IF(A106=1,SQRT(2),1))</f>
        <v>1.7320508075688772</v>
      </c>
      <c r="I106" s="1858">
        <f>H106*G106</f>
        <v>372.85715138842579</v>
      </c>
      <c r="J106" s="1859" t="s">
        <v>548</v>
      </c>
      <c r="K106" s="1860" t="s">
        <v>470</v>
      </c>
      <c r="L106" s="1861">
        <v>500</v>
      </c>
      <c r="M106" s="1861">
        <v>900</v>
      </c>
      <c r="N106" s="1861">
        <v>16300</v>
      </c>
      <c r="O106" s="1862">
        <v>125</v>
      </c>
      <c r="P106" s="1863">
        <v>0.81</v>
      </c>
      <c r="Q106" s="1863">
        <v>0.32</v>
      </c>
      <c r="R106" s="1863">
        <v>6.5000000000000002E-2</v>
      </c>
      <c r="S106" s="1864">
        <v>0.02</v>
      </c>
      <c r="T106" s="1834">
        <v>15</v>
      </c>
      <c r="U106" s="1835" t="s">
        <v>645</v>
      </c>
      <c r="V106" s="1836">
        <f>IF(E106=1,IF(U106="N",LOOKUP(T106,'HS250-DATA'!C$7:C$10,'HS250-DATA'!D$7:D$10),IF(U106="Y",LOOKUP(T106,'HS250-DATA'!C$22:C$25,'HS250-DATA'!D$22:D$25),"FAN?")),IF(U106="N",LOOKUP(T106,'HS250-DATA'!C$14:C$17,'HS250-DATA'!D$14:D$17),IF(U106="Y",LOOKUP(T106,'HS250-DATA'!C$29:C$32,'HS250-DATA'!D$29:D$32),"FAN?")))</f>
        <v>0.106</v>
      </c>
      <c r="W106" s="1865">
        <f>(G106*H106)^2*Q106*10^-3+G106*P106</f>
        <v>218.85521885521888</v>
      </c>
      <c r="X106" s="1865">
        <f>D106*W106</f>
        <v>437.71043771043776</v>
      </c>
      <c r="Y106" s="1865">
        <f>IF(A106=3,W106*6,IF(A106=1,W106*4,W106))</f>
        <v>1313.1313131313132</v>
      </c>
      <c r="Z106" s="1838">
        <f>O106-5</f>
        <v>120</v>
      </c>
      <c r="AA106" s="1914">
        <f>D106*W106*V106+AB106</f>
        <v>101.39730639730641</v>
      </c>
      <c r="AB106" s="1839">
        <v>55</v>
      </c>
      <c r="AC106" s="1867"/>
      <c r="AD106" s="1841">
        <f>Q106*10^-3*H106^2</f>
        <v>9.5999999999999992E-4</v>
      </c>
      <c r="AE106" s="1842">
        <f>P106</f>
        <v>0.81</v>
      </c>
      <c r="AF106" s="1843">
        <f>(AB106-Z106)/(R106+S106+D106*V106)</f>
        <v>-218.85521885521888</v>
      </c>
      <c r="AG106" s="1868">
        <f>AE106^2-4*AD106*AF106</f>
        <v>1.4965040404040404</v>
      </c>
      <c r="AH106" s="1869">
        <f>SUM(AJ106:AL106)</f>
        <v>525.78</v>
      </c>
      <c r="AI106" s="1870"/>
      <c r="AJ106" s="1871">
        <f>C106*LOOKUP(T106,'HS250-DATA'!C$7:C$10,'HS250-DATA'!F$7:F$10)</f>
        <v>84.78</v>
      </c>
      <c r="AK106" s="1871">
        <f>IF(U106="Y",C106*12,0)</f>
        <v>36</v>
      </c>
      <c r="AL106" s="1871">
        <f>C106*E106*VLOOKUP(K106,'SCR-Diode DATA'!D$7:M$43,10,FALSE)</f>
        <v>405</v>
      </c>
      <c r="AM106" s="1872">
        <f>AH106/F106</f>
        <v>0.81414349544897724</v>
      </c>
      <c r="AN106" s="1849"/>
      <c r="AO106" s="1850">
        <f>0.5*F106</f>
        <v>322.903765085077</v>
      </c>
      <c r="AP106" s="1923" t="s">
        <v>680</v>
      </c>
      <c r="AQ106" s="1850">
        <f>1.8*F106</f>
        <v>1162.4535543062773</v>
      </c>
      <c r="AR106" s="1849">
        <v>1200</v>
      </c>
      <c r="AS106" s="1849">
        <f>LOOKUP(AR106,'FUSE DATA'!X$8:X$43,'FUSE DATA'!Y$8:Y$43)</f>
        <v>7286</v>
      </c>
      <c r="AT106" s="1852">
        <f>AR106/F106</f>
        <v>1.8581387548761321</v>
      </c>
      <c r="AU106" s="1924" t="s">
        <v>508</v>
      </c>
      <c r="AX106" s="1853">
        <v>500</v>
      </c>
      <c r="AY106" s="1874">
        <v>2839</v>
      </c>
    </row>
    <row r="107" spans="1:51" s="1873" customFormat="1" ht="18.75">
      <c r="A107" s="1820"/>
      <c r="B107" s="1855"/>
      <c r="C107" s="1822"/>
      <c r="D107" s="1822"/>
      <c r="E107" s="1865"/>
      <c r="F107" s="1824">
        <v>700</v>
      </c>
      <c r="G107" s="1856"/>
      <c r="H107" s="1857"/>
      <c r="I107" s="1858"/>
      <c r="J107" s="1859"/>
      <c r="K107" s="1860"/>
      <c r="L107" s="1861"/>
      <c r="M107" s="1861"/>
      <c r="N107" s="1861"/>
      <c r="O107" s="1862"/>
      <c r="P107" s="1863"/>
      <c r="Q107" s="1863"/>
      <c r="R107" s="1863"/>
      <c r="S107" s="1864"/>
      <c r="T107" s="1834"/>
      <c r="U107" s="1835"/>
      <c r="V107" s="1836"/>
      <c r="W107" s="1865"/>
      <c r="X107" s="1865"/>
      <c r="Y107" s="1865"/>
      <c r="Z107" s="1838"/>
      <c r="AA107" s="1914"/>
      <c r="AB107" s="1866"/>
      <c r="AC107" s="1867"/>
      <c r="AD107" s="1841"/>
      <c r="AE107" s="1842"/>
      <c r="AF107" s="1843"/>
      <c r="AG107" s="1868"/>
      <c r="AH107" s="1869"/>
      <c r="AI107" s="1906">
        <f>AH106/F107</f>
        <v>0.75111428571428562</v>
      </c>
      <c r="AJ107" s="1871"/>
      <c r="AK107" s="1871"/>
      <c r="AL107" s="1871"/>
      <c r="AM107" s="1872"/>
      <c r="AN107" s="1849">
        <f>1.8*F107</f>
        <v>1260</v>
      </c>
      <c r="AO107" s="1850">
        <f>0.5*F107</f>
        <v>350</v>
      </c>
      <c r="AP107" s="1923" t="s">
        <v>680</v>
      </c>
      <c r="AQ107" s="1850"/>
      <c r="AR107" s="1926">
        <v>1500</v>
      </c>
      <c r="AS107" s="1849">
        <f>LOOKUP(AR107,'FUSE DATA'!X$8:X$43,'FUSE DATA'!Y$8:Y$43)</f>
        <v>10000</v>
      </c>
      <c r="AT107" s="1852">
        <f>AR107/F107</f>
        <v>2.1428571428571428</v>
      </c>
      <c r="AU107" s="1924" t="s">
        <v>508</v>
      </c>
      <c r="AV107" s="1925" t="s">
        <v>686</v>
      </c>
      <c r="AX107" s="1853"/>
      <c r="AY107" s="1874"/>
    </row>
    <row r="108" spans="1:51" ht="18.75">
      <c r="A108" s="1598"/>
      <c r="B108" s="1533"/>
      <c r="C108" s="1600"/>
      <c r="D108" s="1575"/>
      <c r="E108" s="1575"/>
      <c r="F108" s="1611"/>
      <c r="G108" s="1582"/>
      <c r="H108" s="1583"/>
      <c r="I108" s="1594"/>
      <c r="J108" s="1680"/>
      <c r="K108" s="1418"/>
      <c r="L108" s="1419"/>
      <c r="M108" s="1419"/>
      <c r="N108" s="1419"/>
      <c r="O108" s="1412"/>
      <c r="P108" s="1416"/>
      <c r="Q108" s="1416"/>
      <c r="R108" s="1416"/>
      <c r="S108" s="1687"/>
      <c r="T108" s="1624"/>
      <c r="U108" s="1616"/>
      <c r="V108" s="1622"/>
      <c r="W108" s="1602"/>
      <c r="X108" s="1602"/>
      <c r="Y108" s="1602"/>
      <c r="Z108" s="1579"/>
      <c r="AA108" s="1913"/>
      <c r="AB108" s="1588"/>
      <c r="AC108" s="1570"/>
      <c r="AD108" s="1754"/>
      <c r="AE108" s="1634"/>
      <c r="AF108" s="1635"/>
      <c r="AG108" s="1646"/>
      <c r="AH108" s="1742"/>
      <c r="AI108" s="1607"/>
      <c r="AJ108" s="1607"/>
      <c r="AK108" s="1607"/>
      <c r="AL108" s="1733"/>
      <c r="AM108" s="1743"/>
      <c r="AQ108" s="24"/>
      <c r="AX108" s="1804">
        <v>550</v>
      </c>
      <c r="AY108" s="1802">
        <v>3110</v>
      </c>
    </row>
    <row r="109" spans="1:51" s="1873" customFormat="1" ht="18.75">
      <c r="A109" s="1820">
        <v>3</v>
      </c>
      <c r="B109" s="1855">
        <f>IF(A109=3,6,IF(A109=1,4,IF(A109="bd",1,IF(A109="fwd",1,"Circuit Type"))))</f>
        <v>6</v>
      </c>
      <c r="C109" s="1822">
        <v>3</v>
      </c>
      <c r="D109" s="1822">
        <f>B109/C109</f>
        <v>2</v>
      </c>
      <c r="E109" s="1822">
        <v>1</v>
      </c>
      <c r="F109" s="1824">
        <f>IF(A109=3,3*G109,IF(A109=1,2*G109,IF(A109="bd",1*G109,IF(A109="fwd",1,"Error"))))</f>
        <v>796.91355576894216</v>
      </c>
      <c r="G109" s="1856">
        <f>(-AE109+SQRT(AG109))/2/AD109</f>
        <v>265.6378519229807</v>
      </c>
      <c r="H109" s="1857">
        <f>IF(A109=3,SQRT(3),IF(A109=1,SQRT(2),1))</f>
        <v>1.7320508075688772</v>
      </c>
      <c r="I109" s="1858">
        <f>H109*G109</f>
        <v>460.09825594406055</v>
      </c>
      <c r="J109" s="1859" t="s">
        <v>548</v>
      </c>
      <c r="K109" s="1860" t="s">
        <v>471</v>
      </c>
      <c r="L109" s="1861">
        <v>700</v>
      </c>
      <c r="M109" s="1861">
        <v>1100</v>
      </c>
      <c r="N109" s="1861">
        <v>36500</v>
      </c>
      <c r="O109" s="1862">
        <v>125</v>
      </c>
      <c r="P109" s="1863">
        <v>0.70299999999999996</v>
      </c>
      <c r="Q109" s="1863">
        <v>0.184</v>
      </c>
      <c r="R109" s="1863">
        <v>5.8000000000000003E-2</v>
      </c>
      <c r="S109" s="1864">
        <v>1.7999999999999999E-2</v>
      </c>
      <c r="T109" s="1834">
        <v>15</v>
      </c>
      <c r="U109" s="1835" t="s">
        <v>645</v>
      </c>
      <c r="V109" s="1836">
        <f>IF(E109=1,IF(U109="N",LOOKUP(T109,'HS250-DATA'!C$7:C$10,'HS250-DATA'!D$7:D$10),IF(U109="Y",LOOKUP(T109,'HS250-DATA'!C$22:C$25,'HS250-DATA'!D$22:D$25),"FAN?")),IF(U109="N",LOOKUP(T109,'HS250-DATA'!C$14:C$17,'HS250-DATA'!D$14:D$17),IF(U109="Y",LOOKUP(T109,'HS250-DATA'!C$29:C$32,'HS250-DATA'!D$29:D$32),"FAN?")))</f>
        <v>0.106</v>
      </c>
      <c r="W109" s="1865">
        <f>(G109*H109)^2*Q109*10^-3+G109*P109</f>
        <v>225.6944444444444</v>
      </c>
      <c r="X109" s="1865">
        <f>D109*W109</f>
        <v>451.3888888888888</v>
      </c>
      <c r="Y109" s="1865">
        <f>IF(A109=3,W109*6,IF(A109=1,W109*4,W109))</f>
        <v>1354.1666666666665</v>
      </c>
      <c r="Z109" s="1838">
        <f>O109-5</f>
        <v>120</v>
      </c>
      <c r="AA109" s="1914">
        <f>D109*W109*V109+AB109</f>
        <v>102.84722222222221</v>
      </c>
      <c r="AB109" s="1839">
        <v>55</v>
      </c>
      <c r="AC109" s="1867"/>
      <c r="AD109" s="1841">
        <f>Q109*10^-3*H109^2</f>
        <v>5.5199999999999986E-4</v>
      </c>
      <c r="AE109" s="1842">
        <f>P109</f>
        <v>0.70299999999999996</v>
      </c>
      <c r="AF109" s="1843">
        <f>(AB109-Z109)/(R109+S109+D109*V109)</f>
        <v>-225.69444444444446</v>
      </c>
      <c r="AG109" s="1868">
        <f>AE109^2-4*AD109*AF109</f>
        <v>0.99254233333333319</v>
      </c>
      <c r="AH109" s="1879">
        <f>SUM(AJ109:AL109)</f>
        <v>1095.78</v>
      </c>
      <c r="AI109" s="1870"/>
      <c r="AJ109" s="1871">
        <f>C109*LOOKUP(T109,'HS250-DATA'!C$7:C$10,'HS250-DATA'!F$7:F$10)</f>
        <v>84.78</v>
      </c>
      <c r="AK109" s="1871">
        <f>IF(U109="Y",C109*12,0)</f>
        <v>36</v>
      </c>
      <c r="AL109" s="1871">
        <f>C109*E109*VLOOKUP(K109,'SCR-Diode DATA'!D$7:M$43,10,FALSE)</f>
        <v>975</v>
      </c>
      <c r="AM109" s="1872">
        <f>AH109/F109</f>
        <v>1.3750299415382405</v>
      </c>
      <c r="AN109" s="1849"/>
      <c r="AO109" s="1850">
        <f>0.5*F109</f>
        <v>398.45677788447108</v>
      </c>
      <c r="AP109" s="1852" t="s">
        <v>508</v>
      </c>
      <c r="AQ109" s="1850">
        <f>1.8*F109</f>
        <v>1434.4444003840958</v>
      </c>
      <c r="AR109" s="1849">
        <v>1500</v>
      </c>
      <c r="AS109" s="1849">
        <f>LOOKUP(AR109,'FUSE DATA'!X$8:X$43,'FUSE DATA'!Y$8:Y$43)</f>
        <v>10000</v>
      </c>
      <c r="AT109" s="1852">
        <f>AR109/F109</f>
        <v>1.882261870363906</v>
      </c>
      <c r="AU109" s="1852"/>
      <c r="AX109" s="1853">
        <v>700</v>
      </c>
      <c r="AY109" s="1874">
        <v>3677</v>
      </c>
    </row>
    <row r="110" spans="1:51" s="1873" customFormat="1" ht="18.75">
      <c r="A110" s="1820"/>
      <c r="B110" s="1855"/>
      <c r="C110" s="1822"/>
      <c r="D110" s="1822"/>
      <c r="E110" s="1865"/>
      <c r="F110" s="1824">
        <v>850</v>
      </c>
      <c r="G110" s="1856"/>
      <c r="H110" s="1857"/>
      <c r="I110" s="1858"/>
      <c r="J110" s="1859"/>
      <c r="K110" s="1860"/>
      <c r="L110" s="1861"/>
      <c r="M110" s="1861"/>
      <c r="N110" s="1861"/>
      <c r="O110" s="1862"/>
      <c r="P110" s="1863"/>
      <c r="Q110" s="1863"/>
      <c r="R110" s="1863"/>
      <c r="S110" s="1864"/>
      <c r="T110" s="1834"/>
      <c r="U110" s="1835"/>
      <c r="V110" s="1836"/>
      <c r="W110" s="1865"/>
      <c r="X110" s="1865"/>
      <c r="Y110" s="1865"/>
      <c r="Z110" s="1838"/>
      <c r="AA110" s="1914"/>
      <c r="AB110" s="1866"/>
      <c r="AC110" s="1867"/>
      <c r="AD110" s="1841"/>
      <c r="AE110" s="1842"/>
      <c r="AF110" s="1843"/>
      <c r="AG110" s="1868"/>
      <c r="AH110" s="1869"/>
      <c r="AI110" s="1906">
        <f>AH109/F110</f>
        <v>1.2891529411764706</v>
      </c>
      <c r="AJ110" s="1871"/>
      <c r="AK110" s="1871"/>
      <c r="AL110" s="1871"/>
      <c r="AM110" s="1872"/>
      <c r="AN110" s="1849">
        <f>1.8*F110</f>
        <v>1530</v>
      </c>
      <c r="AO110" s="1850">
        <f>0.5*F110</f>
        <v>425</v>
      </c>
      <c r="AP110" s="1852" t="s">
        <v>508</v>
      </c>
      <c r="AQ110" s="1850"/>
      <c r="AR110" s="1926">
        <v>1600</v>
      </c>
      <c r="AS110" s="1849">
        <v>10900</v>
      </c>
      <c r="AT110" s="1852">
        <f>AR110/F110</f>
        <v>1.8823529411764706</v>
      </c>
      <c r="AU110" s="1852"/>
      <c r="AX110" s="1853"/>
      <c r="AY110" s="1874"/>
    </row>
    <row r="111" spans="1:51" ht="18.75">
      <c r="A111" s="1598"/>
      <c r="B111" s="1533"/>
      <c r="C111" s="1600"/>
      <c r="D111" s="1575"/>
      <c r="E111" s="1575"/>
      <c r="F111" s="1611"/>
      <c r="G111" s="1582"/>
      <c r="H111" s="1583"/>
      <c r="I111" s="1594"/>
      <c r="J111" s="1680"/>
      <c r="K111" s="1418"/>
      <c r="L111" s="1419"/>
      <c r="M111" s="1419"/>
      <c r="N111" s="1419"/>
      <c r="O111" s="1412"/>
      <c r="P111" s="1416"/>
      <c r="Q111" s="1416"/>
      <c r="R111" s="1416"/>
      <c r="S111" s="1687"/>
      <c r="T111" s="1624"/>
      <c r="U111" s="1616"/>
      <c r="V111" s="1622"/>
      <c r="W111" s="1602"/>
      <c r="X111" s="1602"/>
      <c r="Y111" s="1602"/>
      <c r="Z111" s="1579"/>
      <c r="AA111" s="1913"/>
      <c r="AB111" s="1588"/>
      <c r="AC111" s="1570"/>
      <c r="AD111" s="1754"/>
      <c r="AE111" s="1634"/>
      <c r="AF111" s="1635"/>
      <c r="AG111" s="1646"/>
      <c r="AH111" s="1742"/>
      <c r="AI111" s="1607"/>
      <c r="AJ111" s="1607"/>
      <c r="AK111" s="1607"/>
      <c r="AL111" s="1733"/>
      <c r="AM111" s="1743"/>
      <c r="AQ111" s="24"/>
      <c r="AX111" s="1804">
        <v>800</v>
      </c>
      <c r="AY111" s="1802">
        <v>4196</v>
      </c>
    </row>
    <row r="112" spans="1:51" s="1873" customFormat="1" ht="18.75">
      <c r="A112" s="1820">
        <v>3</v>
      </c>
      <c r="B112" s="1855">
        <f>IF(A112=3,6,IF(A112=1,4,IF(A112="bd",1,IF(A112="fwd",1,"Circuit Type"))))</f>
        <v>6</v>
      </c>
      <c r="C112" s="1822">
        <v>6</v>
      </c>
      <c r="D112" s="1822">
        <f>B112/C112</f>
        <v>1</v>
      </c>
      <c r="E112" s="1822">
        <v>1</v>
      </c>
      <c r="F112" s="1824">
        <f>IF(A112=3,3*G112,IF(A112=1,2*G112,IF(A112="bd",1*G112,IF(A112="fwd",1,"Error"))))</f>
        <v>1635.4135811141527</v>
      </c>
      <c r="G112" s="1856">
        <f>(-AE112+SQRT(AG112))/2/AD112</f>
        <v>545.13786037138425</v>
      </c>
      <c r="H112" s="1857">
        <f>IF(A112=3,SQRT(3),IF(A112=1,SQRT(2),1))</f>
        <v>1.7320508075688772</v>
      </c>
      <c r="I112" s="1858">
        <f>H112*G112</f>
        <v>944.20647129262591</v>
      </c>
      <c r="J112" s="1859" t="s">
        <v>558</v>
      </c>
      <c r="K112" s="1860" t="s">
        <v>472</v>
      </c>
      <c r="L112" s="1861">
        <v>1500</v>
      </c>
      <c r="M112" s="1861">
        <v>2355</v>
      </c>
      <c r="N112" s="1861">
        <v>62000</v>
      </c>
      <c r="O112" s="1862">
        <v>125</v>
      </c>
      <c r="P112" s="1863">
        <v>0.69099999999999995</v>
      </c>
      <c r="Q112" s="1862">
        <v>0.10199999999999999</v>
      </c>
      <c r="R112" s="1862">
        <v>2.4E-2</v>
      </c>
      <c r="S112" s="1864">
        <v>8.9999999999999993E-3</v>
      </c>
      <c r="T112" s="1834">
        <v>15</v>
      </c>
      <c r="U112" s="1835" t="s">
        <v>645</v>
      </c>
      <c r="V112" s="1836">
        <f>IF(E112=1,IF(U112="N",LOOKUP(T112,'HS250-DATA'!C$7:C$10,'HS250-DATA'!D$7:D$10),IF(U112="Y",LOOKUP(T112,'HS250-DATA'!C$22:C$25,'HS250-DATA'!D$22:D$25),"FAN?")),IF(U112="N",LOOKUP(T112,'HS250-DATA'!C$14:C$17,'HS250-DATA'!D$14:D$17),IF(U112="Y",LOOKUP(T112,'HS250-DATA'!C$29:C$32,'HS250-DATA'!D$29:D$32),"FAN?")))</f>
        <v>0.106</v>
      </c>
      <c r="W112" s="1865">
        <f>(G112*H112)^2*Q112*10^-3+G112*P112</f>
        <v>467.62589928057548</v>
      </c>
      <c r="X112" s="1865">
        <f>D112*W112</f>
        <v>467.62589928057548</v>
      </c>
      <c r="Y112" s="1865">
        <f>IF(A112=3,W112*6,IF(A112=1,W112*4,W112))</f>
        <v>2805.7553956834527</v>
      </c>
      <c r="Z112" s="1838">
        <f>O112-5</f>
        <v>120</v>
      </c>
      <c r="AA112" s="1914">
        <f>D112*W112*V112+AB112</f>
        <v>104.568345323741</v>
      </c>
      <c r="AB112" s="1839">
        <v>55</v>
      </c>
      <c r="AC112" s="1867"/>
      <c r="AD112" s="1841">
        <f>Q112*10^-3*H112^2</f>
        <v>3.0599999999999996E-4</v>
      </c>
      <c r="AE112" s="1842">
        <f>P112</f>
        <v>0.69099999999999995</v>
      </c>
      <c r="AF112" s="1843">
        <f>(AB112-Z112)/(R112+S112+D112*V112)</f>
        <v>-467.62589928057548</v>
      </c>
      <c r="AG112" s="1868">
        <f>AE112^2-4*AD112*AF112</f>
        <v>1.0498551007194243</v>
      </c>
      <c r="AH112" s="1879">
        <f>SUM(AJ112:AL112)</f>
        <v>1381.56</v>
      </c>
      <c r="AI112" s="1870"/>
      <c r="AJ112" s="1871">
        <f>C112*LOOKUP(T112,'HS250-DATA'!C$7:C$10,'HS250-DATA'!F$7:F$10)</f>
        <v>169.56</v>
      </c>
      <c r="AK112" s="1871">
        <f>IF(U112="Y",C112*12,0)</f>
        <v>72</v>
      </c>
      <c r="AL112" s="1907">
        <f>C112*E112*VLOOKUP(K112,'SCR-Diode DATA'!D$7:M$43,10,FALSE)</f>
        <v>1140</v>
      </c>
      <c r="AM112" s="1872">
        <f>AH112/F112</f>
        <v>0.84477713524843612</v>
      </c>
      <c r="AN112" s="1849"/>
      <c r="AO112" s="1850">
        <f>0.5*F112</f>
        <v>817.70679055707637</v>
      </c>
      <c r="AP112" s="1850">
        <f>F112/3</f>
        <v>545.13786037138425</v>
      </c>
      <c r="AQ112" s="1850">
        <f>1.8*F112</f>
        <v>2943.7444460054749</v>
      </c>
      <c r="AR112" s="1849">
        <v>3000</v>
      </c>
      <c r="AS112" s="1849">
        <f>LOOKUP(AR112,'FUSE DATA'!X$8:X$43,'FUSE DATA'!Y$8:Y$43)</f>
        <v>19339</v>
      </c>
      <c r="AT112" s="1852">
        <f>AR112/F112</f>
        <v>1.8343983654313303</v>
      </c>
      <c r="AU112" s="1852"/>
      <c r="AX112" s="1853">
        <v>1500</v>
      </c>
      <c r="AY112" s="1874">
        <v>10000</v>
      </c>
    </row>
    <row r="113" spans="1:51" s="1873" customFormat="1" ht="18.75">
      <c r="A113" s="1880"/>
      <c r="B113" s="1881"/>
      <c r="C113" s="1882"/>
      <c r="D113" s="1882"/>
      <c r="E113" s="1865"/>
      <c r="F113" s="1883">
        <v>1750</v>
      </c>
      <c r="G113" s="1884"/>
      <c r="H113" s="1885"/>
      <c r="I113" s="1886"/>
      <c r="J113" s="1887"/>
      <c r="K113" s="1888"/>
      <c r="L113" s="1889"/>
      <c r="M113" s="1889"/>
      <c r="N113" s="1889"/>
      <c r="O113" s="1890"/>
      <c r="P113" s="1891"/>
      <c r="Q113" s="1890"/>
      <c r="R113" s="1890"/>
      <c r="S113" s="1892"/>
      <c r="T113" s="1893"/>
      <c r="U113" s="1894"/>
      <c r="V113" s="1895"/>
      <c r="W113" s="1896"/>
      <c r="X113" s="1896"/>
      <c r="Y113" s="1896"/>
      <c r="Z113" s="1897"/>
      <c r="AA113" s="1916"/>
      <c r="AB113" s="1898"/>
      <c r="AC113" s="1867"/>
      <c r="AD113" s="1899"/>
      <c r="AE113" s="1900"/>
      <c r="AF113" s="1901"/>
      <c r="AG113" s="1902"/>
      <c r="AH113" s="1903"/>
      <c r="AI113" s="1906">
        <f>AH112/F113</f>
        <v>0.78946285714285713</v>
      </c>
      <c r="AJ113" s="1904"/>
      <c r="AK113" s="1904"/>
      <c r="AL113" s="1904"/>
      <c r="AM113" s="1905"/>
      <c r="AN113" s="1849">
        <f>1.8*F113</f>
        <v>3150</v>
      </c>
      <c r="AO113" s="1850">
        <f>0.5*F113</f>
        <v>875</v>
      </c>
      <c r="AP113" s="1850"/>
      <c r="AQ113" s="1850"/>
      <c r="AR113" s="1926">
        <v>3500</v>
      </c>
      <c r="AS113" s="1849">
        <v>23280</v>
      </c>
      <c r="AT113" s="1852">
        <f>AR113/F113</f>
        <v>2</v>
      </c>
      <c r="AU113" s="1852"/>
      <c r="AX113" s="1853"/>
      <c r="AY113" s="1874"/>
    </row>
    <row r="118" spans="1:51" ht="18">
      <c r="A118" s="650" t="s">
        <v>664</v>
      </c>
    </row>
    <row r="120" spans="1:51" s="1873" customFormat="1" ht="18.75">
      <c r="A120" s="1820">
        <v>1</v>
      </c>
      <c r="B120" s="1855">
        <f>IF(A120=3,6,IF(A120=1,4,IF(A120="bd",1,IF(A120="fwd",1,"Circuit Type"))))</f>
        <v>4</v>
      </c>
      <c r="C120" s="1822">
        <v>1</v>
      </c>
      <c r="D120" s="1822">
        <f>B120/C120</f>
        <v>4</v>
      </c>
      <c r="E120" s="1822">
        <v>2</v>
      </c>
      <c r="F120" s="1824">
        <f>IF(A120=3,3*G120,IF(A120=1,2*G120,IF(A120="bd",1*G120,IF(A120="fwd",1,"Error"))))</f>
        <v>189.20457965135068</v>
      </c>
      <c r="G120" s="1856">
        <f>(-AE120+SQRT(AG120))/2/AD120</f>
        <v>94.602289825675342</v>
      </c>
      <c r="H120" s="1857">
        <f>IF(A120=3,SQRT(3),IF(A120=1,SQRT(2),1))</f>
        <v>1.4142135623730951</v>
      </c>
      <c r="I120" s="1858">
        <f>H120*G120</f>
        <v>133.78784130302034</v>
      </c>
      <c r="J120" s="1859" t="s">
        <v>552</v>
      </c>
      <c r="K120" s="1860" t="s">
        <v>555</v>
      </c>
      <c r="L120" s="1861">
        <v>160</v>
      </c>
      <c r="M120" s="1861">
        <v>250</v>
      </c>
      <c r="N120" s="1861">
        <v>4100</v>
      </c>
      <c r="O120" s="1862">
        <v>125</v>
      </c>
      <c r="P120" s="1863">
        <v>0.85</v>
      </c>
      <c r="Q120" s="1863">
        <v>1.5</v>
      </c>
      <c r="R120" s="1863">
        <v>0.17</v>
      </c>
      <c r="S120" s="1864">
        <v>0.1</v>
      </c>
      <c r="T120" s="1834">
        <v>13</v>
      </c>
      <c r="U120" s="1835" t="s">
        <v>645</v>
      </c>
      <c r="V120" s="1836">
        <f>IF(E120=1,IF(U120="N",LOOKUP(T120,'HS250-DATA'!C$7:C$10,'HS250-DATA'!D$7:D$10),IF(U120="Y",LOOKUP(T120,'HS250-DATA'!C$22:C$25,'HS250-DATA'!D$22:D$25),"FAN?")),IF(U120="N",LOOKUP(T120,'HS250-DATA'!C$14:C$17,'HS250-DATA'!D$14:D$17),IF(U120="Y",LOOKUP(T120,'HS250-DATA'!C$29:C$32,'HS250-DATA'!D$29:D$32),"FAN?")))</f>
        <v>8.4000000000000005E-2</v>
      </c>
      <c r="W120" s="1865">
        <f>(G120*H120)^2*Q120*10^-3+G120*P120</f>
        <v>107.26072607260727</v>
      </c>
      <c r="X120" s="1865">
        <f>D120*W120</f>
        <v>429.04290429042908</v>
      </c>
      <c r="Y120" s="1865">
        <f>IF(A120=3,W120*6,IF(A120=1,W120*4,W120))</f>
        <v>429.04290429042908</v>
      </c>
      <c r="Z120" s="1838">
        <f>O120-5</f>
        <v>120</v>
      </c>
      <c r="AA120" s="1914">
        <f>D120*W120*V120+AB120</f>
        <v>91.03960396039605</v>
      </c>
      <c r="AB120" s="1866">
        <v>55</v>
      </c>
      <c r="AC120" s="1867"/>
      <c r="AD120" s="1841">
        <f>Q120*10^-3*H120^2</f>
        <v>3.0000000000000009E-3</v>
      </c>
      <c r="AE120" s="1842">
        <f>P120</f>
        <v>0.85</v>
      </c>
      <c r="AF120" s="1843">
        <f>(AB120-Z120)/(R120+S120+D120*V120)</f>
        <v>-107.26072607260724</v>
      </c>
      <c r="AG120" s="1868">
        <f>AE120^2-4*AD120*AF120</f>
        <v>2.0096287128712875</v>
      </c>
      <c r="AH120" s="1869">
        <f>SUM(AJ120:AL120)</f>
        <v>108.55</v>
      </c>
      <c r="AI120" s="1870"/>
      <c r="AJ120" s="1871">
        <f>C120*LOOKUP(T120,'HS250-DATA'!C$7:C$10,'HS250-DATA'!F$7:F$10)</f>
        <v>24.55</v>
      </c>
      <c r="AK120" s="1871">
        <f>IF(U120="Y",C120*12,0)</f>
        <v>12</v>
      </c>
      <c r="AL120" s="1871">
        <f>C120*E120*VLOOKUP(K120,'SCR-Diode DATA'!D$7:M$43,10,FALSE)</f>
        <v>72</v>
      </c>
      <c r="AM120" s="1872">
        <f>AH120/F120</f>
        <v>0.57371761402406984</v>
      </c>
      <c r="AN120" s="1849"/>
      <c r="AO120" s="1850">
        <f>0.5*F120</f>
        <v>94.602289825675342</v>
      </c>
      <c r="AP120" s="1851" t="s">
        <v>569</v>
      </c>
      <c r="AQ120" s="1850">
        <f>1.8*F120</f>
        <v>340.56824337243125</v>
      </c>
      <c r="AR120" s="1849">
        <v>400</v>
      </c>
      <c r="AS120" s="1849">
        <f>LOOKUP(AR120,'FUSE DATA'!X$8:X$43,'FUSE DATA'!Y$8:Y$43)</f>
        <v>1984</v>
      </c>
      <c r="AT120" s="1852">
        <f>AR120/F120</f>
        <v>2.1141137320094701</v>
      </c>
      <c r="AU120" s="1852" t="str">
        <f>IF(AS120&lt;1950,"F1892Sxxxx",IF(AS120&lt;3350,"CS61xx16B",IF(A120&lt;7340,"ND41xx35",IF(A120&lt;19000,"LS41xx60","PS41xx25"))))</f>
        <v>CS61xx16B</v>
      </c>
      <c r="AX120" s="1853">
        <v>175</v>
      </c>
      <c r="AY120" s="1874">
        <v>775</v>
      </c>
    </row>
    <row r="121" spans="1:51" s="1873" customFormat="1" ht="18.75">
      <c r="A121" s="1820"/>
      <c r="B121" s="1855"/>
      <c r="C121" s="1822"/>
      <c r="D121" s="1822"/>
      <c r="E121" s="1822"/>
      <c r="F121" s="1824">
        <v>200</v>
      </c>
      <c r="G121" s="1856"/>
      <c r="H121" s="1857"/>
      <c r="I121" s="1858"/>
      <c r="J121" s="1859"/>
      <c r="K121" s="1860"/>
      <c r="L121" s="1861"/>
      <c r="M121" s="1861"/>
      <c r="N121" s="1861"/>
      <c r="O121" s="1862"/>
      <c r="P121" s="1863"/>
      <c r="Q121" s="1863"/>
      <c r="R121" s="1863"/>
      <c r="S121" s="1864"/>
      <c r="T121" s="1834"/>
      <c r="U121" s="1835"/>
      <c r="V121" s="1836"/>
      <c r="W121" s="1865"/>
      <c r="X121" s="1865"/>
      <c r="Y121" s="1865"/>
      <c r="Z121" s="1838"/>
      <c r="AA121" s="1914"/>
      <c r="AB121" s="1866"/>
      <c r="AC121" s="1867"/>
      <c r="AD121" s="1841"/>
      <c r="AE121" s="1842"/>
      <c r="AF121" s="1843"/>
      <c r="AG121" s="1868"/>
      <c r="AH121" s="1869"/>
      <c r="AI121" s="1906">
        <f>AH120/F121</f>
        <v>0.54274999999999995</v>
      </c>
      <c r="AJ121" s="1871"/>
      <c r="AK121" s="1871"/>
      <c r="AL121" s="1871"/>
      <c r="AM121" s="1872"/>
      <c r="AN121" s="1849">
        <f>1.8*F121</f>
        <v>360</v>
      </c>
      <c r="AO121" s="1850">
        <f>0.5*F121</f>
        <v>100</v>
      </c>
      <c r="AP121" s="1875"/>
      <c r="AQ121" s="1850"/>
      <c r="AR121" s="1849"/>
      <c r="AS121" s="1849"/>
      <c r="AT121" s="1852"/>
      <c r="AU121" s="1852"/>
      <c r="AX121" s="1853"/>
      <c r="AY121" s="1874"/>
    </row>
    <row r="123" spans="1:51" s="1849" customFormat="1" ht="18.75">
      <c r="A123" s="1820">
        <v>1</v>
      </c>
      <c r="B123" s="1821">
        <f>IF(A123=3,6,IF(A123=1,4,IF(A123="bd",1,IF(A123="fwd",1,"Circuit Type"))))</f>
        <v>4</v>
      </c>
      <c r="C123" s="1822">
        <v>1</v>
      </c>
      <c r="D123" s="1823">
        <f>B123/C123</f>
        <v>4</v>
      </c>
      <c r="E123" s="1823">
        <v>2</v>
      </c>
      <c r="F123" s="1824">
        <f>IF(A123=3,3*G123,IF(A123=1,2*G123,IF(A123="bd",1*G123,IF(A123="fwd",1,"Error"))))</f>
        <v>250.8750448437242</v>
      </c>
      <c r="G123" s="1825">
        <f>(-AE123+SQRT(AG123))/2/AD123</f>
        <v>125.4375224218621</v>
      </c>
      <c r="H123" s="1826">
        <f>IF(A123=3,SQRT(3),IF(A123=1,SQRT(2),1))</f>
        <v>1.4142135623730951</v>
      </c>
      <c r="I123" s="1827">
        <f>H123*G123</f>
        <v>177.39544543947659</v>
      </c>
      <c r="J123" s="1828" t="s">
        <v>552</v>
      </c>
      <c r="K123" s="1829" t="s">
        <v>556</v>
      </c>
      <c r="L123" s="1830">
        <v>250</v>
      </c>
      <c r="M123" s="1830">
        <v>393</v>
      </c>
      <c r="N123" s="1830">
        <v>8800</v>
      </c>
      <c r="O123" s="1831">
        <v>125</v>
      </c>
      <c r="P123" s="1832">
        <v>0.81899999999999995</v>
      </c>
      <c r="Q123" s="1832">
        <v>0.58899999999999997</v>
      </c>
      <c r="R123" s="1832">
        <v>0.14000000000000001</v>
      </c>
      <c r="S123" s="1833">
        <v>0.06</v>
      </c>
      <c r="T123" s="1834">
        <v>13</v>
      </c>
      <c r="U123" s="1835" t="s">
        <v>645</v>
      </c>
      <c r="V123" s="1836">
        <f>IF(E123=1,IF(U123="N",LOOKUP(T123,'HS250-DATA'!C$7:C$10,'HS250-DATA'!D$7:D$10),IF(U123="Y",LOOKUP(T123,'HS250-DATA'!C$22:C$25,'HS250-DATA'!D$22:D$25),"FAN?")),IF(U123="N",LOOKUP(T123,'HS250-DATA'!C$14:C$17,'HS250-DATA'!D$14:D$17),IF(U123="Y",LOOKUP(T123,'HS250-DATA'!C$29:C$32,'HS250-DATA'!D$29:D$32),"FAN?")))</f>
        <v>8.4000000000000005E-2</v>
      </c>
      <c r="W123" s="1837">
        <f>(G123*H123)^2*Q123*10^-3+G123*P123</f>
        <v>121.26865671641787</v>
      </c>
      <c r="X123" s="1837">
        <f>D123*W123</f>
        <v>485.07462686567146</v>
      </c>
      <c r="Y123" s="1837">
        <f>IF(A123=3,W123*6,IF(A123=1,W123*4,W123))</f>
        <v>485.07462686567146</v>
      </c>
      <c r="Z123" s="1838">
        <f>O123-5</f>
        <v>120</v>
      </c>
      <c r="AA123" s="1912">
        <f>D123*W123*V123+AB123</f>
        <v>95.74626865671641</v>
      </c>
      <c r="AB123" s="1839">
        <v>55</v>
      </c>
      <c r="AC123" s="1840"/>
      <c r="AD123" s="1841">
        <f>Q123*10^-3*H123^2</f>
        <v>1.1780000000000002E-3</v>
      </c>
      <c r="AE123" s="1842">
        <f>P123</f>
        <v>0.81899999999999995</v>
      </c>
      <c r="AF123" s="1843">
        <f>(AB123-Z123)/(R123+S123+D123*V123)</f>
        <v>-121.26865671641791</v>
      </c>
      <c r="AG123" s="1844">
        <f>AE123^2-4*AD123*AF123</f>
        <v>1.2421789104477612</v>
      </c>
      <c r="AH123" s="1845">
        <f>SUM(AJ123:AL123)</f>
        <v>186.55</v>
      </c>
      <c r="AI123" s="1846"/>
      <c r="AJ123" s="1847">
        <f>C123*LOOKUP(T123,'HS250-DATA'!C$7:C$10,'HS250-DATA'!F$7:F$10)</f>
        <v>24.55</v>
      </c>
      <c r="AK123" s="1847">
        <f>IF(U123="Y",C123*12,0)</f>
        <v>12</v>
      </c>
      <c r="AL123" s="1847">
        <f>C123*E123*VLOOKUP(K123,'SCR-Diode DATA'!D$7:M$43,10,FALSE)</f>
        <v>150</v>
      </c>
      <c r="AM123" s="1848">
        <f>AH123/F123</f>
        <v>0.74359727615078763</v>
      </c>
      <c r="AO123" s="1850">
        <f>0.5*F123</f>
        <v>125.4375224218621</v>
      </c>
      <c r="AP123" s="1850">
        <f>F123/3</f>
        <v>83.62501494790807</v>
      </c>
      <c r="AQ123" s="1850">
        <f>1.8*F123</f>
        <v>451.57508071870359</v>
      </c>
      <c r="AR123" s="1849">
        <v>500</v>
      </c>
      <c r="AS123" s="1849">
        <f>LOOKUP(AR123,'FUSE DATA'!X$8:X$43,'FUSE DATA'!Y$8:Y$43)</f>
        <v>2839</v>
      </c>
      <c r="AT123" s="1852">
        <f>AR123/F123</f>
        <v>1.9930240582974741</v>
      </c>
      <c r="AU123" s="1852" t="str">
        <f>IF(AS123&lt;1950,"F1892Sxxxx",IF(AS123&lt;3350,"CS61xx16B",IF(A123&lt;7340,"ND41xx35",IF(A123&lt;19000,"LS41xx60","PS41xx25"))))</f>
        <v>CS61xx16B</v>
      </c>
      <c r="AX123" s="1853">
        <v>300</v>
      </c>
      <c r="AY123" s="1874">
        <v>1324</v>
      </c>
    </row>
    <row r="124" spans="1:51" s="1849" customFormat="1" ht="18.75">
      <c r="A124" s="1820"/>
      <c r="B124" s="1821"/>
      <c r="C124" s="1822"/>
      <c r="D124" s="1823"/>
      <c r="E124" s="1823"/>
      <c r="F124" s="1824">
        <v>250</v>
      </c>
      <c r="G124" s="1825"/>
      <c r="H124" s="1826"/>
      <c r="I124" s="1827"/>
      <c r="J124" s="1828"/>
      <c r="K124" s="1829"/>
      <c r="L124" s="1830"/>
      <c r="M124" s="1830"/>
      <c r="N124" s="1830"/>
      <c r="O124" s="1831"/>
      <c r="P124" s="1832"/>
      <c r="Q124" s="1832"/>
      <c r="R124" s="1832"/>
      <c r="S124" s="1833"/>
      <c r="T124" s="1834"/>
      <c r="U124" s="1835"/>
      <c r="V124" s="1836"/>
      <c r="W124" s="1837"/>
      <c r="X124" s="1837"/>
      <c r="Y124" s="1837"/>
      <c r="Z124" s="1838"/>
      <c r="AA124" s="1912"/>
      <c r="AB124" s="1839"/>
      <c r="AC124" s="1840"/>
      <c r="AD124" s="1841"/>
      <c r="AE124" s="1842"/>
      <c r="AF124" s="1843"/>
      <c r="AG124" s="1844"/>
      <c r="AH124" s="1845"/>
      <c r="AI124" s="1846"/>
      <c r="AJ124" s="1847"/>
      <c r="AK124" s="1847"/>
      <c r="AL124" s="1847"/>
      <c r="AM124" s="1848"/>
      <c r="AN124" s="1849">
        <f>1.8*F124</f>
        <v>450</v>
      </c>
      <c r="AO124" s="1850">
        <f>0.5*F124</f>
        <v>125</v>
      </c>
      <c r="AP124" s="1850"/>
      <c r="AQ124" s="1850"/>
      <c r="AT124" s="1852"/>
      <c r="AU124" s="1852"/>
      <c r="AX124" s="1853"/>
      <c r="AY124" s="1874"/>
    </row>
    <row r="126" spans="1:51" s="1873" customFormat="1" ht="18.75">
      <c r="A126" s="1820">
        <v>1</v>
      </c>
      <c r="B126" s="1855">
        <f>IF(A126=3,6,IF(A126=1,4,IF(A126="bd",1,IF(A126="fwd",1,"Circuit Type"))))</f>
        <v>4</v>
      </c>
      <c r="C126" s="1822">
        <v>2</v>
      </c>
      <c r="D126" s="1822">
        <f>B126/C126</f>
        <v>2</v>
      </c>
      <c r="E126" s="1822">
        <v>1</v>
      </c>
      <c r="F126" s="1824">
        <f>IF(A126=3,3*G126,IF(A126=1,2*G126,IF(A126="bd",1*G126,IF(A126="fwd",1,"Error"))))</f>
        <v>309.18130245176138</v>
      </c>
      <c r="G126" s="1856">
        <f>(-AE126+SQRT(AG126))/2/AD126</f>
        <v>154.59065122588069</v>
      </c>
      <c r="H126" s="1857">
        <f>IF(A126=3,SQRT(3),IF(A126=1,SQRT(2),1))</f>
        <v>1.4142135623730951</v>
      </c>
      <c r="I126" s="1858">
        <f>H126*G126</f>
        <v>218.62419557972942</v>
      </c>
      <c r="J126" s="1859" t="s">
        <v>552</v>
      </c>
      <c r="K126" s="1860" t="s">
        <v>556</v>
      </c>
      <c r="L126" s="1861">
        <v>250</v>
      </c>
      <c r="M126" s="1861">
        <v>393</v>
      </c>
      <c r="N126" s="1861">
        <v>8800</v>
      </c>
      <c r="O126" s="1862">
        <v>125</v>
      </c>
      <c r="P126" s="1863">
        <v>0.81899999999999995</v>
      </c>
      <c r="Q126" s="1863">
        <v>0.58899999999999997</v>
      </c>
      <c r="R126" s="1863">
        <v>0.14000000000000001</v>
      </c>
      <c r="S126" s="1864">
        <v>0.06</v>
      </c>
      <c r="T126" s="1834">
        <v>13</v>
      </c>
      <c r="U126" s="1835" t="s">
        <v>645</v>
      </c>
      <c r="V126" s="1836">
        <f>IF(E126=1,IF(U126="N",LOOKUP(T126,'HS250-DATA'!C$7:C$10,'HS250-DATA'!D$7:D$10),IF(U126="Y",LOOKUP(T126,'HS250-DATA'!C$22:C$25,'HS250-DATA'!D$22:D$25),"FAN?")),IF(U126="N",LOOKUP(T126,'HS250-DATA'!C$14:C$17,'HS250-DATA'!D$14:D$17),IF(U126="Y",LOOKUP(T126,'HS250-DATA'!C$29:C$32,'HS250-DATA'!D$29:D$32),"FAN?")))</f>
        <v>0.11</v>
      </c>
      <c r="W126" s="1865">
        <f>(G126*H126)^2*Q126*10^-3+G126*P126</f>
        <v>154.76190476190482</v>
      </c>
      <c r="X126" s="1865">
        <f>D126*W126</f>
        <v>309.52380952380963</v>
      </c>
      <c r="Y126" s="1865">
        <f>IF(A126=3,W126*6,IF(A126=1,W126*4,W126))</f>
        <v>619.04761904761926</v>
      </c>
      <c r="Z126" s="1838">
        <f>O126-5</f>
        <v>120</v>
      </c>
      <c r="AA126" s="1914">
        <f>D126*W126*V126+AB126</f>
        <v>89.047619047619065</v>
      </c>
      <c r="AB126" s="1866">
        <v>55</v>
      </c>
      <c r="AC126" s="1867"/>
      <c r="AD126" s="1841">
        <f>Q126*10^-3*H126^2</f>
        <v>1.1780000000000002E-3</v>
      </c>
      <c r="AE126" s="1842">
        <f>P126</f>
        <v>0.81899999999999995</v>
      </c>
      <c r="AF126" s="1843">
        <f>(AB126-Z126)/(R126+S126+D126*V126)</f>
        <v>-154.76190476190476</v>
      </c>
      <c r="AG126" s="1868">
        <f>AE126^2-4*AD126*AF126</f>
        <v>1.3999990952380954</v>
      </c>
      <c r="AH126" s="1869">
        <f>SUM(AJ126:AL126)</f>
        <v>223.1</v>
      </c>
      <c r="AI126" s="1870"/>
      <c r="AJ126" s="1871">
        <f>C126*LOOKUP(T126,'HS250-DATA'!C$7:C$10,'HS250-DATA'!F$7:F$10)</f>
        <v>49.1</v>
      </c>
      <c r="AK126" s="1871">
        <f>IF(U126="Y",C126*12,0)</f>
        <v>24</v>
      </c>
      <c r="AL126" s="1871">
        <f>C126*E126*VLOOKUP(K126,'SCR-Diode DATA'!D$7:M$43,10,FALSE)</f>
        <v>150</v>
      </c>
      <c r="AM126" s="1872">
        <f>AH126/F126</f>
        <v>0.72158309131519416</v>
      </c>
      <c r="AN126" s="1849"/>
      <c r="AO126" s="1850">
        <f>0.5*F126</f>
        <v>154.59065122588069</v>
      </c>
      <c r="AP126" s="1850">
        <f>F126/3</f>
        <v>103.06043415058713</v>
      </c>
      <c r="AQ126" s="1850">
        <f>1.8*F126</f>
        <v>556.52634441317048</v>
      </c>
      <c r="AR126" s="1849">
        <v>600</v>
      </c>
      <c r="AS126" s="1849">
        <f>LOOKUP(AR126,'FUSE DATA'!X$8:X$43,'FUSE DATA'!Y$8:Y$43)</f>
        <v>3532</v>
      </c>
      <c r="AT126" s="1852">
        <f>AR126/F126</f>
        <v>1.9406089412331533</v>
      </c>
      <c r="AU126" s="1852" t="str">
        <f>IF(AS126&lt;1950,"F1892Sxxxx",IF(AS126&lt;3350,"CS61xx16B",IF(A126&lt;7340,"ND41xx35",IF(A126&lt;19000,"LS41xx60","PS41xx25"))))</f>
        <v>ND41xx35</v>
      </c>
      <c r="AX126" s="1853">
        <v>350</v>
      </c>
      <c r="AY126" s="1874">
        <v>1724</v>
      </c>
    </row>
    <row r="127" spans="1:51" s="1873" customFormat="1" ht="18.75">
      <c r="A127" s="1820"/>
      <c r="B127" s="1855"/>
      <c r="C127" s="1822"/>
      <c r="D127" s="1822"/>
      <c r="E127" s="1822"/>
      <c r="F127" s="1824">
        <v>325</v>
      </c>
      <c r="G127" s="1856"/>
      <c r="H127" s="1857"/>
      <c r="I127" s="1858"/>
      <c r="J127" s="1859"/>
      <c r="K127" s="1860"/>
      <c r="L127" s="1861"/>
      <c r="M127" s="1861"/>
      <c r="N127" s="1861"/>
      <c r="O127" s="1862"/>
      <c r="P127" s="1863"/>
      <c r="Q127" s="1863"/>
      <c r="R127" s="1863"/>
      <c r="S127" s="1864"/>
      <c r="T127" s="1834"/>
      <c r="U127" s="1835"/>
      <c r="V127" s="1836"/>
      <c r="W127" s="1865"/>
      <c r="X127" s="1865"/>
      <c r="Y127" s="1865"/>
      <c r="Z127" s="1838"/>
      <c r="AA127" s="1914"/>
      <c r="AB127" s="1866"/>
      <c r="AC127" s="1867"/>
      <c r="AD127" s="1841"/>
      <c r="AE127" s="1842"/>
      <c r="AF127" s="1843"/>
      <c r="AG127" s="1868"/>
      <c r="AH127" s="1869"/>
      <c r="AI127" s="1870"/>
      <c r="AJ127" s="1871"/>
      <c r="AK127" s="1871"/>
      <c r="AL127" s="1871"/>
      <c r="AM127" s="1872"/>
      <c r="AN127" s="1849">
        <f>1.8*F127</f>
        <v>585</v>
      </c>
      <c r="AO127" s="1850">
        <f>0.5*F127</f>
        <v>162.5</v>
      </c>
      <c r="AP127" s="1850"/>
      <c r="AQ127" s="1850"/>
      <c r="AR127" s="1849"/>
      <c r="AS127" s="1849"/>
      <c r="AT127" s="1852"/>
      <c r="AU127" s="1852"/>
      <c r="AX127" s="1853"/>
      <c r="AY127" s="1874"/>
    </row>
    <row r="129" spans="1:51" s="1849" customFormat="1" ht="18.75">
      <c r="A129" s="1820">
        <v>1</v>
      </c>
      <c r="B129" s="1821">
        <f>IF(A129=3,6,IF(A129=1,4,IF(A129="bd",1,IF(A129="fwd",1,"Circuit Type"))))</f>
        <v>4</v>
      </c>
      <c r="C129" s="1822">
        <v>2</v>
      </c>
      <c r="D129" s="1823">
        <f>B129/C129</f>
        <v>2</v>
      </c>
      <c r="E129" s="1823">
        <v>1</v>
      </c>
      <c r="F129" s="1824">
        <f>IF(A129=3,3*G129,IF(A129=1,2*G129,IF(A129="bd",1*G129,IF(A129="fwd",1,"Error"))))</f>
        <v>447.20127657907989</v>
      </c>
      <c r="G129" s="1825">
        <f>(-AE129+SQRT(AG129))/2/AD129</f>
        <v>223.60063828953994</v>
      </c>
      <c r="H129" s="1826">
        <f>IF(A129=3,SQRT(3),IF(A129=1,SQRT(2),1))</f>
        <v>1.4142135623730951</v>
      </c>
      <c r="I129" s="1827">
        <f>H129*G129</f>
        <v>316.21905522434821</v>
      </c>
      <c r="J129" s="1828" t="s">
        <v>548</v>
      </c>
      <c r="K129" s="1829" t="s">
        <v>665</v>
      </c>
      <c r="L129" s="1830">
        <v>500</v>
      </c>
      <c r="M129" s="1830">
        <v>900</v>
      </c>
      <c r="N129" s="1830">
        <v>16300</v>
      </c>
      <c r="O129" s="1831">
        <v>125</v>
      </c>
      <c r="P129" s="1832">
        <v>0.81</v>
      </c>
      <c r="Q129" s="1832">
        <v>0.32</v>
      </c>
      <c r="R129" s="1832">
        <v>6.5000000000000002E-2</v>
      </c>
      <c r="S129" s="1833">
        <v>0.02</v>
      </c>
      <c r="T129" s="1834">
        <v>13</v>
      </c>
      <c r="U129" s="1835" t="s">
        <v>645</v>
      </c>
      <c r="V129" s="1836">
        <f>IF(E129=1,IF(U129="N",LOOKUP(T129,'HS250-DATA'!C$7:C$10,'HS250-DATA'!D$7:D$10),IF(U129="Y",LOOKUP(T129,'HS250-DATA'!C$22:C$25,'HS250-DATA'!D$22:D$25),"FAN?")),IF(U129="N",LOOKUP(T129,'HS250-DATA'!C$14:C$17,'HS250-DATA'!D$14:D$17),IF(U129="Y",LOOKUP(T129,'HS250-DATA'!C$29:C$32,'HS250-DATA'!D$29:D$32),"FAN?")))</f>
        <v>0.11</v>
      </c>
      <c r="W129" s="1837">
        <f>(G129*H129)^2*Q129*10^-3+G129*P129</f>
        <v>213.11475409836078</v>
      </c>
      <c r="X129" s="1837">
        <f>D129*W129</f>
        <v>426.22950819672155</v>
      </c>
      <c r="Y129" s="1837">
        <f>IF(A129=3,W129*6,IF(A129=1,W129*4,W129))</f>
        <v>852.45901639344311</v>
      </c>
      <c r="Z129" s="1838">
        <f>O129-5</f>
        <v>120</v>
      </c>
      <c r="AA129" s="1912">
        <f>D129*W129*V129+AB129</f>
        <v>101.88524590163937</v>
      </c>
      <c r="AB129" s="1839">
        <v>55</v>
      </c>
      <c r="AC129" s="1840"/>
      <c r="AD129" s="1841">
        <f>Q129*10^-3*H129^2</f>
        <v>6.4000000000000016E-4</v>
      </c>
      <c r="AE129" s="1842">
        <f>P129</f>
        <v>0.81</v>
      </c>
      <c r="AF129" s="1843">
        <f>(AB129-Z129)/(R129+S129+D129*V129)</f>
        <v>-213.11475409836066</v>
      </c>
      <c r="AG129" s="1844">
        <f>AE129^2-4*AD129*AF129</f>
        <v>1.2016737704918037</v>
      </c>
      <c r="AH129" s="1845">
        <f>SUM(AJ129:AL129)</f>
        <v>343.1</v>
      </c>
      <c r="AI129" s="1846"/>
      <c r="AJ129" s="1847">
        <f>C129*LOOKUP(T129,'HS250-DATA'!C$7:C$10,'HS250-DATA'!F$7:F$10)</f>
        <v>49.1</v>
      </c>
      <c r="AK129" s="1847">
        <f>IF(U129="Y",C129*12,0)</f>
        <v>24</v>
      </c>
      <c r="AL129" s="1847">
        <f>C129*E129*VLOOKUP(K129,'SCR-Diode DATA'!D$7:M$43,10,FALSE)</f>
        <v>270</v>
      </c>
      <c r="AM129" s="1848">
        <f>AH129/F129</f>
        <v>0.76721605677109161</v>
      </c>
      <c r="AO129" s="1850">
        <f>0.5*F129</f>
        <v>223.60063828953994</v>
      </c>
      <c r="AP129" s="1850">
        <f>F129/3</f>
        <v>149.06709219302664</v>
      </c>
      <c r="AQ129" s="1850">
        <f>1.8*F129</f>
        <v>804.96229784234379</v>
      </c>
      <c r="AR129" s="1849">
        <v>800</v>
      </c>
      <c r="AS129" s="1849">
        <f>LOOKUP(AR129,'FUSE DATA'!X$8:X$43,'FUSE DATA'!Y$8:Y$43)</f>
        <v>4196</v>
      </c>
      <c r="AT129" s="1852">
        <f>AR129/F129</f>
        <v>1.7889036590407266</v>
      </c>
      <c r="AU129" s="1852" t="str">
        <f>IF(AS129&lt;1950,"F1892Sxxxx",IF(AS129&lt;3350,"CS61xx16B",IF(A129&lt;7340,"ND41xx35",IF(A129&lt;19000,"LS41xx60","PS41xx25"))))</f>
        <v>ND41xx35</v>
      </c>
      <c r="AX129" s="1853">
        <v>450</v>
      </c>
      <c r="AY129" s="1874">
        <v>2578</v>
      </c>
    </row>
    <row r="130" spans="1:51" s="1849" customFormat="1" ht="18.75">
      <c r="A130" s="1820"/>
      <c r="B130" s="1821"/>
      <c r="C130" s="1822"/>
      <c r="D130" s="1823"/>
      <c r="E130" s="1823"/>
      <c r="F130" s="1824">
        <v>450</v>
      </c>
      <c r="G130" s="1825"/>
      <c r="H130" s="1826"/>
      <c r="I130" s="1827"/>
      <c r="J130" s="1828"/>
      <c r="K130" s="1829"/>
      <c r="L130" s="1830"/>
      <c r="M130" s="1830"/>
      <c r="N130" s="1830"/>
      <c r="O130" s="1831"/>
      <c r="P130" s="1832"/>
      <c r="Q130" s="1832"/>
      <c r="R130" s="1832"/>
      <c r="S130" s="1833"/>
      <c r="T130" s="1834"/>
      <c r="U130" s="1835"/>
      <c r="V130" s="1836"/>
      <c r="W130" s="1837"/>
      <c r="X130" s="1837"/>
      <c r="Y130" s="1837"/>
      <c r="Z130" s="1838"/>
      <c r="AA130" s="1912"/>
      <c r="AB130" s="1839"/>
      <c r="AC130" s="1840"/>
      <c r="AD130" s="1841"/>
      <c r="AE130" s="1842"/>
      <c r="AF130" s="1843"/>
      <c r="AG130" s="1844"/>
      <c r="AH130" s="1845"/>
      <c r="AI130" s="1846"/>
      <c r="AJ130" s="1847"/>
      <c r="AK130" s="1847"/>
      <c r="AL130" s="1847"/>
      <c r="AM130" s="1848"/>
      <c r="AN130" s="1849">
        <f>1.8*F130</f>
        <v>810</v>
      </c>
      <c r="AO130" s="1850">
        <f>0.5*F130</f>
        <v>225</v>
      </c>
      <c r="AP130" s="1850"/>
      <c r="AQ130" s="1850"/>
      <c r="AT130" s="1852"/>
      <c r="AU130" s="1852"/>
      <c r="AX130" s="1853"/>
      <c r="AY130" s="1874"/>
    </row>
  </sheetData>
  <pageMargins left="0.15748031496062992" right="0.11811023622047245" top="0.19685039370078741" bottom="0.11811023622047245" header="0.11811023622047245" footer="0.11811023622047245"/>
  <pageSetup scale="29" fitToHeight="3" orientation="landscape" horizontalDpi="4294967294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X42"/>
  <sheetViews>
    <sheetView topLeftCell="B1" workbookViewId="0">
      <selection activeCell="D18" sqref="D18"/>
    </sheetView>
  </sheetViews>
  <sheetFormatPr baseColWidth="10" defaultColWidth="9.140625" defaultRowHeight="15.75"/>
  <cols>
    <col min="19" max="19" width="13" customWidth="1"/>
    <col min="21" max="21" width="16.7109375" style="625" customWidth="1"/>
    <col min="22" max="22" width="9.140625" style="625" customWidth="1"/>
    <col min="23" max="23" width="14.85546875" customWidth="1"/>
  </cols>
  <sheetData>
    <row r="2" spans="1:23" ht="16.5" thickBot="1"/>
    <row r="3" spans="1:23" ht="45">
      <c r="A3" s="1927" t="s">
        <v>613</v>
      </c>
      <c r="B3" s="1617"/>
      <c r="C3" s="1613"/>
      <c r="D3" s="1623" t="s">
        <v>644</v>
      </c>
      <c r="E3" s="1647" t="s">
        <v>520</v>
      </c>
      <c r="F3" s="1585"/>
      <c r="G3" s="1609"/>
      <c r="H3" s="1629" t="s">
        <v>614</v>
      </c>
      <c r="I3" s="1629"/>
      <c r="J3" s="1609"/>
      <c r="K3" s="1609"/>
      <c r="L3" s="1909"/>
      <c r="M3" s="1610"/>
      <c r="N3" s="1573"/>
      <c r="O3" s="1606"/>
      <c r="P3" s="1570"/>
      <c r="Q3" s="1570"/>
      <c r="R3" s="1570"/>
      <c r="S3" s="1570"/>
    </row>
    <row r="4" spans="1:23" ht="63.75" thickBot="1">
      <c r="A4" s="1597" t="s">
        <v>573</v>
      </c>
      <c r="B4" s="2046" t="s">
        <v>689</v>
      </c>
      <c r="C4" s="1690" t="s">
        <v>618</v>
      </c>
      <c r="D4" s="1627" t="s">
        <v>619</v>
      </c>
      <c r="E4" s="1586" t="s">
        <v>523</v>
      </c>
      <c r="F4" s="1578" t="s">
        <v>524</v>
      </c>
      <c r="G4" s="1580" t="s">
        <v>575</v>
      </c>
      <c r="H4" s="1630" t="s">
        <v>628</v>
      </c>
      <c r="I4" s="1630" t="s">
        <v>143</v>
      </c>
      <c r="J4" s="1578" t="s">
        <v>631</v>
      </c>
      <c r="K4" s="1578" t="s">
        <v>632</v>
      </c>
      <c r="L4" s="1910" t="s">
        <v>667</v>
      </c>
      <c r="M4" s="1614" t="s">
        <v>577</v>
      </c>
      <c r="N4" s="1571"/>
      <c r="O4" s="1694"/>
      <c r="P4" s="1571"/>
      <c r="Q4" s="1632"/>
      <c r="R4" s="1633"/>
      <c r="S4" s="1633"/>
      <c r="U4" s="625" t="s">
        <v>688</v>
      </c>
      <c r="V4" s="1929" t="s">
        <v>658</v>
      </c>
      <c r="W4" s="155" t="s">
        <v>662</v>
      </c>
    </row>
    <row r="5" spans="1:23" ht="16.5" thickBot="1">
      <c r="A5" s="1650"/>
      <c r="B5" s="1652"/>
      <c r="C5" s="1651"/>
      <c r="D5" s="1653" t="s">
        <v>22</v>
      </c>
      <c r="E5" s="1655"/>
      <c r="F5" s="1653" t="s">
        <v>22</v>
      </c>
      <c r="G5" s="1653" t="s">
        <v>22</v>
      </c>
      <c r="H5" s="1660" t="s">
        <v>477</v>
      </c>
      <c r="I5" s="1660"/>
      <c r="J5" s="1653" t="s">
        <v>275</v>
      </c>
      <c r="K5" s="1653" t="s">
        <v>275</v>
      </c>
      <c r="L5" s="1911" t="s">
        <v>668</v>
      </c>
      <c r="M5" s="1658" t="s">
        <v>534</v>
      </c>
      <c r="N5" s="1571"/>
      <c r="O5" s="1736" t="s">
        <v>578</v>
      </c>
      <c r="P5" s="1737"/>
      <c r="Q5" s="1738" t="s">
        <v>608</v>
      </c>
      <c r="R5" s="1738" t="s">
        <v>137</v>
      </c>
      <c r="S5" s="1738" t="s">
        <v>648</v>
      </c>
      <c r="T5" s="1247" t="s">
        <v>649</v>
      </c>
      <c r="V5" s="1928" t="s">
        <v>22</v>
      </c>
    </row>
    <row r="6" spans="1:23" s="1984" customFormat="1" ht="23.25">
      <c r="A6" s="1966">
        <v>3</v>
      </c>
      <c r="B6" s="2047">
        <v>1</v>
      </c>
      <c r="C6" s="1968">
        <v>3</v>
      </c>
      <c r="D6" s="1969">
        <v>150</v>
      </c>
      <c r="E6" s="1970" t="s">
        <v>549</v>
      </c>
      <c r="F6" s="1971">
        <v>90</v>
      </c>
      <c r="G6" s="1971">
        <v>1950</v>
      </c>
      <c r="H6" s="1972">
        <v>15</v>
      </c>
      <c r="I6" s="1973" t="s">
        <v>645</v>
      </c>
      <c r="J6" s="1974">
        <v>427.63157894736855</v>
      </c>
      <c r="K6" s="1974">
        <v>427.63157894736855</v>
      </c>
      <c r="L6" s="1975">
        <v>85.789473684210535</v>
      </c>
      <c r="M6" s="1976">
        <v>55</v>
      </c>
      <c r="N6" s="1977"/>
      <c r="O6" s="1978">
        <v>79.260000000000005</v>
      </c>
      <c r="P6" s="1979"/>
      <c r="Q6" s="1980">
        <v>28.26</v>
      </c>
      <c r="R6" s="1980">
        <v>12</v>
      </c>
      <c r="S6" s="1980">
        <v>39</v>
      </c>
      <c r="T6" s="1981">
        <v>0.46107092555465717</v>
      </c>
      <c r="U6" s="1982" t="s">
        <v>569</v>
      </c>
      <c r="V6" s="1983">
        <v>300</v>
      </c>
      <c r="W6" s="1985" t="s">
        <v>687</v>
      </c>
    </row>
    <row r="7" spans="1:23" s="1984" customFormat="1" ht="23.25">
      <c r="B7" s="2048"/>
      <c r="L7" s="1987"/>
      <c r="U7" s="1983"/>
      <c r="V7" s="1983"/>
    </row>
    <row r="8" spans="1:23" s="1997" customFormat="1" ht="23.25">
      <c r="A8" s="1966">
        <v>3</v>
      </c>
      <c r="B8" s="2047">
        <v>1</v>
      </c>
      <c r="C8" s="1967">
        <v>3</v>
      </c>
      <c r="D8" s="1969">
        <v>225</v>
      </c>
      <c r="E8" s="1965" t="s">
        <v>554</v>
      </c>
      <c r="F8" s="1988">
        <v>160</v>
      </c>
      <c r="G8" s="1988">
        <v>4100</v>
      </c>
      <c r="H8" s="1972">
        <v>15</v>
      </c>
      <c r="I8" s="1973" t="s">
        <v>645</v>
      </c>
      <c r="J8" s="1986">
        <v>555.55555555555543</v>
      </c>
      <c r="K8" s="1986">
        <v>555.55555555555543</v>
      </c>
      <c r="L8" s="1989">
        <v>94.999999999999986</v>
      </c>
      <c r="M8" s="1990">
        <v>55</v>
      </c>
      <c r="N8" s="1991"/>
      <c r="O8" s="1992">
        <v>148.26</v>
      </c>
      <c r="P8" s="1993"/>
      <c r="Q8" s="1994">
        <v>28.26</v>
      </c>
      <c r="R8" s="1994">
        <v>12</v>
      </c>
      <c r="S8" s="1994">
        <v>108</v>
      </c>
      <c r="T8" s="1995">
        <v>0.63933378367601101</v>
      </c>
      <c r="U8" s="1996" t="s">
        <v>505</v>
      </c>
      <c r="V8" s="1983">
        <v>450</v>
      </c>
      <c r="W8" s="1985" t="s">
        <v>505</v>
      </c>
    </row>
    <row r="9" spans="1:23" s="1997" customFormat="1" ht="23.25">
      <c r="A9" s="1966"/>
      <c r="B9" s="2047"/>
      <c r="C9" s="1986"/>
      <c r="D9" s="1969"/>
      <c r="E9" s="1965"/>
      <c r="F9" s="1988"/>
      <c r="G9" s="1988"/>
      <c r="H9" s="1972"/>
      <c r="I9" s="1973"/>
      <c r="J9" s="1986"/>
      <c r="K9" s="1986"/>
      <c r="L9" s="1989"/>
      <c r="M9" s="1990"/>
      <c r="N9" s="1991"/>
      <c r="O9" s="1992"/>
      <c r="P9" s="1998">
        <v>0.65893333333333326</v>
      </c>
      <c r="Q9" s="1994"/>
      <c r="R9" s="1994"/>
      <c r="S9" s="1994"/>
      <c r="T9" s="1995"/>
      <c r="U9" s="1996" t="s">
        <v>505</v>
      </c>
      <c r="V9" s="1983"/>
      <c r="W9" s="1985" t="s">
        <v>505</v>
      </c>
    </row>
    <row r="10" spans="1:23" s="1984" customFormat="1" ht="23.25">
      <c r="B10" s="2048"/>
      <c r="L10" s="1987"/>
      <c r="U10" s="1983"/>
      <c r="V10" s="1983"/>
    </row>
    <row r="11" spans="1:23" s="1984" customFormat="1" ht="23.25">
      <c r="A11" s="1966">
        <v>3</v>
      </c>
      <c r="B11" s="2047">
        <v>1</v>
      </c>
      <c r="C11" s="1968">
        <v>3</v>
      </c>
      <c r="D11" s="1969">
        <v>325</v>
      </c>
      <c r="E11" s="1970" t="s">
        <v>469</v>
      </c>
      <c r="F11" s="1971">
        <v>250</v>
      </c>
      <c r="G11" s="1971">
        <v>8800</v>
      </c>
      <c r="H11" s="1972">
        <v>15</v>
      </c>
      <c r="I11" s="1973" t="s">
        <v>645</v>
      </c>
      <c r="J11" s="1974">
        <v>617.08860759493678</v>
      </c>
      <c r="K11" s="1974">
        <v>617.08860759493678</v>
      </c>
      <c r="L11" s="1975">
        <v>99.430379746835442</v>
      </c>
      <c r="M11" s="1976">
        <v>55</v>
      </c>
      <c r="N11" s="1977"/>
      <c r="O11" s="1978">
        <v>265.26</v>
      </c>
      <c r="P11" s="1979"/>
      <c r="Q11" s="1980">
        <v>28.26</v>
      </c>
      <c r="R11" s="1980">
        <v>12</v>
      </c>
      <c r="S11" s="1980">
        <v>225</v>
      </c>
      <c r="T11" s="1981">
        <v>0.86024747762299369</v>
      </c>
      <c r="U11" s="1999" t="s">
        <v>678</v>
      </c>
      <c r="V11" s="1983">
        <v>600</v>
      </c>
      <c r="W11" s="1985" t="s">
        <v>572</v>
      </c>
    </row>
    <row r="12" spans="1:23" s="1984" customFormat="1" ht="23.25">
      <c r="A12" s="1966"/>
      <c r="B12" s="2047"/>
      <c r="C12" s="1986"/>
      <c r="D12" s="1969"/>
      <c r="E12" s="1970"/>
      <c r="F12" s="1971"/>
      <c r="G12" s="1971"/>
      <c r="H12" s="1972"/>
      <c r="I12" s="1973"/>
      <c r="J12" s="1974"/>
      <c r="K12" s="1974"/>
      <c r="L12" s="1975"/>
      <c r="M12" s="1976"/>
      <c r="N12" s="1977"/>
      <c r="O12" s="1978"/>
      <c r="P12" s="1998">
        <v>0.80381818181818177</v>
      </c>
      <c r="Q12" s="1980"/>
      <c r="R12" s="1980"/>
      <c r="S12" s="1980"/>
      <c r="T12" s="1981"/>
      <c r="U12" s="1999" t="s">
        <v>678</v>
      </c>
      <c r="V12" s="1983"/>
      <c r="W12" s="2000" t="s">
        <v>680</v>
      </c>
    </row>
    <row r="13" spans="1:23" s="1984" customFormat="1" ht="23.25">
      <c r="B13" s="2048"/>
      <c r="L13" s="1987"/>
      <c r="U13" s="1983"/>
      <c r="V13" s="1983"/>
    </row>
    <row r="14" spans="1:23" s="1997" customFormat="1" ht="23.25">
      <c r="A14" s="1966">
        <v>3</v>
      </c>
      <c r="B14" s="2047">
        <v>3</v>
      </c>
      <c r="C14" s="1967">
        <v>1</v>
      </c>
      <c r="D14" s="1969">
        <v>500</v>
      </c>
      <c r="E14" s="1965" t="s">
        <v>469</v>
      </c>
      <c r="F14" s="1988">
        <v>250</v>
      </c>
      <c r="G14" s="1988">
        <v>8800</v>
      </c>
      <c r="H14" s="1972">
        <v>15</v>
      </c>
      <c r="I14" s="1973" t="s">
        <v>645</v>
      </c>
      <c r="J14" s="1986">
        <v>315.53398058252429</v>
      </c>
      <c r="K14" s="1986">
        <v>946.60194174757294</v>
      </c>
      <c r="L14" s="1989">
        <v>88.446601941747574</v>
      </c>
      <c r="M14" s="1976">
        <v>55</v>
      </c>
      <c r="N14" s="1991"/>
      <c r="O14" s="1992">
        <v>345.78</v>
      </c>
      <c r="P14" s="1993"/>
      <c r="Q14" s="1994">
        <v>84.78</v>
      </c>
      <c r="R14" s="1994">
        <v>36</v>
      </c>
      <c r="S14" s="1994">
        <v>225</v>
      </c>
      <c r="T14" s="1995">
        <v>0.78732184334173727</v>
      </c>
      <c r="U14" s="1999" t="s">
        <v>678</v>
      </c>
      <c r="V14" s="1983">
        <v>900</v>
      </c>
      <c r="W14" s="1985" t="s">
        <v>508</v>
      </c>
    </row>
    <row r="15" spans="1:23" s="2016" customFormat="1" ht="23.25">
      <c r="A15" s="2001"/>
      <c r="B15" s="2049"/>
      <c r="C15" s="2002"/>
      <c r="D15" s="2003"/>
      <c r="E15" s="2004"/>
      <c r="F15" s="2005"/>
      <c r="G15" s="2005"/>
      <c r="H15" s="2006"/>
      <c r="I15" s="2006"/>
      <c r="J15" s="2002"/>
      <c r="K15" s="2002"/>
      <c r="L15" s="2007"/>
      <c r="M15" s="2001"/>
      <c r="N15" s="2008"/>
      <c r="O15" s="2009"/>
      <c r="P15" s="2010"/>
      <c r="Q15" s="2011"/>
      <c r="R15" s="2011"/>
      <c r="S15" s="2011"/>
      <c r="T15" s="2012"/>
      <c r="U15" s="2013"/>
      <c r="V15" s="2014"/>
      <c r="W15" s="2015"/>
    </row>
    <row r="16" spans="1:23" s="2016" customFormat="1" ht="23.25">
      <c r="A16" s="2001"/>
      <c r="B16" s="2049"/>
      <c r="C16" s="2002"/>
      <c r="D16" s="2003"/>
      <c r="E16" s="2004"/>
      <c r="F16" s="2005"/>
      <c r="G16" s="2005"/>
      <c r="H16" s="2006"/>
      <c r="I16" s="2006"/>
      <c r="J16" s="2002"/>
      <c r="K16" s="2002"/>
      <c r="L16" s="2007"/>
      <c r="M16" s="2001"/>
      <c r="N16" s="2008"/>
      <c r="O16" s="2009"/>
      <c r="P16" s="2010"/>
      <c r="Q16" s="2011"/>
      <c r="R16" s="2011"/>
      <c r="S16" s="2011"/>
      <c r="T16" s="2012"/>
      <c r="U16" s="2013"/>
      <c r="V16" s="2014"/>
      <c r="W16" s="2015"/>
    </row>
    <row r="17" spans="1:24" ht="23.25">
      <c r="B17" s="2050"/>
      <c r="L17" s="1908"/>
    </row>
    <row r="18" spans="1:24" s="1950" customFormat="1" ht="23.25">
      <c r="A18" s="1930">
        <v>3</v>
      </c>
      <c r="B18" s="2051">
        <v>3</v>
      </c>
      <c r="C18" s="1931">
        <v>1</v>
      </c>
      <c r="D18" s="1932">
        <v>645.807530170154</v>
      </c>
      <c r="E18" s="1933" t="s">
        <v>470</v>
      </c>
      <c r="F18" s="1934">
        <v>500</v>
      </c>
      <c r="G18" s="1934">
        <v>16300</v>
      </c>
      <c r="H18" s="1935">
        <v>15</v>
      </c>
      <c r="I18" s="1936" t="s">
        <v>645</v>
      </c>
      <c r="J18" s="1937">
        <v>437.71043771043776</v>
      </c>
      <c r="K18" s="1937">
        <v>1313.1313131313132</v>
      </c>
      <c r="L18" s="1938">
        <v>101.39730639730641</v>
      </c>
      <c r="M18" s="1939">
        <v>55</v>
      </c>
      <c r="N18" s="1940"/>
      <c r="O18" s="1941">
        <v>525.78</v>
      </c>
      <c r="P18" s="1942"/>
      <c r="Q18" s="1943">
        <v>84.78</v>
      </c>
      <c r="R18" s="1943">
        <v>36</v>
      </c>
      <c r="S18" s="1943">
        <v>405</v>
      </c>
      <c r="T18" s="1944">
        <v>0.81414349544897724</v>
      </c>
      <c r="U18" s="1945" t="s">
        <v>680</v>
      </c>
      <c r="V18" s="1946">
        <v>1500</v>
      </c>
      <c r="W18" s="1949" t="s">
        <v>508</v>
      </c>
      <c r="X18" s="1951" t="s">
        <v>686</v>
      </c>
    </row>
    <row r="19" spans="1:24" s="1947" customFormat="1" ht="23.25">
      <c r="A19" s="1930"/>
      <c r="B19" s="2051"/>
      <c r="C19" s="1952"/>
      <c r="D19" s="1932"/>
      <c r="E19" s="1953"/>
      <c r="F19" s="1954"/>
      <c r="G19" s="1954"/>
      <c r="H19" s="1935"/>
      <c r="I19" s="1936"/>
      <c r="J19" s="1955"/>
      <c r="K19" s="1955"/>
      <c r="L19" s="1956"/>
      <c r="M19" s="1939"/>
      <c r="N19" s="1957"/>
      <c r="O19" s="1958"/>
      <c r="P19" s="1959"/>
      <c r="Q19" s="1959"/>
      <c r="R19" s="1959"/>
      <c r="S19" s="1960"/>
      <c r="T19" s="1961"/>
      <c r="U19" s="1946"/>
      <c r="V19" s="1946"/>
    </row>
    <row r="20" spans="1:24" s="1950" customFormat="1" ht="23.25">
      <c r="A20" s="1930">
        <v>3</v>
      </c>
      <c r="B20" s="2051">
        <v>3</v>
      </c>
      <c r="C20" s="1931">
        <v>1</v>
      </c>
      <c r="D20" s="1932">
        <v>796.91355576894216</v>
      </c>
      <c r="E20" s="1933" t="s">
        <v>471</v>
      </c>
      <c r="F20" s="1934">
        <v>700</v>
      </c>
      <c r="G20" s="1934">
        <v>36500</v>
      </c>
      <c r="H20" s="1935">
        <v>15</v>
      </c>
      <c r="I20" s="1936" t="s">
        <v>645</v>
      </c>
      <c r="J20" s="1937">
        <v>451.3888888888888</v>
      </c>
      <c r="K20" s="1937">
        <v>1354.1666666666665</v>
      </c>
      <c r="L20" s="1938">
        <v>102.84722222222221</v>
      </c>
      <c r="M20" s="1939">
        <v>55</v>
      </c>
      <c r="N20" s="1940"/>
      <c r="O20" s="1962">
        <v>1095.78</v>
      </c>
      <c r="P20" s="1942"/>
      <c r="Q20" s="1943">
        <v>84.78</v>
      </c>
      <c r="R20" s="1943">
        <v>36</v>
      </c>
      <c r="S20" s="1943">
        <v>975</v>
      </c>
      <c r="T20" s="1944">
        <v>1.3750299415382405</v>
      </c>
      <c r="U20" s="1963" t="s">
        <v>508</v>
      </c>
      <c r="V20" s="1946">
        <v>1600</v>
      </c>
      <c r="W20" s="1948"/>
    </row>
    <row r="21" spans="1:24" s="1947" customFormat="1" ht="23.25">
      <c r="A21" s="1930"/>
      <c r="B21" s="2051"/>
      <c r="C21" s="1952"/>
      <c r="D21" s="1932"/>
      <c r="E21" s="1953"/>
      <c r="F21" s="1954"/>
      <c r="G21" s="1954"/>
      <c r="H21" s="1935"/>
      <c r="I21" s="1936"/>
      <c r="J21" s="1955"/>
      <c r="K21" s="1955"/>
      <c r="L21" s="1956"/>
      <c r="M21" s="1939"/>
      <c r="N21" s="1957"/>
      <c r="O21" s="1958"/>
      <c r="P21" s="1959"/>
      <c r="Q21" s="1959"/>
      <c r="R21" s="1959"/>
      <c r="S21" s="1960"/>
      <c r="T21" s="1961"/>
      <c r="U21" s="1946"/>
      <c r="V21" s="1946"/>
    </row>
    <row r="22" spans="1:24" s="1950" customFormat="1" ht="23.25">
      <c r="A22" s="1930">
        <v>3</v>
      </c>
      <c r="B22" s="2051">
        <v>6</v>
      </c>
      <c r="C22" s="1931">
        <v>1</v>
      </c>
      <c r="D22" s="1932">
        <v>1635.4135811141527</v>
      </c>
      <c r="E22" s="1933" t="s">
        <v>472</v>
      </c>
      <c r="F22" s="1934">
        <v>1500</v>
      </c>
      <c r="G22" s="1934">
        <v>62000</v>
      </c>
      <c r="H22" s="1935">
        <v>15</v>
      </c>
      <c r="I22" s="1936" t="s">
        <v>645</v>
      </c>
      <c r="J22" s="1937">
        <v>467.62589928057548</v>
      </c>
      <c r="K22" s="1937">
        <v>2805.7553956834527</v>
      </c>
      <c r="L22" s="1938">
        <v>104.568345323741</v>
      </c>
      <c r="M22" s="1939">
        <v>55</v>
      </c>
      <c r="N22" s="1940"/>
      <c r="O22" s="1962">
        <v>1381.56</v>
      </c>
      <c r="P22" s="1942"/>
      <c r="Q22" s="1943">
        <v>169.56</v>
      </c>
      <c r="R22" s="1943">
        <v>72</v>
      </c>
      <c r="S22" s="1964">
        <v>1140</v>
      </c>
      <c r="T22" s="1944">
        <v>0.84477713524843612</v>
      </c>
      <c r="U22" s="1945"/>
      <c r="V22" s="1946">
        <v>3500</v>
      </c>
      <c r="W22" s="1948"/>
    </row>
    <row r="23" spans="1:24">
      <c r="L23" s="1908"/>
    </row>
    <row r="24" spans="1:24">
      <c r="L24" s="1908"/>
    </row>
    <row r="25" spans="1:24">
      <c r="L25" s="1908"/>
    </row>
    <row r="26" spans="1:24">
      <c r="L26" s="1908"/>
    </row>
    <row r="27" spans="1:24" ht="18">
      <c r="A27" s="650" t="s">
        <v>664</v>
      </c>
      <c r="L27" s="1908"/>
    </row>
    <row r="28" spans="1:24">
      <c r="L28" s="1908"/>
    </row>
    <row r="29" spans="1:24" s="2016" customFormat="1" ht="18.75">
      <c r="A29" s="2017">
        <v>1</v>
      </c>
      <c r="B29" s="2018">
        <v>1</v>
      </c>
      <c r="C29" s="2018">
        <v>2</v>
      </c>
      <c r="D29" s="2019">
        <v>200</v>
      </c>
      <c r="E29" s="2020" t="s">
        <v>555</v>
      </c>
      <c r="F29" s="2021">
        <v>160</v>
      </c>
      <c r="G29" s="2021">
        <v>4100</v>
      </c>
      <c r="H29" s="2022">
        <v>13</v>
      </c>
      <c r="I29" s="2023" t="s">
        <v>645</v>
      </c>
      <c r="J29" s="2024">
        <v>429.04290429042908</v>
      </c>
      <c r="K29" s="2024">
        <v>429.04290429042908</v>
      </c>
      <c r="L29" s="2025">
        <v>91.03960396039605</v>
      </c>
      <c r="M29" s="2026">
        <v>55</v>
      </c>
      <c r="N29" s="2008"/>
      <c r="O29" s="2027">
        <v>108.55</v>
      </c>
      <c r="P29" s="2028"/>
      <c r="Q29" s="2029">
        <v>24.55</v>
      </c>
      <c r="R29" s="2029">
        <v>12</v>
      </c>
      <c r="S29" s="2029">
        <v>72</v>
      </c>
      <c r="T29" s="2030">
        <v>0.57371761402406984</v>
      </c>
      <c r="U29" s="2031" t="s">
        <v>569</v>
      </c>
      <c r="V29" s="2014">
        <v>400</v>
      </c>
      <c r="W29" s="2015" t="s">
        <v>505</v>
      </c>
    </row>
    <row r="30" spans="1:24" s="2016" customFormat="1">
      <c r="A30" s="2017"/>
      <c r="B30" s="2018"/>
      <c r="C30" s="2018"/>
      <c r="E30" s="2020"/>
      <c r="F30" s="2021"/>
      <c r="G30" s="2021"/>
      <c r="H30" s="2022"/>
      <c r="I30" s="2023"/>
      <c r="J30" s="2024"/>
      <c r="K30" s="2024"/>
      <c r="L30" s="2025"/>
      <c r="M30" s="2026"/>
      <c r="N30" s="2008"/>
      <c r="O30" s="2027"/>
      <c r="P30" s="2032">
        <v>0.54274999999999995</v>
      </c>
      <c r="Q30" s="2029"/>
      <c r="R30" s="2029"/>
      <c r="S30" s="2029"/>
      <c r="T30" s="2030"/>
      <c r="U30" s="2033"/>
      <c r="V30" s="2014"/>
      <c r="W30" s="2015"/>
    </row>
    <row r="31" spans="1:24" s="84" customFormat="1">
      <c r="L31" s="2034"/>
      <c r="U31" s="2014"/>
      <c r="V31" s="2014"/>
    </row>
    <row r="32" spans="1:24" s="84" customFormat="1" ht="18.75">
      <c r="A32" s="2017">
        <v>1</v>
      </c>
      <c r="B32" s="2018">
        <v>1</v>
      </c>
      <c r="C32" s="2035">
        <v>2</v>
      </c>
      <c r="D32" s="2019">
        <v>250</v>
      </c>
      <c r="E32" s="2036" t="s">
        <v>556</v>
      </c>
      <c r="F32" s="2037">
        <v>250</v>
      </c>
      <c r="G32" s="2037">
        <v>8800</v>
      </c>
      <c r="H32" s="2022">
        <v>13</v>
      </c>
      <c r="I32" s="2023" t="s">
        <v>645</v>
      </c>
      <c r="J32" s="2038">
        <v>485.07462686567146</v>
      </c>
      <c r="K32" s="2038">
        <v>485.07462686567146</v>
      </c>
      <c r="L32" s="2039">
        <v>95.74626865671641</v>
      </c>
      <c r="M32" s="2040">
        <v>55</v>
      </c>
      <c r="N32" s="2041"/>
      <c r="O32" s="2042">
        <v>186.55</v>
      </c>
      <c r="P32" s="2043"/>
      <c r="Q32" s="2044">
        <v>24.55</v>
      </c>
      <c r="R32" s="2044">
        <v>12</v>
      </c>
      <c r="S32" s="2044">
        <v>150</v>
      </c>
      <c r="T32" s="2045">
        <v>0.74359727615078763</v>
      </c>
      <c r="U32" s="2013">
        <v>83.62501494790807</v>
      </c>
      <c r="V32" s="2014">
        <v>500</v>
      </c>
      <c r="W32" s="2015" t="s">
        <v>505</v>
      </c>
    </row>
    <row r="33" spans="1:23" s="84" customFormat="1">
      <c r="A33" s="2017"/>
      <c r="B33" s="2018"/>
      <c r="C33" s="2035"/>
      <c r="E33" s="2036"/>
      <c r="F33" s="2037"/>
      <c r="G33" s="2037"/>
      <c r="H33" s="2022"/>
      <c r="I33" s="2023"/>
      <c r="J33" s="2038"/>
      <c r="K33" s="2038"/>
      <c r="L33" s="2039"/>
      <c r="M33" s="2040"/>
      <c r="N33" s="2041"/>
      <c r="O33" s="2042"/>
      <c r="P33" s="2043"/>
      <c r="Q33" s="2044"/>
      <c r="R33" s="2044"/>
      <c r="S33" s="2044"/>
      <c r="T33" s="2045"/>
      <c r="U33" s="2013"/>
      <c r="V33" s="2014"/>
      <c r="W33" s="2015"/>
    </row>
    <row r="34" spans="1:23" s="84" customFormat="1">
      <c r="L34" s="2034"/>
      <c r="U34" s="2014"/>
      <c r="V34" s="2014"/>
    </row>
    <row r="35" spans="1:23" s="2016" customFormat="1" ht="18.75">
      <c r="A35" s="2017">
        <v>1</v>
      </c>
      <c r="B35" s="2018">
        <v>2</v>
      </c>
      <c r="C35" s="2018">
        <v>1</v>
      </c>
      <c r="D35" s="2019">
        <v>325</v>
      </c>
      <c r="E35" s="2020" t="s">
        <v>556</v>
      </c>
      <c r="F35" s="2021">
        <v>250</v>
      </c>
      <c r="G35" s="2021">
        <v>8800</v>
      </c>
      <c r="H35" s="2022">
        <v>13</v>
      </c>
      <c r="I35" s="2023" t="s">
        <v>645</v>
      </c>
      <c r="J35" s="2024">
        <v>309.52380952380963</v>
      </c>
      <c r="K35" s="2024">
        <v>619.04761904761926</v>
      </c>
      <c r="L35" s="2025">
        <v>89.047619047619065</v>
      </c>
      <c r="M35" s="2026">
        <v>55</v>
      </c>
      <c r="N35" s="2008"/>
      <c r="O35" s="2027">
        <v>223.1</v>
      </c>
      <c r="P35" s="2028"/>
      <c r="Q35" s="2029">
        <v>49.1</v>
      </c>
      <c r="R35" s="2029">
        <v>24</v>
      </c>
      <c r="S35" s="2029">
        <v>150</v>
      </c>
      <c r="T35" s="2030">
        <v>0.72158309131519416</v>
      </c>
      <c r="U35" s="2013">
        <v>103.06043415058713</v>
      </c>
      <c r="V35" s="2014">
        <v>600</v>
      </c>
      <c r="W35" s="2015" t="s">
        <v>572</v>
      </c>
    </row>
    <row r="36" spans="1:23" s="2016" customFormat="1">
      <c r="A36" s="2017"/>
      <c r="B36" s="2018"/>
      <c r="C36" s="2018"/>
      <c r="E36" s="2020"/>
      <c r="F36" s="2021"/>
      <c r="G36" s="2021"/>
      <c r="H36" s="2022"/>
      <c r="I36" s="2023"/>
      <c r="J36" s="2024"/>
      <c r="K36" s="2024"/>
      <c r="L36" s="2025"/>
      <c r="M36" s="2026"/>
      <c r="N36" s="2008"/>
      <c r="O36" s="2027"/>
      <c r="P36" s="2028"/>
      <c r="Q36" s="2029"/>
      <c r="R36" s="2029"/>
      <c r="S36" s="2029"/>
      <c r="T36" s="2030"/>
      <c r="U36" s="2013"/>
      <c r="V36" s="2014"/>
      <c r="W36" s="2015"/>
    </row>
    <row r="37" spans="1:23" s="84" customFormat="1">
      <c r="L37" s="2034"/>
      <c r="U37" s="2014"/>
      <c r="V37" s="2014"/>
    </row>
    <row r="38" spans="1:23" s="84" customFormat="1" ht="18.75">
      <c r="A38" s="2017">
        <v>1</v>
      </c>
      <c r="B38" s="2018">
        <v>2</v>
      </c>
      <c r="C38" s="2035">
        <v>1</v>
      </c>
      <c r="D38" s="2019">
        <v>450</v>
      </c>
      <c r="E38" s="2036" t="s">
        <v>665</v>
      </c>
      <c r="F38" s="2037">
        <v>500</v>
      </c>
      <c r="G38" s="2037">
        <v>16300</v>
      </c>
      <c r="H38" s="2022">
        <v>13</v>
      </c>
      <c r="I38" s="2023" t="s">
        <v>645</v>
      </c>
      <c r="J38" s="2038">
        <v>426.22950819672155</v>
      </c>
      <c r="K38" s="2038">
        <v>852.45901639344311</v>
      </c>
      <c r="L38" s="2039">
        <v>101.88524590163937</v>
      </c>
      <c r="M38" s="2040">
        <v>55</v>
      </c>
      <c r="N38" s="2041"/>
      <c r="O38" s="2042">
        <v>343.1</v>
      </c>
      <c r="P38" s="2043"/>
      <c r="Q38" s="2044">
        <v>49.1</v>
      </c>
      <c r="R38" s="2044">
        <v>24</v>
      </c>
      <c r="S38" s="2044">
        <v>270</v>
      </c>
      <c r="T38" s="2045">
        <v>0.76721605677109161</v>
      </c>
      <c r="U38" s="2013">
        <v>149.06709219302664</v>
      </c>
      <c r="V38" s="2014">
        <v>800</v>
      </c>
      <c r="W38" s="2015" t="s">
        <v>572</v>
      </c>
    </row>
    <row r="39" spans="1:23" s="84" customFormat="1" ht="18.75">
      <c r="A39" s="2017"/>
      <c r="B39" s="2018"/>
      <c r="C39" s="2035"/>
      <c r="D39" s="2019"/>
      <c r="E39" s="2036"/>
      <c r="F39" s="2037"/>
      <c r="G39" s="2037"/>
      <c r="H39" s="2022"/>
      <c r="I39" s="2023"/>
      <c r="J39" s="2038"/>
      <c r="K39" s="2038"/>
      <c r="L39" s="2039"/>
      <c r="M39" s="2040"/>
      <c r="N39" s="2041"/>
      <c r="O39" s="2042"/>
      <c r="P39" s="2043"/>
      <c r="Q39" s="2044"/>
      <c r="R39" s="2044"/>
      <c r="S39" s="2044"/>
      <c r="T39" s="2045"/>
      <c r="U39" s="2013"/>
      <c r="V39" s="2014"/>
      <c r="W39" s="2015"/>
    </row>
    <row r="40" spans="1:23" s="84" customFormat="1">
      <c r="U40" s="2014"/>
      <c r="V40" s="2014"/>
    </row>
    <row r="41" spans="1:23" s="84" customFormat="1">
      <c r="U41" s="2014"/>
      <c r="V41" s="2014"/>
    </row>
    <row r="42" spans="1:23" s="84" customFormat="1">
      <c r="U42" s="2014"/>
      <c r="V42" s="2014"/>
    </row>
  </sheetData>
  <pageMargins left="0.7" right="0.7" top="0.75" bottom="0.75" header="0.3" footer="0.3"/>
  <pageSetup orientation="portrait" horizontalDpi="4294967294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5"/>
  <sheetViews>
    <sheetView workbookViewId="0">
      <selection activeCell="B14" sqref="B14"/>
    </sheetView>
  </sheetViews>
  <sheetFormatPr baseColWidth="10" defaultColWidth="9.140625" defaultRowHeight="12.75"/>
  <cols>
    <col min="5" max="5" width="10.5703125" customWidth="1"/>
  </cols>
  <sheetData>
    <row r="1" spans="1:10">
      <c r="A1" s="582" t="s">
        <v>673</v>
      </c>
    </row>
    <row r="3" spans="1:10">
      <c r="A3" s="582" t="s">
        <v>674</v>
      </c>
    </row>
    <row r="4" spans="1:10">
      <c r="A4" s="582" t="s">
        <v>676</v>
      </c>
    </row>
    <row r="5" spans="1:10">
      <c r="A5" s="582" t="s">
        <v>675</v>
      </c>
    </row>
    <row r="6" spans="1:10">
      <c r="A6" s="582" t="s">
        <v>762</v>
      </c>
    </row>
    <row r="7" spans="1:10">
      <c r="A7" s="582" t="s">
        <v>677</v>
      </c>
    </row>
    <row r="11" spans="1:10">
      <c r="G11" t="s">
        <v>756</v>
      </c>
    </row>
    <row r="12" spans="1:10">
      <c r="H12" s="1" t="s">
        <v>757</v>
      </c>
      <c r="I12" s="1" t="s">
        <v>27</v>
      </c>
      <c r="J12" s="1" t="s">
        <v>758</v>
      </c>
    </row>
    <row r="13" spans="1:10">
      <c r="E13" s="2133" t="s">
        <v>761</v>
      </c>
      <c r="H13" s="1">
        <v>3.5</v>
      </c>
      <c r="I13" s="1">
        <v>127</v>
      </c>
      <c r="J13" s="1">
        <v>3.3000000000000002E-2</v>
      </c>
    </row>
    <row r="15" spans="1:10">
      <c r="E15" s="2133" t="s">
        <v>760</v>
      </c>
      <c r="G15" t="s">
        <v>759</v>
      </c>
      <c r="H15" s="2132">
        <f>(H13*1000/(1.73*I13))*(1/J13)</f>
        <v>482.729989807501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58"/>
    <pageSetUpPr fitToPage="1"/>
  </sheetPr>
  <dimension ref="A1:AT267"/>
  <sheetViews>
    <sheetView topLeftCell="A196" zoomScale="125" workbookViewId="0">
      <pane xSplit="4" topLeftCell="E1" activePane="topRight" state="frozen"/>
      <selection activeCell="A140" sqref="A140"/>
      <selection pane="topRight" activeCell="K219" sqref="K219"/>
    </sheetView>
  </sheetViews>
  <sheetFormatPr baseColWidth="10" defaultColWidth="9.140625" defaultRowHeight="12.75"/>
  <cols>
    <col min="1" max="1" width="7.28515625" customWidth="1"/>
    <col min="2" max="2" width="6.7109375" customWidth="1"/>
    <col min="3" max="6" width="7.28515625" customWidth="1"/>
    <col min="7" max="7" width="6" customWidth="1"/>
    <col min="8" max="8" width="7.28515625" customWidth="1"/>
    <col min="9" max="9" width="3.42578125" customWidth="1"/>
    <col min="10" max="10" width="4.7109375" customWidth="1"/>
    <col min="11" max="12" width="7.28515625" customWidth="1"/>
    <col min="13" max="14" width="5.7109375" customWidth="1"/>
    <col min="15" max="15" width="7.28515625" customWidth="1"/>
    <col min="16" max="17" width="5.7109375" customWidth="1"/>
    <col min="18" max="18" width="7.28515625" customWidth="1"/>
    <col min="19" max="20" width="5.7109375" customWidth="1"/>
    <col min="21" max="21" width="7.28515625" customWidth="1"/>
    <col min="22" max="23" width="5.7109375" customWidth="1"/>
    <col min="24" max="24" width="7.28515625" customWidth="1"/>
    <col min="25" max="26" width="5.7109375" customWidth="1"/>
    <col min="27" max="27" width="7.28515625" customWidth="1"/>
    <col min="28" max="29" width="5.7109375" customWidth="1"/>
    <col min="31" max="31" width="8" customWidth="1"/>
    <col min="32" max="33" width="7.28515625" customWidth="1"/>
    <col min="34" max="34" width="8.42578125" customWidth="1"/>
    <col min="35" max="35" width="5.7109375" customWidth="1"/>
    <col min="36" max="49" width="7.28515625" customWidth="1"/>
  </cols>
  <sheetData>
    <row r="1" spans="1:46" ht="18.75" thickBot="1">
      <c r="A1" s="162" t="s">
        <v>104</v>
      </c>
      <c r="B1" s="31"/>
      <c r="C1" s="161"/>
      <c r="D1" s="6"/>
      <c r="H1" s="432" t="s">
        <v>107</v>
      </c>
    </row>
    <row r="3" spans="1:46" ht="13.5" customHeight="1"/>
    <row r="4" spans="1:46">
      <c r="A4" s="2" t="s">
        <v>23</v>
      </c>
      <c r="B4" s="1" t="s">
        <v>16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21" t="s">
        <v>29</v>
      </c>
      <c r="I4" s="21"/>
      <c r="J4" s="21" t="s">
        <v>18</v>
      </c>
      <c r="K4" s="1" t="s">
        <v>30</v>
      </c>
      <c r="L4" s="1" t="s">
        <v>31</v>
      </c>
      <c r="M4" s="1" t="s">
        <v>32</v>
      </c>
      <c r="N4" s="1" t="s">
        <v>33</v>
      </c>
      <c r="O4" s="1" t="s">
        <v>33</v>
      </c>
      <c r="P4" s="1" t="s">
        <v>33</v>
      </c>
      <c r="Q4" s="1" t="s">
        <v>34</v>
      </c>
      <c r="R4" s="1" t="s">
        <v>14</v>
      </c>
      <c r="S4" s="1" t="s">
        <v>35</v>
      </c>
      <c r="T4" s="1" t="s">
        <v>36</v>
      </c>
      <c r="U4" s="1" t="s">
        <v>37</v>
      </c>
      <c r="V4" t="s">
        <v>38</v>
      </c>
      <c r="W4" s="1" t="s">
        <v>39</v>
      </c>
    </row>
    <row r="5" spans="1:46">
      <c r="A5" s="2" t="s">
        <v>40</v>
      </c>
      <c r="B5" s="1" t="s">
        <v>41</v>
      </c>
      <c r="C5" s="1"/>
      <c r="D5" s="1" t="s">
        <v>40</v>
      </c>
      <c r="E5" s="1" t="s">
        <v>40</v>
      </c>
      <c r="F5" s="1" t="s">
        <v>42</v>
      </c>
      <c r="G5" s="1" t="s">
        <v>43</v>
      </c>
      <c r="H5" s="21" t="s">
        <v>44</v>
      </c>
      <c r="I5" s="21"/>
      <c r="J5" s="21" t="s">
        <v>44</v>
      </c>
      <c r="K5" s="1" t="s">
        <v>43</v>
      </c>
      <c r="L5" s="1" t="s">
        <v>42</v>
      </c>
      <c r="M5" s="1" t="s">
        <v>43</v>
      </c>
      <c r="N5" s="1" t="s">
        <v>45</v>
      </c>
      <c r="O5" s="1" t="s">
        <v>46</v>
      </c>
      <c r="P5" s="1" t="s">
        <v>47</v>
      </c>
      <c r="Q5" s="1" t="s">
        <v>41</v>
      </c>
      <c r="R5" s="1" t="s">
        <v>15</v>
      </c>
      <c r="S5" s="1" t="s">
        <v>48</v>
      </c>
      <c r="T5" s="1" t="s">
        <v>48</v>
      </c>
      <c r="U5" s="1" t="s">
        <v>22</v>
      </c>
      <c r="W5" s="1" t="s">
        <v>49</v>
      </c>
    </row>
    <row r="6" spans="1:46">
      <c r="A6" s="111"/>
      <c r="B6" s="7"/>
      <c r="C6" s="7"/>
      <c r="D6" s="7"/>
      <c r="E6" s="7"/>
      <c r="F6" s="7"/>
      <c r="G6" s="7"/>
      <c r="H6" s="43"/>
      <c r="I6" s="43"/>
      <c r="J6" s="43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W6" s="7"/>
    </row>
    <row r="7" spans="1:46" ht="13.5" thickBot="1">
      <c r="A7" s="111"/>
      <c r="B7" s="7"/>
      <c r="C7" s="7"/>
      <c r="D7" s="7"/>
      <c r="E7" s="7"/>
      <c r="F7" s="7"/>
      <c r="G7" s="7"/>
      <c r="H7" s="43"/>
      <c r="I7" s="43"/>
      <c r="J7" s="43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W7" s="7"/>
    </row>
    <row r="8" spans="1:46" s="155" customFormat="1" ht="20.100000000000001" customHeight="1" thickBot="1">
      <c r="A8" s="85" t="s">
        <v>77</v>
      </c>
      <c r="B8" s="144"/>
      <c r="C8" s="144"/>
      <c r="D8" s="145"/>
      <c r="E8" s="145"/>
      <c r="F8" s="145"/>
      <c r="G8" s="150"/>
      <c r="H8" s="168" t="s">
        <v>97</v>
      </c>
      <c r="I8" s="148"/>
      <c r="J8" s="148"/>
      <c r="K8" s="148"/>
      <c r="L8" s="149"/>
      <c r="M8" s="1076" t="s">
        <v>83</v>
      </c>
      <c r="N8" s="153"/>
      <c r="O8" s="96"/>
      <c r="P8" s="144"/>
      <c r="Q8" s="144"/>
      <c r="R8" s="44"/>
      <c r="S8" s="144"/>
      <c r="T8" s="144"/>
      <c r="U8" s="150"/>
      <c r="V8" s="85" t="s">
        <v>84</v>
      </c>
      <c r="W8" s="144"/>
      <c r="X8" s="144"/>
      <c r="Y8" s="144"/>
      <c r="Z8" s="144"/>
      <c r="AA8" s="144"/>
      <c r="AB8" s="144"/>
      <c r="AC8" s="144"/>
      <c r="AD8" s="150"/>
      <c r="AE8" s="151" t="s">
        <v>62</v>
      </c>
      <c r="AF8" s="152"/>
      <c r="AG8" s="181" t="s">
        <v>90</v>
      </c>
      <c r="AH8" s="149"/>
      <c r="AI8" s="182" t="s">
        <v>87</v>
      </c>
      <c r="AJ8" s="153"/>
      <c r="AK8" s="153"/>
      <c r="AL8" s="154"/>
      <c r="AM8" s="95" t="s">
        <v>88</v>
      </c>
      <c r="AN8" s="153"/>
      <c r="AO8" s="153"/>
      <c r="AP8" s="153"/>
      <c r="AQ8" s="153"/>
      <c r="AR8" s="150"/>
      <c r="AS8" s="83"/>
    </row>
    <row r="9" spans="1:46" s="120" customFormat="1" ht="20.100000000000001" customHeight="1" thickBot="1">
      <c r="A9" s="121" t="s">
        <v>23</v>
      </c>
      <c r="B9" s="122"/>
      <c r="C9" s="214" t="s">
        <v>76</v>
      </c>
      <c r="D9" s="123"/>
      <c r="E9" s="217" t="s">
        <v>57</v>
      </c>
      <c r="F9" s="218"/>
      <c r="G9" s="219"/>
      <c r="H9" s="126"/>
      <c r="I9" s="116"/>
      <c r="J9" s="116"/>
      <c r="K9" s="116"/>
      <c r="L9" s="116"/>
      <c r="M9" s="118" t="s">
        <v>81</v>
      </c>
      <c r="N9" s="116"/>
      <c r="O9" s="40"/>
      <c r="P9" s="118" t="s">
        <v>82</v>
      </c>
      <c r="Q9" s="116"/>
      <c r="R9" s="40"/>
      <c r="S9" s="118" t="s">
        <v>80</v>
      </c>
      <c r="T9" s="116"/>
      <c r="U9" s="40"/>
      <c r="V9" s="239" t="s">
        <v>78</v>
      </c>
      <c r="W9" s="218"/>
      <c r="X9" s="122"/>
      <c r="Y9" s="239" t="s">
        <v>79</v>
      </c>
      <c r="Z9" s="218"/>
      <c r="AA9" s="122"/>
      <c r="AB9" s="243" t="s">
        <v>80</v>
      </c>
      <c r="AC9" s="218"/>
      <c r="AD9" s="218"/>
      <c r="AE9" s="124"/>
      <c r="AF9" s="125"/>
      <c r="AG9" s="205" t="s">
        <v>94</v>
      </c>
      <c r="AH9" s="179" t="s">
        <v>95</v>
      </c>
      <c r="AI9" s="127"/>
      <c r="AJ9" s="294"/>
      <c r="AK9" s="293" t="s">
        <v>66</v>
      </c>
      <c r="AL9" s="252" t="s">
        <v>66</v>
      </c>
      <c r="AM9" s="243" t="s">
        <v>68</v>
      </c>
      <c r="AN9" s="246"/>
      <c r="AO9" s="246"/>
      <c r="AP9" s="246"/>
      <c r="AQ9" s="219"/>
      <c r="AR9" s="219" t="s">
        <v>96</v>
      </c>
      <c r="AS9" s="119"/>
    </row>
    <row r="10" spans="1:46" s="143" customFormat="1" ht="20.100000000000001" customHeight="1">
      <c r="A10" s="115">
        <v>120</v>
      </c>
      <c r="B10" s="136" t="s">
        <v>92</v>
      </c>
      <c r="C10" s="135" t="s">
        <v>93</v>
      </c>
      <c r="D10" s="215" t="s">
        <v>16</v>
      </c>
      <c r="E10" s="115" t="s">
        <v>99</v>
      </c>
      <c r="F10" s="1175" t="s">
        <v>100</v>
      </c>
      <c r="G10" s="1130">
        <v>12</v>
      </c>
      <c r="H10" s="115" t="s">
        <v>27</v>
      </c>
      <c r="I10" s="134"/>
      <c r="J10" s="310">
        <v>35</v>
      </c>
      <c r="K10" s="138" t="s">
        <v>28</v>
      </c>
      <c r="L10" s="1068" t="s">
        <v>29</v>
      </c>
      <c r="M10" s="310">
        <v>35</v>
      </c>
      <c r="N10" s="1078" t="s">
        <v>60</v>
      </c>
      <c r="O10" s="160" t="s">
        <v>363</v>
      </c>
      <c r="P10" s="310">
        <v>30</v>
      </c>
      <c r="Q10" s="1078" t="s">
        <v>60</v>
      </c>
      <c r="R10" s="160" t="s">
        <v>361</v>
      </c>
      <c r="S10" s="310">
        <v>30</v>
      </c>
      <c r="T10" s="1049" t="s">
        <v>60</v>
      </c>
      <c r="U10" s="160" t="s">
        <v>361</v>
      </c>
      <c r="V10" s="310">
        <v>15</v>
      </c>
      <c r="W10" s="139" t="s">
        <v>60</v>
      </c>
      <c r="X10" s="160" t="s">
        <v>85</v>
      </c>
      <c r="Y10" s="310">
        <v>10</v>
      </c>
      <c r="Z10" s="139" t="s">
        <v>60</v>
      </c>
      <c r="AA10" s="160" t="s">
        <v>85</v>
      </c>
      <c r="AB10" s="310">
        <v>10</v>
      </c>
      <c r="AC10" s="139" t="s">
        <v>60</v>
      </c>
      <c r="AD10" s="160" t="s">
        <v>85</v>
      </c>
      <c r="AE10" s="140"/>
      <c r="AF10" s="141"/>
      <c r="AG10" s="70">
        <v>40</v>
      </c>
      <c r="AH10" s="19">
        <v>55</v>
      </c>
      <c r="AI10" s="310">
        <v>20</v>
      </c>
      <c r="AJ10" s="134" t="s">
        <v>64</v>
      </c>
      <c r="AK10" s="137">
        <v>100</v>
      </c>
      <c r="AL10" s="134">
        <v>200</v>
      </c>
      <c r="AM10" s="247" t="s">
        <v>91</v>
      </c>
      <c r="AN10" s="138" t="s">
        <v>69</v>
      </c>
      <c r="AO10" s="138" t="s">
        <v>70</v>
      </c>
      <c r="AP10" s="138" t="s">
        <v>71</v>
      </c>
      <c r="AQ10" s="245" t="s">
        <v>73</v>
      </c>
      <c r="AR10" s="249" t="s">
        <v>64</v>
      </c>
      <c r="AS10" s="142"/>
    </row>
    <row r="11" spans="1:46" s="120" customFormat="1" ht="20.100000000000001" customHeight="1" thickBot="1">
      <c r="A11" s="210" t="s">
        <v>24</v>
      </c>
      <c r="B11" s="211" t="s">
        <v>53</v>
      </c>
      <c r="C11" s="210" t="s">
        <v>53</v>
      </c>
      <c r="D11" s="216" t="s">
        <v>22</v>
      </c>
      <c r="E11" s="225" t="s">
        <v>53</v>
      </c>
      <c r="F11" s="1176" t="s">
        <v>22</v>
      </c>
      <c r="G11" s="1129" t="s">
        <v>55</v>
      </c>
      <c r="H11" s="210" t="s">
        <v>42</v>
      </c>
      <c r="I11" s="231"/>
      <c r="J11" s="1128" t="s">
        <v>59</v>
      </c>
      <c r="K11" s="220" t="s">
        <v>43</v>
      </c>
      <c r="L11" s="1069" t="s">
        <v>44</v>
      </c>
      <c r="M11" s="1128" t="s">
        <v>59</v>
      </c>
      <c r="N11" s="1075" t="s">
        <v>22</v>
      </c>
      <c r="O11" s="369" t="s">
        <v>22</v>
      </c>
      <c r="P11" s="1128" t="s">
        <v>59</v>
      </c>
      <c r="Q11" s="1075" t="s">
        <v>22</v>
      </c>
      <c r="R11" s="369" t="s">
        <v>22</v>
      </c>
      <c r="S11" s="1128" t="s">
        <v>59</v>
      </c>
      <c r="T11" s="1055" t="s">
        <v>22</v>
      </c>
      <c r="U11" s="369" t="s">
        <v>22</v>
      </c>
      <c r="V11" s="1128" t="s">
        <v>59</v>
      </c>
      <c r="W11" s="220" t="s">
        <v>22</v>
      </c>
      <c r="X11" s="369" t="s">
        <v>86</v>
      </c>
      <c r="Y11" s="1128" t="s">
        <v>59</v>
      </c>
      <c r="Z11" s="220" t="s">
        <v>22</v>
      </c>
      <c r="AA11" s="369" t="s">
        <v>86</v>
      </c>
      <c r="AB11" s="1128" t="s">
        <v>59</v>
      </c>
      <c r="AC11" s="220" t="s">
        <v>22</v>
      </c>
      <c r="AD11" s="369" t="s">
        <v>86</v>
      </c>
      <c r="AE11" s="244" t="s">
        <v>63</v>
      </c>
      <c r="AF11" s="231" t="s">
        <v>67</v>
      </c>
      <c r="AG11" s="75" t="s">
        <v>61</v>
      </c>
      <c r="AH11" s="17" t="s">
        <v>61</v>
      </c>
      <c r="AI11" s="1128" t="s">
        <v>59</v>
      </c>
      <c r="AJ11" s="231" t="s">
        <v>65</v>
      </c>
      <c r="AK11" s="244" t="s">
        <v>89</v>
      </c>
      <c r="AL11" s="231" t="s">
        <v>89</v>
      </c>
      <c r="AM11" s="248" t="s">
        <v>72</v>
      </c>
      <c r="AN11" s="220" t="s">
        <v>74</v>
      </c>
      <c r="AO11" s="220" t="s">
        <v>74</v>
      </c>
      <c r="AP11" s="220" t="s">
        <v>74</v>
      </c>
      <c r="AQ11" s="242" t="s">
        <v>75</v>
      </c>
      <c r="AR11" s="250" t="s">
        <v>67</v>
      </c>
      <c r="AS11" s="128"/>
    </row>
    <row r="12" spans="1:46" s="120" customFormat="1" ht="20.100000000000001" customHeight="1">
      <c r="A12" s="208"/>
      <c r="B12" s="209"/>
      <c r="C12" s="212"/>
      <c r="D12" s="222"/>
      <c r="E12" s="227"/>
      <c r="F12" s="1175"/>
      <c r="G12" s="229"/>
      <c r="H12" s="227"/>
      <c r="I12" s="229"/>
      <c r="J12" s="234"/>
      <c r="K12" s="230"/>
      <c r="L12" s="1070"/>
      <c r="M12" s="1073"/>
      <c r="N12" s="1074"/>
      <c r="O12" s="1166"/>
      <c r="P12" s="1073"/>
      <c r="Q12" s="1074"/>
      <c r="R12" s="1166"/>
      <c r="S12" s="1073"/>
      <c r="T12" s="1074"/>
      <c r="U12" s="1166"/>
      <c r="V12" s="237"/>
      <c r="W12" s="241"/>
      <c r="X12" s="1166"/>
      <c r="Y12" s="237"/>
      <c r="Z12" s="241"/>
      <c r="AA12" s="1166"/>
      <c r="AB12" s="237"/>
      <c r="AC12" s="241"/>
      <c r="AD12" s="1166"/>
      <c r="AE12" s="213"/>
      <c r="AF12" s="229"/>
      <c r="AG12" s="213"/>
      <c r="AH12" s="238"/>
      <c r="AI12" s="237"/>
      <c r="AJ12" s="209"/>
      <c r="AK12" s="208"/>
      <c r="AL12" s="209"/>
      <c r="AM12" s="213"/>
      <c r="AN12" s="228"/>
      <c r="AO12" s="228"/>
      <c r="AP12" s="228"/>
      <c r="AQ12" s="238"/>
      <c r="AR12" s="251"/>
      <c r="AS12" s="119"/>
    </row>
    <row r="13" spans="1:46" s="174" customFormat="1" ht="20.100000000000001" customHeight="1">
      <c r="A13" s="450">
        <v>60</v>
      </c>
      <c r="B13" s="1139">
        <v>2.4500000000000002</v>
      </c>
      <c r="C13" s="438">
        <f>A13*B13</f>
        <v>147</v>
      </c>
      <c r="D13" s="1140">
        <v>5</v>
      </c>
      <c r="E13" s="438">
        <v>240</v>
      </c>
      <c r="F13" s="1097">
        <f>L13*1000/E13</f>
        <v>6.25</v>
      </c>
      <c r="G13" s="442">
        <f>G$10</f>
        <v>12</v>
      </c>
      <c r="H13" s="443">
        <f>1.11*(1+G13/100)*C13</f>
        <v>182.75040000000004</v>
      </c>
      <c r="I13" s="446"/>
      <c r="J13" s="551">
        <f>J10</f>
        <v>35</v>
      </c>
      <c r="K13" s="441">
        <f>(1+J13/100)*D13*1.11</f>
        <v>7.4925000000000006</v>
      </c>
      <c r="L13" s="1141">
        <f>CEILING(H13*K13/1000,0.25)</f>
        <v>1.5</v>
      </c>
      <c r="M13" s="1071">
        <f>M$10</f>
        <v>35</v>
      </c>
      <c r="N13" s="353">
        <f>(1+M13/100)*F13</f>
        <v>8.4375</v>
      </c>
      <c r="O13" s="439">
        <f>LOOKUP(N13,'Circuit Breakers'!$B$5:$B$38,'Circuit Breakers'!$C$5:$C$38)</f>
        <v>10</v>
      </c>
      <c r="P13" s="1071">
        <f>P$10</f>
        <v>30</v>
      </c>
      <c r="Q13" s="353">
        <f>(1+P13/100)*K13</f>
        <v>9.7402500000000014</v>
      </c>
      <c r="R13" s="439">
        <f>LOOKUP(Q13,'Circuit Breakers'!$B$5:$B$38,'Circuit Breakers'!$C$5:$C$38)</f>
        <v>10</v>
      </c>
      <c r="S13" s="1071">
        <f>S$10</f>
        <v>30</v>
      </c>
      <c r="T13" s="353">
        <f>(1+S13/100)*D13</f>
        <v>6.5</v>
      </c>
      <c r="U13" s="439">
        <f>LOOKUP(T13,'Circuit Breakers'!$B$5:$B$38,'Circuit Breakers'!$C$5:$C$38)</f>
        <v>10</v>
      </c>
      <c r="V13" s="1153">
        <f>V$10</f>
        <v>15</v>
      </c>
      <c r="W13" s="441">
        <f>(1+V13/100)*F13</f>
        <v>7.1874999999999991</v>
      </c>
      <c r="X13" s="439" t="str">
        <f>LOOKUP(W13,'Wire-Cables Ampacities'!$B$5:$B$35,'Wire-Cables Ampacities'!$C$5:$C$35)</f>
        <v>#10</v>
      </c>
      <c r="Y13" s="1153">
        <f>Y$10</f>
        <v>10</v>
      </c>
      <c r="Z13" s="441">
        <f>(1+Y13/100)*K13</f>
        <v>8.2417500000000015</v>
      </c>
      <c r="AA13" s="439" t="str">
        <f>LOOKUP(Z13,'Wire-Cables Ampacities'!$B$5:$B$35,'Wire-Cables Ampacities'!$C$5:$C$35)</f>
        <v>#10</v>
      </c>
      <c r="AB13" s="1153">
        <f>AB$10</f>
        <v>10</v>
      </c>
      <c r="AC13" s="441">
        <f>(1+AB13/100)*D13</f>
        <v>5.5</v>
      </c>
      <c r="AD13" s="439" t="str">
        <f>LOOKUP(AC13,'Wire-Cables Ampacities'!$B$5:$B$35,'Wire-Cables Ampacities'!$C$5:$C$35)</f>
        <v>#10</v>
      </c>
      <c r="AE13" s="449">
        <f>(2*D13+0.05*L13*1000)/1000</f>
        <v>8.500000000000002E-2</v>
      </c>
      <c r="AF13" s="446">
        <f>AE13*3.412142*1000</f>
        <v>290.03207000000003</v>
      </c>
      <c r="AG13" s="450">
        <f t="shared" ref="AG13:AI14" si="0">AG$10</f>
        <v>40</v>
      </c>
      <c r="AH13" s="450">
        <f t="shared" si="0"/>
        <v>55</v>
      </c>
      <c r="AI13" s="1153">
        <f t="shared" si="0"/>
        <v>20</v>
      </c>
      <c r="AJ13" s="446">
        <f>1760*AE13/(AH13-AG13)*(1+AI13/100)</f>
        <v>11.968000000000002</v>
      </c>
      <c r="AK13" s="1154">
        <f>AJ13/AK$20</f>
        <v>0.13297777777777781</v>
      </c>
      <c r="AL13" s="451">
        <f>AJ13/AL$20</f>
        <v>6.6488888888888903E-2</v>
      </c>
      <c r="AM13" s="1155">
        <v>450</v>
      </c>
      <c r="AN13" s="441">
        <v>24</v>
      </c>
      <c r="AO13" s="452">
        <v>30</v>
      </c>
      <c r="AP13" s="452">
        <v>16</v>
      </c>
      <c r="AQ13" s="453">
        <f>((2*AO13*AN13)+2*(AO13*AP13)+(AN13*AP13))/144</f>
        <v>19.333333333333332</v>
      </c>
      <c r="AR13" s="1156">
        <f>AF13+(1.25*AQ13*(AG13-AH13))</f>
        <v>-72.46792999999991</v>
      </c>
      <c r="AS13" s="172"/>
      <c r="AT13" s="173"/>
    </row>
    <row r="14" spans="1:46" s="112" customFormat="1" ht="20.100000000000001" customHeight="1" thickBot="1">
      <c r="A14" s="1142">
        <v>92</v>
      </c>
      <c r="B14" s="1143">
        <v>1.7</v>
      </c>
      <c r="C14" s="1144">
        <f>A14*B14</f>
        <v>156.4</v>
      </c>
      <c r="D14" s="1145">
        <v>10</v>
      </c>
      <c r="E14" s="1144">
        <f>IF(L14/120*1000*1.5&lt;65,120,IF(L14/208*1000*1.5&lt;65,208,IF(L14/240*1000*1.5&lt;65,240,480)))</f>
        <v>120</v>
      </c>
      <c r="F14" s="1177">
        <f>L14*1000/E14</f>
        <v>25</v>
      </c>
      <c r="G14" s="1147">
        <f>G$10</f>
        <v>12</v>
      </c>
      <c r="H14" s="1148">
        <f>1.11*(1+G14/100)*C14</f>
        <v>194.43648000000005</v>
      </c>
      <c r="I14" s="1149"/>
      <c r="J14" s="1150">
        <f>J10</f>
        <v>35</v>
      </c>
      <c r="K14" s="1146">
        <f>(1+J14/100)*D14*1.11</f>
        <v>14.985000000000001</v>
      </c>
      <c r="L14" s="1151">
        <f>CEILING(H14*K14/1000,0.25)</f>
        <v>3</v>
      </c>
      <c r="M14" s="1072">
        <f>M$10</f>
        <v>35</v>
      </c>
      <c r="N14" s="260">
        <f>(1+M14/100)*F14</f>
        <v>33.75</v>
      </c>
      <c r="O14" s="1167">
        <f>LOOKUP(N14,'Circuit Breakers'!$B$5:$B$38,'Circuit Breakers'!$C$5:$C$38)</f>
        <v>40</v>
      </c>
      <c r="P14" s="1072">
        <f>P$10</f>
        <v>30</v>
      </c>
      <c r="Q14" s="260">
        <f>(1+P14/100)*K14</f>
        <v>19.480500000000003</v>
      </c>
      <c r="R14" s="1167">
        <f>LOOKUP(Q14,'Circuit Breakers'!$B$5:$B$38,'Circuit Breakers'!$C$5:$C$38)</f>
        <v>20</v>
      </c>
      <c r="S14" s="1072">
        <f>S$10</f>
        <v>30</v>
      </c>
      <c r="T14" s="260">
        <f>(1+S14/100)*D14</f>
        <v>13</v>
      </c>
      <c r="U14" s="1167">
        <f>LOOKUP(T14,'Circuit Breakers'!$B$5:$B$38,'Circuit Breakers'!$C$5:$C$38)</f>
        <v>15</v>
      </c>
      <c r="V14" s="1157">
        <f>V$10</f>
        <v>15</v>
      </c>
      <c r="W14" s="1146">
        <f>(1+V14/100)*F14</f>
        <v>28.749999999999996</v>
      </c>
      <c r="X14" s="1167" t="str">
        <f>LOOKUP(W14,'Wire-Cables Ampacities'!$B$5:$B$35,'Wire-Cables Ampacities'!$C$5:$C$35)</f>
        <v>#10</v>
      </c>
      <c r="Y14" s="1157">
        <f>Y$10</f>
        <v>10</v>
      </c>
      <c r="Z14" s="1146">
        <f>(1+Y14/100)*K14</f>
        <v>16.483500000000003</v>
      </c>
      <c r="AA14" s="1167" t="str">
        <f>LOOKUP(Z14,'Wire-Cables Ampacities'!$B$5:$B$35,'Wire-Cables Ampacities'!$C$5:$C$35)</f>
        <v>#10</v>
      </c>
      <c r="AB14" s="1157">
        <f>AB$10</f>
        <v>10</v>
      </c>
      <c r="AC14" s="1146">
        <f>(1+AB14/100)*D14</f>
        <v>11</v>
      </c>
      <c r="AD14" s="1167" t="str">
        <f>LOOKUP(AC14,'Wire-Cables Ampacities'!$B$5:$B$35,'Wire-Cables Ampacities'!$C$5:$C$35)</f>
        <v>#10</v>
      </c>
      <c r="AE14" s="1159">
        <f>(2*D14+0.05*L14*1000)/1000</f>
        <v>0.17000000000000004</v>
      </c>
      <c r="AF14" s="1149">
        <f>AE14*3.412142*1000</f>
        <v>580.06414000000007</v>
      </c>
      <c r="AG14" s="1142">
        <f t="shared" si="0"/>
        <v>40</v>
      </c>
      <c r="AH14" s="1158">
        <f t="shared" si="0"/>
        <v>55</v>
      </c>
      <c r="AI14" s="1157">
        <f t="shared" si="0"/>
        <v>20</v>
      </c>
      <c r="AJ14" s="1149">
        <f>1760*AE14/(AH14-AG14)*(1+AI14/100)</f>
        <v>23.936000000000003</v>
      </c>
      <c r="AK14" s="1160">
        <f>AJ14/AK$20</f>
        <v>0.26595555555555561</v>
      </c>
      <c r="AL14" s="1161">
        <f>AJ14/AL$20</f>
        <v>0.13297777777777781</v>
      </c>
      <c r="AM14" s="1162">
        <v>450</v>
      </c>
      <c r="AN14" s="1146">
        <v>24</v>
      </c>
      <c r="AO14" s="1163">
        <v>30</v>
      </c>
      <c r="AP14" s="1163">
        <v>16</v>
      </c>
      <c r="AQ14" s="1164">
        <f>((2*AO14*AN14)+2*(AO14*AP14)+(AN14*AP14))/144</f>
        <v>19.333333333333332</v>
      </c>
      <c r="AR14" s="1165">
        <f>AF14+(1.25*AQ14*(AG14-AH14))</f>
        <v>217.56414000000012</v>
      </c>
      <c r="AS14" s="113"/>
      <c r="AT14" s="114"/>
    </row>
    <row r="15" spans="1:46">
      <c r="A15" s="111"/>
      <c r="B15" s="7"/>
      <c r="C15" s="7"/>
      <c r="D15" s="7"/>
      <c r="E15" s="7"/>
      <c r="F15" s="7"/>
      <c r="G15" s="7"/>
      <c r="H15" s="43"/>
      <c r="I15" s="43"/>
      <c r="J15" s="4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W15" s="7"/>
    </row>
    <row r="16" spans="1:46">
      <c r="L16" s="576"/>
    </row>
    <row r="17" spans="1:46" ht="13.5" thickBot="1"/>
    <row r="18" spans="1:46" ht="16.5" thickBot="1">
      <c r="A18" s="95" t="s">
        <v>77</v>
      </c>
      <c r="B18" s="96"/>
      <c r="C18" s="44"/>
      <c r="D18" s="86"/>
      <c r="E18" s="86"/>
      <c r="F18" s="86"/>
      <c r="G18" s="87"/>
      <c r="H18" s="290" t="s">
        <v>98</v>
      </c>
      <c r="I18" s="42"/>
      <c r="J18" s="51"/>
      <c r="K18" s="42"/>
      <c r="L18" s="40"/>
      <c r="M18" s="290" t="s">
        <v>83</v>
      </c>
      <c r="N18" s="42"/>
      <c r="O18" s="44"/>
      <c r="P18" s="44"/>
      <c r="Q18" s="44"/>
      <c r="R18" s="44"/>
      <c r="S18" s="44"/>
      <c r="T18" s="44"/>
      <c r="U18" s="6"/>
      <c r="V18" s="184" t="s">
        <v>84</v>
      </c>
      <c r="W18" s="44"/>
      <c r="X18" s="44"/>
      <c r="Y18" s="44"/>
      <c r="Z18" s="44"/>
      <c r="AA18" s="44"/>
      <c r="AB18" s="44"/>
      <c r="AC18" s="44"/>
      <c r="AD18" s="6"/>
      <c r="AE18" s="291" t="s">
        <v>62</v>
      </c>
      <c r="AF18" s="80"/>
      <c r="AG18" s="290" t="s">
        <v>90</v>
      </c>
      <c r="AH18" s="40"/>
      <c r="AI18" s="292" t="s">
        <v>87</v>
      </c>
      <c r="AJ18" s="90"/>
      <c r="AK18" s="90"/>
      <c r="AL18" s="49"/>
      <c r="AM18" s="189" t="s">
        <v>88</v>
      </c>
      <c r="AN18" s="90"/>
      <c r="AO18" s="90"/>
      <c r="AP18" s="90"/>
      <c r="AQ18" s="90"/>
      <c r="AR18" s="6"/>
      <c r="AS18" s="7"/>
    </row>
    <row r="19" spans="1:46" ht="13.5" thickBot="1">
      <c r="A19" s="97" t="s">
        <v>23</v>
      </c>
      <c r="B19" s="48"/>
      <c r="C19" s="189" t="s">
        <v>76</v>
      </c>
      <c r="D19" s="190"/>
      <c r="E19" s="189" t="s">
        <v>57</v>
      </c>
      <c r="F19" s="191"/>
      <c r="G19" s="192"/>
      <c r="H19" s="76"/>
      <c r="I19" s="90"/>
      <c r="J19" s="175"/>
      <c r="K19" s="90"/>
      <c r="L19" s="49"/>
      <c r="M19" s="47" t="s">
        <v>81</v>
      </c>
      <c r="N19" s="96"/>
      <c r="O19" s="49"/>
      <c r="P19" s="47" t="s">
        <v>82</v>
      </c>
      <c r="Q19" s="96"/>
      <c r="R19" s="49"/>
      <c r="S19" s="47" t="s">
        <v>80</v>
      </c>
      <c r="T19" s="96"/>
      <c r="U19" s="49"/>
      <c r="V19" s="76" t="s">
        <v>78</v>
      </c>
      <c r="W19" s="96"/>
      <c r="X19" s="48"/>
      <c r="Y19" s="76" t="s">
        <v>79</v>
      </c>
      <c r="Z19" s="96"/>
      <c r="AA19" s="48"/>
      <c r="AB19" s="47" t="s">
        <v>80</v>
      </c>
      <c r="AC19" s="96"/>
      <c r="AD19" s="48"/>
      <c r="AE19" s="176"/>
      <c r="AF19" s="177"/>
      <c r="AG19" s="205" t="s">
        <v>94</v>
      </c>
      <c r="AH19" s="179" t="s">
        <v>95</v>
      </c>
      <c r="AI19" s="178"/>
      <c r="AJ19" s="198"/>
      <c r="AK19" s="1132" t="s">
        <v>66</v>
      </c>
      <c r="AL19" s="1133" t="s">
        <v>66</v>
      </c>
      <c r="AM19" s="47" t="s">
        <v>68</v>
      </c>
      <c r="AN19" s="90"/>
      <c r="AO19" s="90"/>
      <c r="AP19" s="90"/>
      <c r="AQ19" s="49"/>
      <c r="AR19" s="80"/>
      <c r="AS19" s="7"/>
    </row>
    <row r="20" spans="1:46">
      <c r="A20" s="65">
        <v>12</v>
      </c>
      <c r="B20" s="67" t="s">
        <v>92</v>
      </c>
      <c r="C20" s="65" t="s">
        <v>93</v>
      </c>
      <c r="D20" s="67" t="s">
        <v>16</v>
      </c>
      <c r="E20" s="65" t="s">
        <v>99</v>
      </c>
      <c r="F20" s="18" t="s">
        <v>100</v>
      </c>
      <c r="G20" s="1130">
        <v>12</v>
      </c>
      <c r="H20" s="65" t="s">
        <v>27</v>
      </c>
      <c r="I20" s="18"/>
      <c r="J20" s="310">
        <v>35</v>
      </c>
      <c r="K20" s="18" t="s">
        <v>28</v>
      </c>
      <c r="L20" s="156" t="s">
        <v>29</v>
      </c>
      <c r="M20" s="310">
        <v>35</v>
      </c>
      <c r="N20" s="1049" t="s">
        <v>60</v>
      </c>
      <c r="O20" s="1062" t="s">
        <v>363</v>
      </c>
      <c r="P20" s="310">
        <v>30</v>
      </c>
      <c r="Q20" s="1049" t="s">
        <v>60</v>
      </c>
      <c r="R20" s="1062" t="s">
        <v>361</v>
      </c>
      <c r="S20" s="310">
        <v>30</v>
      </c>
      <c r="T20" s="1049" t="s">
        <v>60</v>
      </c>
      <c r="U20" s="1062" t="s">
        <v>361</v>
      </c>
      <c r="V20" s="310">
        <v>15</v>
      </c>
      <c r="W20" s="62" t="s">
        <v>60</v>
      </c>
      <c r="X20" s="1131" t="s">
        <v>85</v>
      </c>
      <c r="Y20" s="310">
        <v>10</v>
      </c>
      <c r="Z20" s="62" t="s">
        <v>60</v>
      </c>
      <c r="AA20" s="1131" t="s">
        <v>85</v>
      </c>
      <c r="AB20" s="310">
        <v>10</v>
      </c>
      <c r="AC20" s="62" t="s">
        <v>60</v>
      </c>
      <c r="AD20" s="1131" t="s">
        <v>85</v>
      </c>
      <c r="AE20" s="77"/>
      <c r="AF20" s="204"/>
      <c r="AG20" s="70">
        <v>40</v>
      </c>
      <c r="AH20" s="19">
        <v>55</v>
      </c>
      <c r="AI20" s="310">
        <v>20</v>
      </c>
      <c r="AJ20" s="71" t="s">
        <v>64</v>
      </c>
      <c r="AK20" s="79">
        <v>90</v>
      </c>
      <c r="AL20" s="19">
        <v>180</v>
      </c>
      <c r="AM20" s="284" t="s">
        <v>91</v>
      </c>
      <c r="AN20" s="18" t="s">
        <v>69</v>
      </c>
      <c r="AO20" s="18" t="s">
        <v>70</v>
      </c>
      <c r="AP20" s="18" t="s">
        <v>71</v>
      </c>
      <c r="AQ20" s="19" t="s">
        <v>73</v>
      </c>
      <c r="AR20" s="285" t="s">
        <v>64</v>
      </c>
      <c r="AS20" s="92"/>
    </row>
    <row r="21" spans="1:46" ht="13.5" thickBot="1">
      <c r="A21" s="187" t="s">
        <v>24</v>
      </c>
      <c r="B21" s="188" t="s">
        <v>53</v>
      </c>
      <c r="C21" s="187" t="s">
        <v>53</v>
      </c>
      <c r="D21" s="188" t="s">
        <v>22</v>
      </c>
      <c r="E21" s="187" t="s">
        <v>53</v>
      </c>
      <c r="F21" s="16" t="s">
        <v>22</v>
      </c>
      <c r="G21" s="1129" t="s">
        <v>55</v>
      </c>
      <c r="H21" s="187" t="s">
        <v>42</v>
      </c>
      <c r="I21" s="16"/>
      <c r="J21" s="1128" t="s">
        <v>59</v>
      </c>
      <c r="K21" s="16" t="s">
        <v>43</v>
      </c>
      <c r="L21" s="195" t="s">
        <v>44</v>
      </c>
      <c r="M21" s="1128" t="s">
        <v>59</v>
      </c>
      <c r="N21" s="1055" t="s">
        <v>22</v>
      </c>
      <c r="O21" s="188" t="s">
        <v>22</v>
      </c>
      <c r="P21" s="1128" t="s">
        <v>59</v>
      </c>
      <c r="Q21" s="1055" t="s">
        <v>22</v>
      </c>
      <c r="R21" s="188" t="s">
        <v>22</v>
      </c>
      <c r="S21" s="1128" t="s">
        <v>59</v>
      </c>
      <c r="T21" s="1055" t="s">
        <v>22</v>
      </c>
      <c r="U21" s="188" t="s">
        <v>22</v>
      </c>
      <c r="V21" s="1128" t="s">
        <v>59</v>
      </c>
      <c r="W21" s="16" t="s">
        <v>22</v>
      </c>
      <c r="X21" s="188" t="s">
        <v>86</v>
      </c>
      <c r="Y21" s="1128" t="s">
        <v>59</v>
      </c>
      <c r="Z21" s="16" t="s">
        <v>22</v>
      </c>
      <c r="AA21" s="188" t="s">
        <v>86</v>
      </c>
      <c r="AB21" s="1128" t="s">
        <v>59</v>
      </c>
      <c r="AC21" s="16" t="s">
        <v>22</v>
      </c>
      <c r="AD21" s="188" t="s">
        <v>86</v>
      </c>
      <c r="AE21" s="75" t="s">
        <v>63</v>
      </c>
      <c r="AF21" s="202" t="s">
        <v>67</v>
      </c>
      <c r="AG21" s="75" t="s">
        <v>61</v>
      </c>
      <c r="AH21" s="17" t="s">
        <v>61</v>
      </c>
      <c r="AI21" s="1128" t="s">
        <v>59</v>
      </c>
      <c r="AJ21" s="17" t="s">
        <v>65</v>
      </c>
      <c r="AK21" s="207" t="s">
        <v>89</v>
      </c>
      <c r="AL21" s="17" t="s">
        <v>89</v>
      </c>
      <c r="AM21" s="75" t="s">
        <v>72</v>
      </c>
      <c r="AN21" s="16" t="s">
        <v>74</v>
      </c>
      <c r="AO21" s="16" t="s">
        <v>74</v>
      </c>
      <c r="AP21" s="16" t="s">
        <v>74</v>
      </c>
      <c r="AQ21" s="17" t="s">
        <v>75</v>
      </c>
      <c r="AR21" s="200" t="s">
        <v>67</v>
      </c>
      <c r="AS21" s="46"/>
    </row>
    <row r="22" spans="1:46">
      <c r="A22" s="70"/>
      <c r="B22" s="19"/>
      <c r="C22" s="65"/>
      <c r="D22" s="67"/>
      <c r="E22" s="65"/>
      <c r="F22" s="18"/>
      <c r="G22" s="19"/>
      <c r="H22" s="65"/>
      <c r="I22" s="18"/>
      <c r="J22" s="73"/>
      <c r="K22" s="18"/>
      <c r="L22" s="156"/>
      <c r="M22" s="54"/>
      <c r="N22" s="1049"/>
      <c r="O22" s="67"/>
      <c r="P22" s="203"/>
      <c r="Q22" s="1049"/>
      <c r="R22" s="1063"/>
      <c r="S22" s="54"/>
      <c r="T22" s="1059"/>
      <c r="U22" s="67"/>
      <c r="V22" s="203"/>
      <c r="W22" s="269"/>
      <c r="X22" s="156"/>
      <c r="Y22" s="54"/>
      <c r="Z22" s="269"/>
      <c r="AA22" s="156"/>
      <c r="AB22" s="54"/>
      <c r="AC22" s="269"/>
      <c r="AD22" s="156"/>
      <c r="AE22" s="70"/>
      <c r="AF22" s="19"/>
      <c r="AG22" s="70"/>
      <c r="AH22" s="19"/>
      <c r="AI22" s="54"/>
      <c r="AJ22" s="19"/>
      <c r="AK22" s="70"/>
      <c r="AL22" s="197"/>
      <c r="AM22" s="70"/>
      <c r="AN22" s="18"/>
      <c r="AO22" s="18"/>
      <c r="AP22" s="18"/>
      <c r="AQ22" s="19"/>
      <c r="AR22" s="286"/>
      <c r="AS22" s="7"/>
    </row>
    <row r="23" spans="1:46">
      <c r="A23" s="72">
        <f>A$20/2</f>
        <v>6</v>
      </c>
      <c r="B23" s="61">
        <v>2.4500000000000002</v>
      </c>
      <c r="C23" s="66">
        <f>A23*B23</f>
        <v>14.700000000000001</v>
      </c>
      <c r="D23" s="68">
        <v>5</v>
      </c>
      <c r="E23" s="66">
        <f t="shared" ref="E23:E51" si="1">IF(L23/120*1000*1.5&lt;65,120,IF(L23/208*1000*1.5&lt;65,208,IF(L23/240*1000*1.5&lt;65,240,480)))</f>
        <v>120</v>
      </c>
      <c r="F23" s="45">
        <f>L23*1000/E23</f>
        <v>2.0833333333333335</v>
      </c>
      <c r="G23" s="94">
        <f t="shared" ref="G23:G51" si="2">G$20</f>
        <v>12</v>
      </c>
      <c r="H23" s="295">
        <f>1.11*(1+G23/100)*C23+2</f>
        <v>20.275040000000004</v>
      </c>
      <c r="I23" s="25"/>
      <c r="J23" s="52">
        <f t="shared" ref="J23:J51" si="3">J$20</f>
        <v>35</v>
      </c>
      <c r="K23" s="25">
        <f t="shared" ref="K23:K51" si="4">(1+J23/100)*D23*1.11</f>
        <v>7.4925000000000006</v>
      </c>
      <c r="L23" s="427">
        <f>IF(CEILING(H23*K23/1000,0.25)&lt;10,CEILING(H23*K23/1000,0.25),IF(CEILING(H23*K23/1000,0.25)&lt;20,CEILING(H23*K23/1000,0.5),CEILING(H23*K23/1000,1)))</f>
        <v>0.25</v>
      </c>
      <c r="M23" s="64">
        <f t="shared" ref="M23:M51" si="5">M$20</f>
        <v>35</v>
      </c>
      <c r="N23" s="838">
        <f t="shared" ref="N23:N51" si="6">(1+M23/100)*F23</f>
        <v>2.8125000000000004</v>
      </c>
      <c r="O23" s="68">
        <f>LOOKUP(N23,'Circuit Breakers'!$B$5:$B$38,'Circuit Breakers'!$C$5:$C$38)</f>
        <v>5</v>
      </c>
      <c r="P23" s="199">
        <f t="shared" ref="P23:P51" si="7">P$20</f>
        <v>30</v>
      </c>
      <c r="Q23" s="1056">
        <f>(1+P23/100)*K23</f>
        <v>9.7402500000000014</v>
      </c>
      <c r="R23" s="1064">
        <f>LOOKUP(Q23,'Circuit Breakers'!$B$5:$B$38,'Circuit Breakers'!$C$5:$C$38)</f>
        <v>10</v>
      </c>
      <c r="S23" s="64">
        <f t="shared" ref="S23:S51" si="8">S$20</f>
        <v>30</v>
      </c>
      <c r="T23" s="25">
        <f>(1+S23/100)*D23</f>
        <v>6.5</v>
      </c>
      <c r="U23" s="158">
        <f>LOOKUP(T23,'Circuit Breakers'!$B$5:$B$38,'Circuit Breakers'!$C$5:$C$38)</f>
        <v>10</v>
      </c>
      <c r="V23" s="199">
        <f t="shared" ref="V23:V51" si="9">V$20</f>
        <v>15</v>
      </c>
      <c r="W23" s="25">
        <f t="shared" ref="W23:W51" si="10">(1+V23/100)*F23</f>
        <v>2.3958333333333335</v>
      </c>
      <c r="X23" s="68" t="str">
        <f>LOOKUP(W23,'Wire-Cables Ampacities'!$B$5:$B$35,'Wire-Cables Ampacities'!$C$5:$C$35)</f>
        <v>#10</v>
      </c>
      <c r="Y23" s="64">
        <f t="shared" ref="Y23:Y51" si="11">Y$20</f>
        <v>10</v>
      </c>
      <c r="Z23" s="25">
        <f t="shared" ref="Z23:Z51" si="12">(1+Y23/100)*K23</f>
        <v>8.2417500000000015</v>
      </c>
      <c r="AA23" s="68" t="str">
        <f>LOOKUP(Z23,'Wire-Cables Ampacities'!$B$5:$B$35,'Wire-Cables Ampacities'!$C$5:$C$35)</f>
        <v>#10</v>
      </c>
      <c r="AB23" s="64">
        <f t="shared" ref="AB23:AB51" si="13">AB$20</f>
        <v>10</v>
      </c>
      <c r="AC23" s="25">
        <f t="shared" ref="AC23:AC51" si="14">(1+AB23/100)*D23</f>
        <v>5.5</v>
      </c>
      <c r="AD23" s="68" t="str">
        <f>LOOKUP(AC23,'Wire-Cables Ampacities'!$B$5:$B$35,'Wire-Cables Ampacities'!$C$5:$C$35)</f>
        <v>#10</v>
      </c>
      <c r="AE23" s="81">
        <f>(2*D23+0.05*L23*1000)/1000</f>
        <v>2.2499999999999999E-2</v>
      </c>
      <c r="AF23" s="56">
        <f t="shared" ref="AF23:AF51" si="15">AE23*3.412142*1000</f>
        <v>76.773194999999987</v>
      </c>
      <c r="AG23" s="72">
        <f>AG$20</f>
        <v>40</v>
      </c>
      <c r="AH23" s="15">
        <f>AH$20</f>
        <v>55</v>
      </c>
      <c r="AI23" s="64">
        <f>AI$20</f>
        <v>20</v>
      </c>
      <c r="AJ23" s="56">
        <f>1760*AE23/(AH23-AG23)*(1+AI23/100)</f>
        <v>3.1680000000000001</v>
      </c>
      <c r="AK23" s="271">
        <f>AJ23/AK$20</f>
        <v>3.5200000000000002E-2</v>
      </c>
      <c r="AL23" s="277">
        <f>AJ23/AL$20</f>
        <v>1.7600000000000001E-2</v>
      </c>
      <c r="AM23" s="58">
        <v>450</v>
      </c>
      <c r="AN23" s="25">
        <v>24</v>
      </c>
      <c r="AO23" s="3">
        <v>30</v>
      </c>
      <c r="AP23" s="3">
        <v>16</v>
      </c>
      <c r="AQ23" s="74">
        <f>((2*AO23*AN23)+2*(AO23*AP23)+(AN23*AP23))/144</f>
        <v>19.333333333333332</v>
      </c>
      <c r="AR23" s="287">
        <f>AF23+(1.25*AQ23*(AG23-AH23))</f>
        <v>-285.72680499999996</v>
      </c>
      <c r="AS23" s="93"/>
      <c r="AT23" s="4"/>
    </row>
    <row r="24" spans="1:46">
      <c r="A24" s="98">
        <f t="shared" ref="A24:A51" si="16">A$20/2</f>
        <v>6</v>
      </c>
      <c r="B24" s="304">
        <v>2.4500000000000002</v>
      </c>
      <c r="C24" s="100">
        <f t="shared" ref="C24:C51" si="17">A24*B24</f>
        <v>14.700000000000001</v>
      </c>
      <c r="D24" s="101">
        <v>10</v>
      </c>
      <c r="E24" s="100">
        <f t="shared" si="1"/>
        <v>120</v>
      </c>
      <c r="F24" s="102">
        <f t="shared" ref="F24:F51" si="18">L24*1000/E24</f>
        <v>4.166666666666667</v>
      </c>
      <c r="G24" s="103">
        <f t="shared" si="2"/>
        <v>12</v>
      </c>
      <c r="H24" s="296">
        <f t="shared" ref="H24:H51" si="19">1.11*(1+G24/100)*C24+2</f>
        <v>20.275040000000004</v>
      </c>
      <c r="I24" s="104"/>
      <c r="J24" s="180">
        <f t="shared" si="3"/>
        <v>35</v>
      </c>
      <c r="K24" s="104">
        <f t="shared" si="4"/>
        <v>14.985000000000001</v>
      </c>
      <c r="L24" s="428">
        <f t="shared" ref="L24:L51" si="20">IF(CEILING(H24*K24/1000,0.25)&lt;10,CEILING(H24*K24/1000,0.25),IF(CEILING(H24*K24/1000,0.25)&lt;20,CEILING(H24*K24/1000,0.5),CEILING(H24*K24/1000,1)))</f>
        <v>0.5</v>
      </c>
      <c r="M24" s="106">
        <f t="shared" si="5"/>
        <v>35</v>
      </c>
      <c r="N24" s="1060">
        <f t="shared" si="6"/>
        <v>5.6250000000000009</v>
      </c>
      <c r="O24" s="101">
        <f>LOOKUP(N24,'Circuit Breakers'!$B$5:$B$38,'Circuit Breakers'!$C$5:$C$38)</f>
        <v>10</v>
      </c>
      <c r="P24" s="262">
        <f t="shared" si="7"/>
        <v>30</v>
      </c>
      <c r="Q24" s="1057">
        <f t="shared" ref="Q24:Q51" si="21">(1+P24/100)*K24</f>
        <v>19.480500000000003</v>
      </c>
      <c r="R24" s="1065">
        <f>LOOKUP(Q24,'Circuit Breakers'!$B$5:$B$38,'Circuit Breakers'!$C$5:$C$38)</f>
        <v>20</v>
      </c>
      <c r="S24" s="106">
        <f t="shared" si="8"/>
        <v>30</v>
      </c>
      <c r="T24" s="104">
        <f t="shared" ref="T24:T51" si="22">(1+S24/100)*D24</f>
        <v>13</v>
      </c>
      <c r="U24" s="477">
        <f>LOOKUP(T24,'Circuit Breakers'!$B$5:$B$38,'Circuit Breakers'!$C$5:$C$38)</f>
        <v>15</v>
      </c>
      <c r="V24" s="262">
        <f t="shared" si="9"/>
        <v>15</v>
      </c>
      <c r="W24" s="104">
        <f t="shared" si="10"/>
        <v>4.791666666666667</v>
      </c>
      <c r="X24" s="101" t="str">
        <f>LOOKUP(W24,'Wire-Cables Ampacities'!$B$5:$B$35,'Wire-Cables Ampacities'!$C$5:$C$35)</f>
        <v>#10</v>
      </c>
      <c r="Y24" s="106">
        <f t="shared" si="11"/>
        <v>10</v>
      </c>
      <c r="Z24" s="104">
        <f t="shared" si="12"/>
        <v>16.483500000000003</v>
      </c>
      <c r="AA24" s="101" t="str">
        <f>LOOKUP(Z24,'Wire-Cables Ampacities'!$B$5:$B$35,'Wire-Cables Ampacities'!$C$5:$C$35)</f>
        <v>#10</v>
      </c>
      <c r="AB24" s="106">
        <f t="shared" si="13"/>
        <v>10</v>
      </c>
      <c r="AC24" s="104">
        <f t="shared" si="14"/>
        <v>11</v>
      </c>
      <c r="AD24" s="101" t="str">
        <f>LOOKUP(AC24,'Wire-Cables Ampacities'!$B$5:$B$35,'Wire-Cables Ampacities'!$C$5:$C$35)</f>
        <v>#10</v>
      </c>
      <c r="AE24" s="107">
        <f t="shared" ref="AE24:AE51" si="23">(2*D24+0.05*L24*1000)/1000</f>
        <v>4.4999999999999998E-2</v>
      </c>
      <c r="AF24" s="105">
        <f t="shared" si="15"/>
        <v>153.54638999999997</v>
      </c>
      <c r="AG24" s="98">
        <f t="shared" ref="AG24:AH51" si="24">AG$20</f>
        <v>40</v>
      </c>
      <c r="AH24" s="99">
        <f t="shared" si="24"/>
        <v>55</v>
      </c>
      <c r="AI24" s="106">
        <f t="shared" ref="AI24:AI51" si="25">AI$20</f>
        <v>20</v>
      </c>
      <c r="AJ24" s="105">
        <f t="shared" ref="AJ24:AJ51" si="26">1760*AE24/(AH24-AG24)*(1+AI24/100)</f>
        <v>6.3360000000000003</v>
      </c>
      <c r="AK24" s="272">
        <f t="shared" ref="AK24:AK51" si="27">AJ24/AK$20</f>
        <v>7.0400000000000004E-2</v>
      </c>
      <c r="AL24" s="278">
        <f t="shared" ref="AL24:AL51" si="28">AJ24/AL$20</f>
        <v>3.5200000000000002E-2</v>
      </c>
      <c r="AM24" s="109">
        <v>450</v>
      </c>
      <c r="AN24" s="104">
        <v>24</v>
      </c>
      <c r="AO24" s="110">
        <v>30</v>
      </c>
      <c r="AP24" s="110">
        <v>16</v>
      </c>
      <c r="AQ24" s="108">
        <f t="shared" ref="AQ24:AQ51" si="29">((2*AO24*AN24)+2*(AO24*AP24)+(AN24*AP24))/144</f>
        <v>19.333333333333332</v>
      </c>
      <c r="AR24" s="288">
        <f t="shared" ref="AR24:AR51" si="30">AF24+(1.25*AQ24*(AG24-AH24))</f>
        <v>-208.95360999999997</v>
      </c>
      <c r="AS24" s="93"/>
      <c r="AT24" s="4"/>
    </row>
    <row r="25" spans="1:46">
      <c r="A25" s="72">
        <f t="shared" si="16"/>
        <v>6</v>
      </c>
      <c r="B25" s="61">
        <v>2.4500000000000002</v>
      </c>
      <c r="C25" s="66">
        <f t="shared" si="17"/>
        <v>14.700000000000001</v>
      </c>
      <c r="D25" s="68">
        <v>15</v>
      </c>
      <c r="E25" s="66">
        <f t="shared" si="1"/>
        <v>120</v>
      </c>
      <c r="F25" s="45">
        <f t="shared" si="18"/>
        <v>4.166666666666667</v>
      </c>
      <c r="G25" s="94">
        <f t="shared" si="2"/>
        <v>12</v>
      </c>
      <c r="H25" s="295">
        <f t="shared" si="19"/>
        <v>20.275040000000004</v>
      </c>
      <c r="I25" s="25"/>
      <c r="J25" s="52">
        <f t="shared" si="3"/>
        <v>35</v>
      </c>
      <c r="K25" s="25">
        <f t="shared" si="4"/>
        <v>22.477500000000003</v>
      </c>
      <c r="L25" s="427">
        <f t="shared" si="20"/>
        <v>0.5</v>
      </c>
      <c r="M25" s="64">
        <f t="shared" si="5"/>
        <v>35</v>
      </c>
      <c r="N25" s="838">
        <f t="shared" si="6"/>
        <v>5.6250000000000009</v>
      </c>
      <c r="O25" s="68">
        <f>LOOKUP(N25,'Circuit Breakers'!$B$5:$B$38,'Circuit Breakers'!$C$5:$C$38)</f>
        <v>10</v>
      </c>
      <c r="P25" s="1080">
        <f>P$20</f>
        <v>30</v>
      </c>
      <c r="Q25" s="1056">
        <f t="shared" si="21"/>
        <v>29.220750000000006</v>
      </c>
      <c r="R25" s="1064">
        <f>LOOKUP(Q25,'Circuit Breakers'!$B$5:$B$38,'Circuit Breakers'!$C$5:$C$38)</f>
        <v>30</v>
      </c>
      <c r="S25" s="64">
        <f t="shared" si="8"/>
        <v>30</v>
      </c>
      <c r="T25" s="25">
        <f t="shared" si="22"/>
        <v>19.5</v>
      </c>
      <c r="U25" s="158">
        <f>LOOKUP(T25,'Circuit Breakers'!$B$5:$B$38,'Circuit Breakers'!$C$5:$C$38)</f>
        <v>20</v>
      </c>
      <c r="V25" s="199">
        <f t="shared" si="9"/>
        <v>15</v>
      </c>
      <c r="W25" s="25">
        <f t="shared" si="10"/>
        <v>4.791666666666667</v>
      </c>
      <c r="X25" s="68" t="str">
        <f>LOOKUP(W25,'Wire-Cables Ampacities'!$B$5:$B$35,'Wire-Cables Ampacities'!$C$5:$C$35)</f>
        <v>#10</v>
      </c>
      <c r="Y25" s="64">
        <f t="shared" si="11"/>
        <v>10</v>
      </c>
      <c r="Z25" s="25">
        <f t="shared" si="12"/>
        <v>24.725250000000006</v>
      </c>
      <c r="AA25" s="68" t="str">
        <f>LOOKUP(Z25,'Wire-Cables Ampacities'!$B$5:$B$35,'Wire-Cables Ampacities'!$C$5:$C$35)</f>
        <v>#10</v>
      </c>
      <c r="AB25" s="64">
        <f t="shared" si="13"/>
        <v>10</v>
      </c>
      <c r="AC25" s="25">
        <f t="shared" si="14"/>
        <v>16.5</v>
      </c>
      <c r="AD25" s="68" t="str">
        <f>LOOKUP(AC25,'Wire-Cables Ampacities'!$B$5:$B$35,'Wire-Cables Ampacities'!$C$5:$C$35)</f>
        <v>#10</v>
      </c>
      <c r="AE25" s="81">
        <f t="shared" si="23"/>
        <v>5.5E-2</v>
      </c>
      <c r="AF25" s="56">
        <f t="shared" si="15"/>
        <v>187.66781</v>
      </c>
      <c r="AG25" s="72">
        <f t="shared" si="24"/>
        <v>40</v>
      </c>
      <c r="AH25" s="15">
        <f t="shared" si="24"/>
        <v>55</v>
      </c>
      <c r="AI25" s="64">
        <f t="shared" si="25"/>
        <v>20</v>
      </c>
      <c r="AJ25" s="56">
        <f t="shared" si="26"/>
        <v>7.7439999999999998</v>
      </c>
      <c r="AK25" s="271">
        <f t="shared" si="27"/>
        <v>8.6044444444444437E-2</v>
      </c>
      <c r="AL25" s="277">
        <f t="shared" si="28"/>
        <v>4.3022222222222219E-2</v>
      </c>
      <c r="AM25" s="58">
        <v>450</v>
      </c>
      <c r="AN25" s="25">
        <v>24</v>
      </c>
      <c r="AO25" s="3">
        <v>30</v>
      </c>
      <c r="AP25" s="3">
        <v>16</v>
      </c>
      <c r="AQ25" s="74">
        <f t="shared" si="29"/>
        <v>19.333333333333332</v>
      </c>
      <c r="AR25" s="287">
        <f t="shared" si="30"/>
        <v>-174.83218999999994</v>
      </c>
      <c r="AS25" s="93"/>
      <c r="AT25" s="4"/>
    </row>
    <row r="26" spans="1:46">
      <c r="A26" s="72">
        <f t="shared" si="16"/>
        <v>6</v>
      </c>
      <c r="B26" s="61">
        <v>2.4500000000000002</v>
      </c>
      <c r="C26" s="66">
        <f t="shared" si="17"/>
        <v>14.700000000000001</v>
      </c>
      <c r="D26" s="68">
        <v>20</v>
      </c>
      <c r="E26" s="66">
        <f t="shared" si="1"/>
        <v>120</v>
      </c>
      <c r="F26" s="45">
        <f t="shared" si="18"/>
        <v>6.25</v>
      </c>
      <c r="G26" s="94">
        <f t="shared" si="2"/>
        <v>12</v>
      </c>
      <c r="H26" s="295">
        <f t="shared" si="19"/>
        <v>20.275040000000004</v>
      </c>
      <c r="I26" s="25"/>
      <c r="J26" s="52">
        <f t="shared" si="3"/>
        <v>35</v>
      </c>
      <c r="K26" s="25">
        <f t="shared" si="4"/>
        <v>29.970000000000002</v>
      </c>
      <c r="L26" s="427">
        <f t="shared" si="20"/>
        <v>0.75</v>
      </c>
      <c r="M26" s="55">
        <f>M$20</f>
        <v>35</v>
      </c>
      <c r="N26" s="838">
        <f t="shared" si="6"/>
        <v>8.4375</v>
      </c>
      <c r="O26" s="68">
        <f>LOOKUP(N26,'Circuit Breakers'!$B$5:$B$38,'Circuit Breakers'!$C$5:$C$38)</f>
        <v>10</v>
      </c>
      <c r="P26" s="199">
        <f t="shared" si="7"/>
        <v>30</v>
      </c>
      <c r="Q26" s="1056">
        <f t="shared" si="21"/>
        <v>38.961000000000006</v>
      </c>
      <c r="R26" s="1064">
        <f>LOOKUP(Q26,'Circuit Breakers'!$B$5:$B$38,'Circuit Breakers'!$C$5:$C$38)</f>
        <v>40</v>
      </c>
      <c r="S26" s="64">
        <f t="shared" si="8"/>
        <v>30</v>
      </c>
      <c r="T26" s="25">
        <f t="shared" si="22"/>
        <v>26</v>
      </c>
      <c r="U26" s="158">
        <f>LOOKUP(T26,'Circuit Breakers'!$B$5:$B$38,'Circuit Breakers'!$C$5:$C$38)</f>
        <v>30</v>
      </c>
      <c r="V26" s="199">
        <f t="shared" si="9"/>
        <v>15</v>
      </c>
      <c r="W26" s="25">
        <f t="shared" si="10"/>
        <v>7.1874999999999991</v>
      </c>
      <c r="X26" s="68" t="str">
        <f>LOOKUP(W26,'Wire-Cables Ampacities'!$B$5:$B$35,'Wire-Cables Ampacities'!$C$5:$C$35)</f>
        <v>#10</v>
      </c>
      <c r="Y26" s="64">
        <f t="shared" si="11"/>
        <v>10</v>
      </c>
      <c r="Z26" s="25">
        <f t="shared" si="12"/>
        <v>32.967000000000006</v>
      </c>
      <c r="AA26" s="68" t="str">
        <f>LOOKUP(Z26,'Wire-Cables Ampacities'!$B$5:$B$35,'Wire-Cables Ampacities'!$C$5:$C$35)</f>
        <v>#10</v>
      </c>
      <c r="AB26" s="64">
        <f t="shared" si="13"/>
        <v>10</v>
      </c>
      <c r="AC26" s="25">
        <f t="shared" si="14"/>
        <v>22</v>
      </c>
      <c r="AD26" s="68" t="str">
        <f>LOOKUP(AC26,'Wire-Cables Ampacities'!$B$5:$B$35,'Wire-Cables Ampacities'!$C$5:$C$35)</f>
        <v>#10</v>
      </c>
      <c r="AE26" s="81">
        <f t="shared" si="23"/>
        <v>7.7499999999999999E-2</v>
      </c>
      <c r="AF26" s="56">
        <f t="shared" si="15"/>
        <v>264.44100500000002</v>
      </c>
      <c r="AG26" s="72">
        <f t="shared" si="24"/>
        <v>40</v>
      </c>
      <c r="AH26" s="15">
        <f t="shared" si="24"/>
        <v>55</v>
      </c>
      <c r="AI26" s="64">
        <f t="shared" si="25"/>
        <v>20</v>
      </c>
      <c r="AJ26" s="56">
        <f t="shared" si="26"/>
        <v>10.912000000000001</v>
      </c>
      <c r="AK26" s="271">
        <f t="shared" si="27"/>
        <v>0.12124444444444446</v>
      </c>
      <c r="AL26" s="277">
        <f t="shared" si="28"/>
        <v>6.062222222222223E-2</v>
      </c>
      <c r="AM26" s="58">
        <v>450</v>
      </c>
      <c r="AN26" s="25">
        <v>24</v>
      </c>
      <c r="AO26" s="3">
        <v>30</v>
      </c>
      <c r="AP26" s="3">
        <v>16</v>
      </c>
      <c r="AQ26" s="74">
        <f t="shared" si="29"/>
        <v>19.333333333333332</v>
      </c>
      <c r="AR26" s="287">
        <f t="shared" si="30"/>
        <v>-98.058994999999925</v>
      </c>
      <c r="AS26" s="93"/>
      <c r="AT26" s="4"/>
    </row>
    <row r="27" spans="1:46">
      <c r="A27" s="98">
        <f t="shared" si="16"/>
        <v>6</v>
      </c>
      <c r="B27" s="304">
        <v>2.4500000000000002</v>
      </c>
      <c r="C27" s="100">
        <f t="shared" si="17"/>
        <v>14.700000000000001</v>
      </c>
      <c r="D27" s="101">
        <v>25</v>
      </c>
      <c r="E27" s="100">
        <f t="shared" si="1"/>
        <v>120</v>
      </c>
      <c r="F27" s="102">
        <f t="shared" si="18"/>
        <v>8.3333333333333339</v>
      </c>
      <c r="G27" s="103">
        <f t="shared" si="2"/>
        <v>12</v>
      </c>
      <c r="H27" s="296">
        <f t="shared" si="19"/>
        <v>20.275040000000004</v>
      </c>
      <c r="I27" s="104"/>
      <c r="J27" s="180">
        <f t="shared" si="3"/>
        <v>35</v>
      </c>
      <c r="K27" s="104">
        <f t="shared" si="4"/>
        <v>37.462500000000006</v>
      </c>
      <c r="L27" s="428">
        <f t="shared" si="20"/>
        <v>1</v>
      </c>
      <c r="M27" s="106">
        <f t="shared" si="5"/>
        <v>35</v>
      </c>
      <c r="N27" s="1060">
        <f t="shared" si="6"/>
        <v>11.250000000000002</v>
      </c>
      <c r="O27" s="101">
        <f>LOOKUP(N27,'Circuit Breakers'!$B$5:$B$38,'Circuit Breakers'!$C$5:$C$38)</f>
        <v>15</v>
      </c>
      <c r="P27" s="262">
        <f t="shared" si="7"/>
        <v>30</v>
      </c>
      <c r="Q27" s="1057">
        <f t="shared" si="21"/>
        <v>48.701250000000009</v>
      </c>
      <c r="R27" s="1065">
        <f>LOOKUP(Q27,'Circuit Breakers'!$B$5:$B$38,'Circuit Breakers'!$C$5:$C$38)</f>
        <v>50</v>
      </c>
      <c r="S27" s="106">
        <f t="shared" si="8"/>
        <v>30</v>
      </c>
      <c r="T27" s="104">
        <f t="shared" si="22"/>
        <v>32.5</v>
      </c>
      <c r="U27" s="477">
        <f>LOOKUP(T27,'Circuit Breakers'!$B$5:$B$38,'Circuit Breakers'!$C$5:$C$38)</f>
        <v>40</v>
      </c>
      <c r="V27" s="262">
        <f t="shared" si="9"/>
        <v>15</v>
      </c>
      <c r="W27" s="104">
        <f t="shared" si="10"/>
        <v>9.5833333333333339</v>
      </c>
      <c r="X27" s="101" t="str">
        <f>LOOKUP(W27,'Wire-Cables Ampacities'!$B$5:$B$35,'Wire-Cables Ampacities'!$C$5:$C$35)</f>
        <v>#10</v>
      </c>
      <c r="Y27" s="106">
        <f t="shared" si="11"/>
        <v>10</v>
      </c>
      <c r="Z27" s="104">
        <f t="shared" si="12"/>
        <v>41.208750000000009</v>
      </c>
      <c r="AA27" s="101" t="str">
        <f>LOOKUP(Z27,'Wire-Cables Ampacities'!$B$5:$B$35,'Wire-Cables Ampacities'!$C$5:$C$35)</f>
        <v>#8</v>
      </c>
      <c r="AB27" s="106">
        <f t="shared" si="13"/>
        <v>10</v>
      </c>
      <c r="AC27" s="104">
        <f t="shared" si="14"/>
        <v>27.500000000000004</v>
      </c>
      <c r="AD27" s="101" t="str">
        <f>LOOKUP(AC27,'Wire-Cables Ampacities'!$B$5:$B$35,'Wire-Cables Ampacities'!$C$5:$C$35)</f>
        <v>#10</v>
      </c>
      <c r="AE27" s="107">
        <f t="shared" si="23"/>
        <v>0.1</v>
      </c>
      <c r="AF27" s="105">
        <f t="shared" si="15"/>
        <v>341.21420000000001</v>
      </c>
      <c r="AG27" s="98">
        <f t="shared" si="24"/>
        <v>40</v>
      </c>
      <c r="AH27" s="99">
        <f t="shared" si="24"/>
        <v>55</v>
      </c>
      <c r="AI27" s="106">
        <f t="shared" si="25"/>
        <v>20</v>
      </c>
      <c r="AJ27" s="105">
        <f t="shared" si="26"/>
        <v>14.079999999999998</v>
      </c>
      <c r="AK27" s="272">
        <f t="shared" si="27"/>
        <v>0.15644444444444441</v>
      </c>
      <c r="AL27" s="278">
        <f t="shared" si="28"/>
        <v>7.8222222222222207E-2</v>
      </c>
      <c r="AM27" s="109">
        <v>450</v>
      </c>
      <c r="AN27" s="104">
        <v>24</v>
      </c>
      <c r="AO27" s="110">
        <v>30</v>
      </c>
      <c r="AP27" s="110">
        <v>16</v>
      </c>
      <c r="AQ27" s="108">
        <f t="shared" si="29"/>
        <v>19.333333333333332</v>
      </c>
      <c r="AR27" s="288">
        <f t="shared" si="30"/>
        <v>-21.285799999999938</v>
      </c>
      <c r="AS27" s="93"/>
      <c r="AT27" s="4"/>
    </row>
    <row r="28" spans="1:46">
      <c r="A28" s="72">
        <f t="shared" si="16"/>
        <v>6</v>
      </c>
      <c r="B28" s="61">
        <v>2.4500000000000002</v>
      </c>
      <c r="C28" s="66">
        <f t="shared" si="17"/>
        <v>14.700000000000001</v>
      </c>
      <c r="D28" s="68">
        <v>30</v>
      </c>
      <c r="E28" s="66">
        <f t="shared" si="1"/>
        <v>120</v>
      </c>
      <c r="F28" s="45">
        <f t="shared" si="18"/>
        <v>8.3333333333333339</v>
      </c>
      <c r="G28" s="94">
        <f t="shared" si="2"/>
        <v>12</v>
      </c>
      <c r="H28" s="295">
        <f t="shared" si="19"/>
        <v>20.275040000000004</v>
      </c>
      <c r="I28" s="25"/>
      <c r="J28" s="52">
        <f t="shared" si="3"/>
        <v>35</v>
      </c>
      <c r="K28" s="25">
        <f t="shared" si="4"/>
        <v>44.955000000000005</v>
      </c>
      <c r="L28" s="427">
        <f t="shared" si="20"/>
        <v>1</v>
      </c>
      <c r="M28" s="64">
        <f t="shared" si="5"/>
        <v>35</v>
      </c>
      <c r="N28" s="838">
        <f t="shared" si="6"/>
        <v>11.250000000000002</v>
      </c>
      <c r="O28" s="68">
        <f>LOOKUP(N28,'Circuit Breakers'!$B$5:$B$38,'Circuit Breakers'!$C$5:$C$38)</f>
        <v>15</v>
      </c>
      <c r="P28" s="199">
        <f t="shared" si="7"/>
        <v>30</v>
      </c>
      <c r="Q28" s="1056">
        <f t="shared" si="21"/>
        <v>58.441500000000012</v>
      </c>
      <c r="R28" s="1064">
        <f>LOOKUP(Q28,'Circuit Breakers'!$B$5:$B$38,'Circuit Breakers'!$C$5:$C$38)</f>
        <v>60</v>
      </c>
      <c r="S28" s="64">
        <f t="shared" si="8"/>
        <v>30</v>
      </c>
      <c r="T28" s="25">
        <f t="shared" si="22"/>
        <v>39</v>
      </c>
      <c r="U28" s="158">
        <f>LOOKUP(T28,'Circuit Breakers'!$B$5:$B$38,'Circuit Breakers'!$C$5:$C$38)</f>
        <v>40</v>
      </c>
      <c r="V28" s="199">
        <f t="shared" si="9"/>
        <v>15</v>
      </c>
      <c r="W28" s="25">
        <f t="shared" si="10"/>
        <v>9.5833333333333339</v>
      </c>
      <c r="X28" s="68" t="str">
        <f>LOOKUP(W28,'Wire-Cables Ampacities'!$B$5:$B$35,'Wire-Cables Ampacities'!$C$5:$C$35)</f>
        <v>#10</v>
      </c>
      <c r="Y28" s="64">
        <f t="shared" si="11"/>
        <v>10</v>
      </c>
      <c r="Z28" s="25">
        <f t="shared" si="12"/>
        <v>49.450500000000012</v>
      </c>
      <c r="AA28" s="68" t="str">
        <f>LOOKUP(Z28,'Wire-Cables Ampacities'!$B$5:$B$35,'Wire-Cables Ampacities'!$C$5:$C$35)</f>
        <v>#8</v>
      </c>
      <c r="AB28" s="64">
        <f t="shared" si="13"/>
        <v>10</v>
      </c>
      <c r="AC28" s="25">
        <f t="shared" si="14"/>
        <v>33</v>
      </c>
      <c r="AD28" s="68" t="str">
        <f>LOOKUP(AC28,'Wire-Cables Ampacities'!$B$5:$B$35,'Wire-Cables Ampacities'!$C$5:$C$35)</f>
        <v>#10</v>
      </c>
      <c r="AE28" s="81">
        <f t="shared" si="23"/>
        <v>0.11</v>
      </c>
      <c r="AF28" s="56">
        <f t="shared" si="15"/>
        <v>375.33562000000001</v>
      </c>
      <c r="AG28" s="72">
        <f t="shared" si="24"/>
        <v>40</v>
      </c>
      <c r="AH28" s="15">
        <f t="shared" si="24"/>
        <v>55</v>
      </c>
      <c r="AI28" s="64">
        <f t="shared" si="25"/>
        <v>20</v>
      </c>
      <c r="AJ28" s="56">
        <f t="shared" si="26"/>
        <v>15.488</v>
      </c>
      <c r="AK28" s="271">
        <f t="shared" si="27"/>
        <v>0.17208888888888887</v>
      </c>
      <c r="AL28" s="277">
        <f t="shared" si="28"/>
        <v>8.6044444444444437E-2</v>
      </c>
      <c r="AM28" s="58">
        <v>450</v>
      </c>
      <c r="AN28" s="25">
        <v>24</v>
      </c>
      <c r="AO28" s="3">
        <v>30</v>
      </c>
      <c r="AP28" s="3">
        <v>16</v>
      </c>
      <c r="AQ28" s="74">
        <f t="shared" si="29"/>
        <v>19.333333333333332</v>
      </c>
      <c r="AR28" s="287">
        <f t="shared" si="30"/>
        <v>12.835620000000063</v>
      </c>
      <c r="AS28" s="93"/>
      <c r="AT28" s="4"/>
    </row>
    <row r="29" spans="1:46">
      <c r="A29" s="72">
        <f t="shared" si="16"/>
        <v>6</v>
      </c>
      <c r="B29" s="61">
        <v>2.4500000000000002</v>
      </c>
      <c r="C29" s="66">
        <f t="shared" si="17"/>
        <v>14.700000000000001</v>
      </c>
      <c r="D29" s="68">
        <v>35</v>
      </c>
      <c r="E29" s="66">
        <f t="shared" si="1"/>
        <v>120</v>
      </c>
      <c r="F29" s="45">
        <f t="shared" si="18"/>
        <v>10.416666666666666</v>
      </c>
      <c r="G29" s="94">
        <f t="shared" si="2"/>
        <v>12</v>
      </c>
      <c r="H29" s="295">
        <f t="shared" si="19"/>
        <v>20.275040000000004</v>
      </c>
      <c r="I29" s="25"/>
      <c r="J29" s="52">
        <f t="shared" si="3"/>
        <v>35</v>
      </c>
      <c r="K29" s="25">
        <f t="shared" si="4"/>
        <v>52.447500000000005</v>
      </c>
      <c r="L29" s="427">
        <f t="shared" si="20"/>
        <v>1.25</v>
      </c>
      <c r="M29" s="64">
        <f t="shared" si="5"/>
        <v>35</v>
      </c>
      <c r="N29" s="838">
        <f t="shared" si="6"/>
        <v>14.0625</v>
      </c>
      <c r="O29" s="68">
        <f>LOOKUP(N29,'Circuit Breakers'!$B$5:$B$38,'Circuit Breakers'!$C$5:$C$38)</f>
        <v>15</v>
      </c>
      <c r="P29" s="199">
        <f t="shared" si="7"/>
        <v>30</v>
      </c>
      <c r="Q29" s="1056">
        <f t="shared" si="21"/>
        <v>68.181750000000008</v>
      </c>
      <c r="R29" s="1064">
        <f>LOOKUP(Q29,'Circuit Breakers'!$B$5:$B$38,'Circuit Breakers'!$C$5:$C$38)</f>
        <v>70</v>
      </c>
      <c r="S29" s="64">
        <f t="shared" si="8"/>
        <v>30</v>
      </c>
      <c r="T29" s="25">
        <f t="shared" si="22"/>
        <v>45.5</v>
      </c>
      <c r="U29" s="158">
        <f>LOOKUP(T29,'Circuit Breakers'!$B$5:$B$38,'Circuit Breakers'!$C$5:$C$38)</f>
        <v>50</v>
      </c>
      <c r="V29" s="199">
        <f t="shared" si="9"/>
        <v>15</v>
      </c>
      <c r="W29" s="25">
        <f t="shared" si="10"/>
        <v>11.979166666666664</v>
      </c>
      <c r="X29" s="68" t="str">
        <f>LOOKUP(W29,'Wire-Cables Ampacities'!$B$5:$B$35,'Wire-Cables Ampacities'!$C$5:$C$35)</f>
        <v>#10</v>
      </c>
      <c r="Y29" s="64">
        <f t="shared" si="11"/>
        <v>10</v>
      </c>
      <c r="Z29" s="25">
        <f t="shared" si="12"/>
        <v>57.692250000000008</v>
      </c>
      <c r="AA29" s="68" t="str">
        <f>LOOKUP(Z29,'Wire-Cables Ampacities'!$B$5:$B$35,'Wire-Cables Ampacities'!$C$5:$C$35)</f>
        <v>#8</v>
      </c>
      <c r="AB29" s="64">
        <f t="shared" si="13"/>
        <v>10</v>
      </c>
      <c r="AC29" s="25">
        <f t="shared" si="14"/>
        <v>38.5</v>
      </c>
      <c r="AD29" s="68" t="str">
        <f>LOOKUP(AC29,'Wire-Cables Ampacities'!$B$5:$B$35,'Wire-Cables Ampacities'!$C$5:$C$35)</f>
        <v>#10</v>
      </c>
      <c r="AE29" s="81">
        <f t="shared" si="23"/>
        <v>0.13250000000000001</v>
      </c>
      <c r="AF29" s="56">
        <f t="shared" si="15"/>
        <v>452.10881499999999</v>
      </c>
      <c r="AG29" s="72">
        <f t="shared" si="24"/>
        <v>40</v>
      </c>
      <c r="AH29" s="15">
        <f t="shared" si="24"/>
        <v>55</v>
      </c>
      <c r="AI29" s="64">
        <f t="shared" si="25"/>
        <v>20</v>
      </c>
      <c r="AJ29" s="56">
        <f t="shared" si="26"/>
        <v>18.656000000000002</v>
      </c>
      <c r="AK29" s="271">
        <f t="shared" si="27"/>
        <v>0.20728888888888891</v>
      </c>
      <c r="AL29" s="277">
        <f t="shared" si="28"/>
        <v>0.10364444444444446</v>
      </c>
      <c r="AM29" s="58">
        <v>450</v>
      </c>
      <c r="AN29" s="25">
        <v>24</v>
      </c>
      <c r="AO29" s="3">
        <v>30</v>
      </c>
      <c r="AP29" s="3">
        <v>16</v>
      </c>
      <c r="AQ29" s="74">
        <f t="shared" si="29"/>
        <v>19.333333333333332</v>
      </c>
      <c r="AR29" s="287">
        <f t="shared" si="30"/>
        <v>89.60881500000005</v>
      </c>
      <c r="AS29" s="93"/>
      <c r="AT29" s="4"/>
    </row>
    <row r="30" spans="1:46">
      <c r="A30" s="98">
        <f t="shared" si="16"/>
        <v>6</v>
      </c>
      <c r="B30" s="304">
        <v>2.4500000000000002</v>
      </c>
      <c r="C30" s="100">
        <f t="shared" si="17"/>
        <v>14.700000000000001</v>
      </c>
      <c r="D30" s="101">
        <v>40</v>
      </c>
      <c r="E30" s="100">
        <f t="shared" si="1"/>
        <v>120</v>
      </c>
      <c r="F30" s="102">
        <f t="shared" si="18"/>
        <v>10.416666666666666</v>
      </c>
      <c r="G30" s="103">
        <f t="shared" si="2"/>
        <v>12</v>
      </c>
      <c r="H30" s="296">
        <f t="shared" si="19"/>
        <v>20.275040000000004</v>
      </c>
      <c r="I30" s="104"/>
      <c r="J30" s="180">
        <f t="shared" si="3"/>
        <v>35</v>
      </c>
      <c r="K30" s="104">
        <f t="shared" si="4"/>
        <v>59.940000000000005</v>
      </c>
      <c r="L30" s="428">
        <f t="shared" si="20"/>
        <v>1.25</v>
      </c>
      <c r="M30" s="106">
        <f t="shared" si="5"/>
        <v>35</v>
      </c>
      <c r="N30" s="1060">
        <f t="shared" si="6"/>
        <v>14.0625</v>
      </c>
      <c r="O30" s="101">
        <f>LOOKUP(N30,'Circuit Breakers'!$B$5:$B$38,'Circuit Breakers'!$C$5:$C$38)</f>
        <v>15</v>
      </c>
      <c r="P30" s="262">
        <f t="shared" si="7"/>
        <v>30</v>
      </c>
      <c r="Q30" s="1057">
        <f t="shared" si="21"/>
        <v>77.922000000000011</v>
      </c>
      <c r="R30" s="1065">
        <f>LOOKUP(Q30,'Circuit Breakers'!$B$5:$B$38,'Circuit Breakers'!$C$5:$C$38)</f>
        <v>80</v>
      </c>
      <c r="S30" s="106">
        <f t="shared" si="8"/>
        <v>30</v>
      </c>
      <c r="T30" s="104">
        <f t="shared" si="22"/>
        <v>52</v>
      </c>
      <c r="U30" s="477">
        <f>LOOKUP(T30,'Circuit Breakers'!$B$5:$B$38,'Circuit Breakers'!$C$5:$C$38)</f>
        <v>60</v>
      </c>
      <c r="V30" s="262">
        <f t="shared" si="9"/>
        <v>15</v>
      </c>
      <c r="W30" s="104">
        <f t="shared" si="10"/>
        <v>11.979166666666664</v>
      </c>
      <c r="X30" s="101" t="str">
        <f>LOOKUP(W30,'Wire-Cables Ampacities'!$B$5:$B$35,'Wire-Cables Ampacities'!$C$5:$C$35)</f>
        <v>#10</v>
      </c>
      <c r="Y30" s="106">
        <f t="shared" si="11"/>
        <v>10</v>
      </c>
      <c r="Z30" s="104">
        <f t="shared" si="12"/>
        <v>65.934000000000012</v>
      </c>
      <c r="AA30" s="101" t="str">
        <f>LOOKUP(Z30,'Wire-Cables Ampacities'!$B$5:$B$35,'Wire-Cables Ampacities'!$C$5:$C$35)</f>
        <v>#6</v>
      </c>
      <c r="AB30" s="106">
        <f t="shared" si="13"/>
        <v>10</v>
      </c>
      <c r="AC30" s="104">
        <f t="shared" si="14"/>
        <v>44</v>
      </c>
      <c r="AD30" s="101" t="str">
        <f>LOOKUP(AC30,'Wire-Cables Ampacities'!$B$5:$B$35,'Wire-Cables Ampacities'!$C$5:$C$35)</f>
        <v>#8</v>
      </c>
      <c r="AE30" s="107">
        <f t="shared" si="23"/>
        <v>0.14249999999999999</v>
      </c>
      <c r="AF30" s="105">
        <f t="shared" si="15"/>
        <v>486.23023499999994</v>
      </c>
      <c r="AG30" s="98">
        <f t="shared" si="24"/>
        <v>40</v>
      </c>
      <c r="AH30" s="99">
        <f t="shared" si="24"/>
        <v>55</v>
      </c>
      <c r="AI30" s="106">
        <f t="shared" si="25"/>
        <v>20</v>
      </c>
      <c r="AJ30" s="105">
        <f t="shared" si="26"/>
        <v>20.063999999999997</v>
      </c>
      <c r="AK30" s="272">
        <f t="shared" si="27"/>
        <v>0.22293333333333329</v>
      </c>
      <c r="AL30" s="278">
        <f t="shared" si="28"/>
        <v>0.11146666666666664</v>
      </c>
      <c r="AM30" s="109">
        <v>450</v>
      </c>
      <c r="AN30" s="104">
        <v>24</v>
      </c>
      <c r="AO30" s="110">
        <v>30</v>
      </c>
      <c r="AP30" s="110">
        <v>16</v>
      </c>
      <c r="AQ30" s="108">
        <f t="shared" si="29"/>
        <v>19.333333333333332</v>
      </c>
      <c r="AR30" s="288">
        <f t="shared" si="30"/>
        <v>123.73023499999999</v>
      </c>
      <c r="AS30" s="93"/>
      <c r="AT30" s="4"/>
    </row>
    <row r="31" spans="1:46">
      <c r="A31" s="72">
        <f t="shared" si="16"/>
        <v>6</v>
      </c>
      <c r="B31" s="61">
        <v>2.4500000000000002</v>
      </c>
      <c r="C31" s="66">
        <f t="shared" si="17"/>
        <v>14.700000000000001</v>
      </c>
      <c r="D31" s="68">
        <v>50</v>
      </c>
      <c r="E31" s="66">
        <f t="shared" si="1"/>
        <v>120</v>
      </c>
      <c r="F31" s="45">
        <f t="shared" si="18"/>
        <v>14.583333333333334</v>
      </c>
      <c r="G31" s="94">
        <f t="shared" si="2"/>
        <v>12</v>
      </c>
      <c r="H31" s="295">
        <f t="shared" si="19"/>
        <v>20.275040000000004</v>
      </c>
      <c r="I31" s="25"/>
      <c r="J31" s="52">
        <f t="shared" si="3"/>
        <v>35</v>
      </c>
      <c r="K31" s="25">
        <f t="shared" si="4"/>
        <v>74.925000000000011</v>
      </c>
      <c r="L31" s="427">
        <f t="shared" si="20"/>
        <v>1.75</v>
      </c>
      <c r="M31" s="64">
        <f t="shared" si="5"/>
        <v>35</v>
      </c>
      <c r="N31" s="838">
        <f t="shared" si="6"/>
        <v>19.687500000000004</v>
      </c>
      <c r="O31" s="68">
        <f>LOOKUP(N31,'Circuit Breakers'!$B$5:$B$38,'Circuit Breakers'!$C$5:$C$38)</f>
        <v>20</v>
      </c>
      <c r="P31" s="199">
        <f t="shared" si="7"/>
        <v>30</v>
      </c>
      <c r="Q31" s="1056">
        <f t="shared" si="21"/>
        <v>97.402500000000018</v>
      </c>
      <c r="R31" s="1064">
        <f>LOOKUP(Q31,'Circuit Breakers'!$B$5:$B$38,'Circuit Breakers'!$C$5:$C$38)</f>
        <v>100</v>
      </c>
      <c r="S31" s="64">
        <f t="shared" si="8"/>
        <v>30</v>
      </c>
      <c r="T31" s="25">
        <f t="shared" si="22"/>
        <v>65</v>
      </c>
      <c r="U31" s="158">
        <f>LOOKUP(T31,'Circuit Breakers'!$B$5:$B$38,'Circuit Breakers'!$C$5:$C$38)</f>
        <v>70</v>
      </c>
      <c r="V31" s="199">
        <f t="shared" si="9"/>
        <v>15</v>
      </c>
      <c r="W31" s="25">
        <f t="shared" si="10"/>
        <v>16.770833333333332</v>
      </c>
      <c r="X31" s="68" t="str">
        <f>LOOKUP(W31,'Wire-Cables Ampacities'!$B$5:$B$35,'Wire-Cables Ampacities'!$C$5:$C$35)</f>
        <v>#10</v>
      </c>
      <c r="Y31" s="64">
        <f t="shared" si="11"/>
        <v>10</v>
      </c>
      <c r="Z31" s="25">
        <f t="shared" si="12"/>
        <v>82.417500000000018</v>
      </c>
      <c r="AA31" s="68" t="str">
        <f>LOOKUP(Z31,'Wire-Cables Ampacities'!$B$5:$B$35,'Wire-Cables Ampacities'!$C$5:$C$35)</f>
        <v>#4</v>
      </c>
      <c r="AB31" s="64">
        <f t="shared" si="13"/>
        <v>10</v>
      </c>
      <c r="AC31" s="25">
        <f t="shared" si="14"/>
        <v>55.000000000000007</v>
      </c>
      <c r="AD31" s="68" t="str">
        <f>LOOKUP(AC31,'Wire-Cables Ampacities'!$B$5:$B$35,'Wire-Cables Ampacities'!$C$5:$C$35)</f>
        <v>#8</v>
      </c>
      <c r="AE31" s="81">
        <f t="shared" si="23"/>
        <v>0.1875</v>
      </c>
      <c r="AF31" s="56">
        <f t="shared" si="15"/>
        <v>639.77662499999997</v>
      </c>
      <c r="AG31" s="72">
        <f t="shared" si="24"/>
        <v>40</v>
      </c>
      <c r="AH31" s="15">
        <f t="shared" si="24"/>
        <v>55</v>
      </c>
      <c r="AI31" s="64">
        <f t="shared" si="25"/>
        <v>20</v>
      </c>
      <c r="AJ31" s="56">
        <f t="shared" si="26"/>
        <v>26.4</v>
      </c>
      <c r="AK31" s="271">
        <f t="shared" si="27"/>
        <v>0.29333333333333333</v>
      </c>
      <c r="AL31" s="277">
        <f t="shared" si="28"/>
        <v>0.14666666666666667</v>
      </c>
      <c r="AM31" s="58">
        <v>450</v>
      </c>
      <c r="AN31" s="25">
        <v>24</v>
      </c>
      <c r="AO31" s="3">
        <v>30</v>
      </c>
      <c r="AP31" s="3">
        <v>16</v>
      </c>
      <c r="AQ31" s="74">
        <f t="shared" si="29"/>
        <v>19.333333333333332</v>
      </c>
      <c r="AR31" s="287">
        <f t="shared" si="30"/>
        <v>277.27662500000002</v>
      </c>
      <c r="AS31" s="93"/>
      <c r="AT31" s="4"/>
    </row>
    <row r="32" spans="1:46">
      <c r="A32" s="72">
        <f t="shared" si="16"/>
        <v>6</v>
      </c>
      <c r="B32" s="61">
        <v>2.4500000000000002</v>
      </c>
      <c r="C32" s="66">
        <f t="shared" si="17"/>
        <v>14.700000000000001</v>
      </c>
      <c r="D32" s="68">
        <v>60</v>
      </c>
      <c r="E32" s="66">
        <f t="shared" si="1"/>
        <v>120</v>
      </c>
      <c r="F32" s="45">
        <f t="shared" si="18"/>
        <v>16.666666666666668</v>
      </c>
      <c r="G32" s="94">
        <f t="shared" si="2"/>
        <v>12</v>
      </c>
      <c r="H32" s="295">
        <f t="shared" si="19"/>
        <v>20.275040000000004</v>
      </c>
      <c r="I32" s="25"/>
      <c r="J32" s="52">
        <f t="shared" si="3"/>
        <v>35</v>
      </c>
      <c r="K32" s="25">
        <f t="shared" si="4"/>
        <v>89.910000000000011</v>
      </c>
      <c r="L32" s="427">
        <f t="shared" si="20"/>
        <v>2</v>
      </c>
      <c r="M32" s="64">
        <f t="shared" si="5"/>
        <v>35</v>
      </c>
      <c r="N32" s="838">
        <f t="shared" si="6"/>
        <v>22.500000000000004</v>
      </c>
      <c r="O32" s="68">
        <f>LOOKUP(N32,'Circuit Breakers'!$B$5:$B$38,'Circuit Breakers'!$C$5:$C$38)</f>
        <v>25</v>
      </c>
      <c r="P32" s="199">
        <f t="shared" si="7"/>
        <v>30</v>
      </c>
      <c r="Q32" s="1056">
        <f t="shared" si="21"/>
        <v>116.88300000000002</v>
      </c>
      <c r="R32" s="1064">
        <f>LOOKUP(Q32,'Circuit Breakers'!$B$5:$B$38,'Circuit Breakers'!$C$5:$C$38)</f>
        <v>125</v>
      </c>
      <c r="S32" s="64">
        <f t="shared" si="8"/>
        <v>30</v>
      </c>
      <c r="T32" s="25">
        <f t="shared" si="22"/>
        <v>78</v>
      </c>
      <c r="U32" s="158">
        <f>LOOKUP(T32,'Circuit Breakers'!$B$5:$B$38,'Circuit Breakers'!$C$5:$C$38)</f>
        <v>80</v>
      </c>
      <c r="V32" s="199">
        <f t="shared" si="9"/>
        <v>15</v>
      </c>
      <c r="W32" s="25">
        <f t="shared" si="10"/>
        <v>19.166666666666668</v>
      </c>
      <c r="X32" s="68" t="str">
        <f>LOOKUP(W32,'Wire-Cables Ampacities'!$B$5:$B$35,'Wire-Cables Ampacities'!$C$5:$C$35)</f>
        <v>#10</v>
      </c>
      <c r="Y32" s="64">
        <f t="shared" si="11"/>
        <v>10</v>
      </c>
      <c r="Z32" s="25">
        <f t="shared" si="12"/>
        <v>98.901000000000025</v>
      </c>
      <c r="AA32" s="68" t="str">
        <f>LOOKUP(Z32,'Wire-Cables Ampacities'!$B$5:$B$35,'Wire-Cables Ampacities'!$C$5:$C$35)</f>
        <v>#4</v>
      </c>
      <c r="AB32" s="64">
        <f t="shared" si="13"/>
        <v>10</v>
      </c>
      <c r="AC32" s="25">
        <f t="shared" si="14"/>
        <v>66</v>
      </c>
      <c r="AD32" s="68" t="str">
        <f>LOOKUP(AC32,'Wire-Cables Ampacities'!$B$5:$B$35,'Wire-Cables Ampacities'!$C$5:$C$35)</f>
        <v>#6</v>
      </c>
      <c r="AE32" s="81">
        <f t="shared" si="23"/>
        <v>0.22</v>
      </c>
      <c r="AF32" s="56">
        <f t="shared" si="15"/>
        <v>750.67124000000001</v>
      </c>
      <c r="AG32" s="72">
        <f t="shared" si="24"/>
        <v>40</v>
      </c>
      <c r="AH32" s="15">
        <f t="shared" si="24"/>
        <v>55</v>
      </c>
      <c r="AI32" s="64">
        <f t="shared" si="25"/>
        <v>20</v>
      </c>
      <c r="AJ32" s="56">
        <f t="shared" si="26"/>
        <v>30.975999999999999</v>
      </c>
      <c r="AK32" s="271">
        <f t="shared" si="27"/>
        <v>0.34417777777777775</v>
      </c>
      <c r="AL32" s="277">
        <f t="shared" si="28"/>
        <v>0.17208888888888887</v>
      </c>
      <c r="AM32" s="58">
        <v>450</v>
      </c>
      <c r="AN32" s="25">
        <v>24</v>
      </c>
      <c r="AO32" s="3">
        <v>30</v>
      </c>
      <c r="AP32" s="3">
        <v>16</v>
      </c>
      <c r="AQ32" s="74">
        <f t="shared" si="29"/>
        <v>19.333333333333332</v>
      </c>
      <c r="AR32" s="287">
        <f t="shared" si="30"/>
        <v>388.17124000000007</v>
      </c>
      <c r="AS32" s="93"/>
      <c r="AT32" s="4"/>
    </row>
    <row r="33" spans="1:46">
      <c r="A33" s="98">
        <f t="shared" si="16"/>
        <v>6</v>
      </c>
      <c r="B33" s="304">
        <v>2.4500000000000002</v>
      </c>
      <c r="C33" s="100">
        <f t="shared" si="17"/>
        <v>14.700000000000001</v>
      </c>
      <c r="D33" s="101">
        <v>75</v>
      </c>
      <c r="E33" s="100">
        <f t="shared" si="1"/>
        <v>120</v>
      </c>
      <c r="F33" s="102">
        <f t="shared" si="18"/>
        <v>20.833333333333332</v>
      </c>
      <c r="G33" s="103">
        <f t="shared" si="2"/>
        <v>12</v>
      </c>
      <c r="H33" s="296">
        <f t="shared" si="19"/>
        <v>20.275040000000004</v>
      </c>
      <c r="I33" s="104"/>
      <c r="J33" s="180">
        <f t="shared" si="3"/>
        <v>35</v>
      </c>
      <c r="K33" s="104">
        <f t="shared" si="4"/>
        <v>112.3875</v>
      </c>
      <c r="L33" s="428">
        <f t="shared" si="20"/>
        <v>2.5</v>
      </c>
      <c r="M33" s="106">
        <f t="shared" si="5"/>
        <v>35</v>
      </c>
      <c r="N33" s="1060">
        <f t="shared" si="6"/>
        <v>28.125</v>
      </c>
      <c r="O33" s="101">
        <f>LOOKUP(N33,'Circuit Breakers'!$B$5:$B$38,'Circuit Breakers'!$C$5:$C$38)</f>
        <v>30</v>
      </c>
      <c r="P33" s="262">
        <f t="shared" si="7"/>
        <v>30</v>
      </c>
      <c r="Q33" s="1057">
        <f t="shared" si="21"/>
        <v>146.10375000000002</v>
      </c>
      <c r="R33" s="1065">
        <f>LOOKUP(Q33,'Circuit Breakers'!$B$5:$B$38,'Circuit Breakers'!$C$5:$C$38)</f>
        <v>150</v>
      </c>
      <c r="S33" s="106">
        <f t="shared" si="8"/>
        <v>30</v>
      </c>
      <c r="T33" s="104">
        <f t="shared" si="22"/>
        <v>97.5</v>
      </c>
      <c r="U33" s="477">
        <f>LOOKUP(T33,'Circuit Breakers'!$B$5:$B$38,'Circuit Breakers'!$C$5:$C$38)</f>
        <v>100</v>
      </c>
      <c r="V33" s="262">
        <f t="shared" si="9"/>
        <v>15</v>
      </c>
      <c r="W33" s="104">
        <f t="shared" si="10"/>
        <v>23.958333333333329</v>
      </c>
      <c r="X33" s="101" t="str">
        <f>LOOKUP(W33,'Wire-Cables Ampacities'!$B$5:$B$35,'Wire-Cables Ampacities'!$C$5:$C$35)</f>
        <v>#10</v>
      </c>
      <c r="Y33" s="106">
        <f t="shared" si="11"/>
        <v>10</v>
      </c>
      <c r="Z33" s="104">
        <f t="shared" si="12"/>
        <v>123.62625000000001</v>
      </c>
      <c r="AA33" s="101" t="str">
        <f>LOOKUP(Z33,'Wire-Cables Ampacities'!$B$5:$B$35,'Wire-Cables Ampacities'!$C$5:$C$35)</f>
        <v>#2</v>
      </c>
      <c r="AB33" s="106">
        <f t="shared" si="13"/>
        <v>10</v>
      </c>
      <c r="AC33" s="104">
        <f t="shared" si="14"/>
        <v>82.5</v>
      </c>
      <c r="AD33" s="101" t="str">
        <f>LOOKUP(AC33,'Wire-Cables Ampacities'!$B$5:$B$35,'Wire-Cables Ampacities'!$C$5:$C$35)</f>
        <v>#4</v>
      </c>
      <c r="AE33" s="107">
        <f t="shared" si="23"/>
        <v>0.27500000000000002</v>
      </c>
      <c r="AF33" s="105">
        <f t="shared" si="15"/>
        <v>938.33905000000004</v>
      </c>
      <c r="AG33" s="98">
        <f t="shared" si="24"/>
        <v>40</v>
      </c>
      <c r="AH33" s="99">
        <f t="shared" si="24"/>
        <v>55</v>
      </c>
      <c r="AI33" s="106">
        <f t="shared" si="25"/>
        <v>20</v>
      </c>
      <c r="AJ33" s="105">
        <f t="shared" si="26"/>
        <v>38.720000000000006</v>
      </c>
      <c r="AK33" s="272">
        <f t="shared" si="27"/>
        <v>0.43022222222222228</v>
      </c>
      <c r="AL33" s="278">
        <f t="shared" si="28"/>
        <v>0.21511111111111114</v>
      </c>
      <c r="AM33" s="109">
        <v>450</v>
      </c>
      <c r="AN33" s="104">
        <v>24</v>
      </c>
      <c r="AO33" s="110">
        <v>30</v>
      </c>
      <c r="AP33" s="110">
        <v>16</v>
      </c>
      <c r="AQ33" s="108">
        <f t="shared" si="29"/>
        <v>19.333333333333332</v>
      </c>
      <c r="AR33" s="288">
        <f t="shared" si="30"/>
        <v>575.83905000000004</v>
      </c>
      <c r="AS33" s="93"/>
      <c r="AT33" s="4"/>
    </row>
    <row r="34" spans="1:46">
      <c r="A34" s="72">
        <f t="shared" si="16"/>
        <v>6</v>
      </c>
      <c r="B34" s="61">
        <v>2.4500000000000002</v>
      </c>
      <c r="C34" s="66">
        <f t="shared" si="17"/>
        <v>14.700000000000001</v>
      </c>
      <c r="D34" s="68">
        <v>100</v>
      </c>
      <c r="E34" s="66">
        <f t="shared" si="1"/>
        <v>120</v>
      </c>
      <c r="F34" s="45">
        <f t="shared" si="18"/>
        <v>27.083333333333332</v>
      </c>
      <c r="G34" s="94">
        <f t="shared" si="2"/>
        <v>12</v>
      </c>
      <c r="H34" s="295">
        <f t="shared" si="19"/>
        <v>20.275040000000004</v>
      </c>
      <c r="I34" s="25"/>
      <c r="J34" s="52">
        <f t="shared" si="3"/>
        <v>35</v>
      </c>
      <c r="K34" s="25">
        <f t="shared" si="4"/>
        <v>149.85000000000002</v>
      </c>
      <c r="L34" s="427">
        <f t="shared" si="20"/>
        <v>3.25</v>
      </c>
      <c r="M34" s="64">
        <f t="shared" si="5"/>
        <v>35</v>
      </c>
      <c r="N34" s="838">
        <f t="shared" si="6"/>
        <v>36.5625</v>
      </c>
      <c r="O34" s="68">
        <f>LOOKUP(N34,'Circuit Breakers'!$B$5:$B$38,'Circuit Breakers'!$C$5:$C$38)</f>
        <v>40</v>
      </c>
      <c r="P34" s="199">
        <f t="shared" si="7"/>
        <v>30</v>
      </c>
      <c r="Q34" s="1056">
        <f t="shared" si="21"/>
        <v>194.80500000000004</v>
      </c>
      <c r="R34" s="1064">
        <f>LOOKUP(Q34,'Circuit Breakers'!$B$5:$B$38,'Circuit Breakers'!$C$5:$C$38)</f>
        <v>200</v>
      </c>
      <c r="S34" s="64">
        <f t="shared" si="8"/>
        <v>30</v>
      </c>
      <c r="T34" s="25">
        <f t="shared" si="22"/>
        <v>130</v>
      </c>
      <c r="U34" s="158">
        <f>LOOKUP(T34,'Circuit Breakers'!$B$5:$B$38,'Circuit Breakers'!$C$5:$C$38)</f>
        <v>150</v>
      </c>
      <c r="V34" s="199">
        <f t="shared" si="9"/>
        <v>15</v>
      </c>
      <c r="W34" s="25">
        <f t="shared" si="10"/>
        <v>31.145833333333329</v>
      </c>
      <c r="X34" s="68" t="str">
        <f>LOOKUP(W34,'Wire-Cables Ampacities'!$B$5:$B$35,'Wire-Cables Ampacities'!$C$5:$C$35)</f>
        <v>#10</v>
      </c>
      <c r="Y34" s="64">
        <f t="shared" si="11"/>
        <v>10</v>
      </c>
      <c r="Z34" s="25">
        <f t="shared" si="12"/>
        <v>164.83500000000004</v>
      </c>
      <c r="AA34" s="68" t="str">
        <f>LOOKUP(Z34,'Wire-Cables Ampacities'!$B$5:$B$35,'Wire-Cables Ampacities'!$C$5:$C$35)</f>
        <v>#1</v>
      </c>
      <c r="AB34" s="64">
        <f t="shared" si="13"/>
        <v>10</v>
      </c>
      <c r="AC34" s="25">
        <f t="shared" si="14"/>
        <v>110.00000000000001</v>
      </c>
      <c r="AD34" s="68" t="str">
        <f>LOOKUP(AC34,'Wire-Cables Ampacities'!$B$5:$B$35,'Wire-Cables Ampacities'!$C$5:$C$35)</f>
        <v>#3</v>
      </c>
      <c r="AE34" s="81">
        <f t="shared" si="23"/>
        <v>0.36249999999999999</v>
      </c>
      <c r="AF34" s="56">
        <f t="shared" si="15"/>
        <v>1236.9014749999999</v>
      </c>
      <c r="AG34" s="72">
        <f t="shared" si="24"/>
        <v>40</v>
      </c>
      <c r="AH34" s="15">
        <f t="shared" si="24"/>
        <v>55</v>
      </c>
      <c r="AI34" s="64">
        <f t="shared" si="25"/>
        <v>20</v>
      </c>
      <c r="AJ34" s="56">
        <f t="shared" si="26"/>
        <v>51.04</v>
      </c>
      <c r="AK34" s="271">
        <f t="shared" si="27"/>
        <v>0.56711111111111112</v>
      </c>
      <c r="AL34" s="277">
        <f t="shared" si="28"/>
        <v>0.28355555555555556</v>
      </c>
      <c r="AM34" s="58">
        <v>450</v>
      </c>
      <c r="AN34" s="25">
        <v>24</v>
      </c>
      <c r="AO34" s="3">
        <v>30</v>
      </c>
      <c r="AP34" s="3">
        <v>16</v>
      </c>
      <c r="AQ34" s="74">
        <f t="shared" si="29"/>
        <v>19.333333333333332</v>
      </c>
      <c r="AR34" s="287">
        <f t="shared" si="30"/>
        <v>874.40147499999989</v>
      </c>
      <c r="AS34" s="93"/>
      <c r="AT34" s="4"/>
    </row>
    <row r="35" spans="1:46">
      <c r="A35" s="72">
        <f t="shared" si="16"/>
        <v>6</v>
      </c>
      <c r="B35" s="61">
        <v>2.4500000000000002</v>
      </c>
      <c r="C35" s="66">
        <f t="shared" si="17"/>
        <v>14.700000000000001</v>
      </c>
      <c r="D35" s="68">
        <v>125</v>
      </c>
      <c r="E35" s="66">
        <f t="shared" si="1"/>
        <v>120</v>
      </c>
      <c r="F35" s="45">
        <f t="shared" si="18"/>
        <v>33.333333333333336</v>
      </c>
      <c r="G35" s="94">
        <f t="shared" si="2"/>
        <v>12</v>
      </c>
      <c r="H35" s="295">
        <f t="shared" si="19"/>
        <v>20.275040000000004</v>
      </c>
      <c r="I35" s="25"/>
      <c r="J35" s="52">
        <f t="shared" si="3"/>
        <v>35</v>
      </c>
      <c r="K35" s="25">
        <f t="shared" si="4"/>
        <v>187.31250000000003</v>
      </c>
      <c r="L35" s="427">
        <f t="shared" si="20"/>
        <v>4</v>
      </c>
      <c r="M35" s="64">
        <f t="shared" si="5"/>
        <v>35</v>
      </c>
      <c r="N35" s="838">
        <f t="shared" si="6"/>
        <v>45.000000000000007</v>
      </c>
      <c r="O35" s="68">
        <f>LOOKUP(N35,'Circuit Breakers'!$B$5:$B$38,'Circuit Breakers'!$C$5:$C$38)</f>
        <v>50</v>
      </c>
      <c r="P35" s="199">
        <f t="shared" si="7"/>
        <v>30</v>
      </c>
      <c r="Q35" s="1056">
        <f t="shared" si="21"/>
        <v>243.50625000000005</v>
      </c>
      <c r="R35" s="1064">
        <f>LOOKUP(Q35,'Circuit Breakers'!$B$5:$B$38,'Circuit Breakers'!$C$5:$C$38)</f>
        <v>250</v>
      </c>
      <c r="S35" s="64">
        <f t="shared" si="8"/>
        <v>30</v>
      </c>
      <c r="T35" s="25">
        <f t="shared" si="22"/>
        <v>162.5</v>
      </c>
      <c r="U35" s="158">
        <f>LOOKUP(T35,'Circuit Breakers'!$B$5:$B$38,'Circuit Breakers'!$C$5:$C$38)</f>
        <v>175</v>
      </c>
      <c r="V35" s="199">
        <f t="shared" si="9"/>
        <v>15</v>
      </c>
      <c r="W35" s="25">
        <f t="shared" si="10"/>
        <v>38.333333333333336</v>
      </c>
      <c r="X35" s="68" t="str">
        <f>LOOKUP(W35,'Wire-Cables Ampacities'!$B$5:$B$35,'Wire-Cables Ampacities'!$C$5:$C$35)</f>
        <v>#10</v>
      </c>
      <c r="Y35" s="64">
        <f t="shared" si="11"/>
        <v>10</v>
      </c>
      <c r="Z35" s="25">
        <f t="shared" si="12"/>
        <v>206.04375000000005</v>
      </c>
      <c r="AA35" s="68" t="str">
        <f>LOOKUP(Z35,'Wire-Cables Ampacities'!$B$5:$B$35,'Wire-Cables Ampacities'!$C$5:$C$35)</f>
        <v>#2/0</v>
      </c>
      <c r="AB35" s="64">
        <f t="shared" si="13"/>
        <v>10</v>
      </c>
      <c r="AC35" s="25">
        <f t="shared" si="14"/>
        <v>137.5</v>
      </c>
      <c r="AD35" s="68" t="str">
        <f>LOOKUP(AC35,'Wire-Cables Ampacities'!$B$5:$B$35,'Wire-Cables Ampacities'!$C$5:$C$35)</f>
        <v>#2</v>
      </c>
      <c r="AE35" s="81">
        <f t="shared" si="23"/>
        <v>0.45</v>
      </c>
      <c r="AF35" s="56">
        <f t="shared" si="15"/>
        <v>1535.4639</v>
      </c>
      <c r="AG35" s="72">
        <f t="shared" si="24"/>
        <v>40</v>
      </c>
      <c r="AH35" s="15">
        <f t="shared" si="24"/>
        <v>55</v>
      </c>
      <c r="AI35" s="64">
        <f t="shared" si="25"/>
        <v>20</v>
      </c>
      <c r="AJ35" s="56">
        <f t="shared" si="26"/>
        <v>63.359999999999992</v>
      </c>
      <c r="AK35" s="271">
        <f t="shared" si="27"/>
        <v>0.70399999999999996</v>
      </c>
      <c r="AL35" s="277">
        <f t="shared" si="28"/>
        <v>0.35199999999999998</v>
      </c>
      <c r="AM35" s="58">
        <v>450</v>
      </c>
      <c r="AN35" s="25">
        <v>24</v>
      </c>
      <c r="AO35" s="3">
        <v>30</v>
      </c>
      <c r="AP35" s="3">
        <v>16</v>
      </c>
      <c r="AQ35" s="74">
        <f t="shared" si="29"/>
        <v>19.333333333333332</v>
      </c>
      <c r="AR35" s="287">
        <f t="shared" si="30"/>
        <v>1172.9639</v>
      </c>
      <c r="AS35" s="93"/>
      <c r="AT35" s="4"/>
    </row>
    <row r="36" spans="1:46">
      <c r="A36" s="98">
        <f t="shared" si="16"/>
        <v>6</v>
      </c>
      <c r="B36" s="304">
        <v>2.4500000000000002</v>
      </c>
      <c r="C36" s="100">
        <f t="shared" si="17"/>
        <v>14.700000000000001</v>
      </c>
      <c r="D36" s="101">
        <v>150</v>
      </c>
      <c r="E36" s="100">
        <f t="shared" si="1"/>
        <v>120</v>
      </c>
      <c r="F36" s="102">
        <f t="shared" si="18"/>
        <v>39.583333333333336</v>
      </c>
      <c r="G36" s="103">
        <f t="shared" si="2"/>
        <v>12</v>
      </c>
      <c r="H36" s="296">
        <f t="shared" si="19"/>
        <v>20.275040000000004</v>
      </c>
      <c r="I36" s="104"/>
      <c r="J36" s="180">
        <f t="shared" si="3"/>
        <v>35</v>
      </c>
      <c r="K36" s="104">
        <f t="shared" si="4"/>
        <v>224.77500000000001</v>
      </c>
      <c r="L36" s="428">
        <f t="shared" si="20"/>
        <v>4.75</v>
      </c>
      <c r="M36" s="106">
        <f t="shared" si="5"/>
        <v>35</v>
      </c>
      <c r="N36" s="1060">
        <f t="shared" si="6"/>
        <v>53.437500000000007</v>
      </c>
      <c r="O36" s="101">
        <f>LOOKUP(N36,'Circuit Breakers'!$B$5:$B$38,'Circuit Breakers'!$C$5:$C$38)</f>
        <v>60</v>
      </c>
      <c r="P36" s="262">
        <f t="shared" si="7"/>
        <v>30</v>
      </c>
      <c r="Q36" s="1057">
        <f t="shared" si="21"/>
        <v>292.20750000000004</v>
      </c>
      <c r="R36" s="1065">
        <f>LOOKUP(Q36,'Circuit Breakers'!$B$5:$B$38,'Circuit Breakers'!$C$5:$C$38)</f>
        <v>300</v>
      </c>
      <c r="S36" s="106">
        <f t="shared" si="8"/>
        <v>30</v>
      </c>
      <c r="T36" s="104">
        <f t="shared" si="22"/>
        <v>195</v>
      </c>
      <c r="U36" s="477">
        <f>LOOKUP(T36,'Circuit Breakers'!$B$5:$B$38,'Circuit Breakers'!$C$5:$C$38)</f>
        <v>200</v>
      </c>
      <c r="V36" s="262">
        <f t="shared" si="9"/>
        <v>15</v>
      </c>
      <c r="W36" s="104">
        <f t="shared" si="10"/>
        <v>45.520833333333336</v>
      </c>
      <c r="X36" s="101" t="str">
        <f>LOOKUP(W36,'Wire-Cables Ampacities'!$B$5:$B$35,'Wire-Cables Ampacities'!$C$5:$C$35)</f>
        <v>#8</v>
      </c>
      <c r="Y36" s="106">
        <f t="shared" si="11"/>
        <v>10</v>
      </c>
      <c r="Z36" s="104">
        <f t="shared" si="12"/>
        <v>247.25250000000003</v>
      </c>
      <c r="AA36" s="101" t="str">
        <f>LOOKUP(Z36,'Wire-Cables Ampacities'!$B$5:$B$35,'Wire-Cables Ampacities'!$C$5:$C$35)</f>
        <v>#3/0</v>
      </c>
      <c r="AB36" s="106">
        <f t="shared" si="13"/>
        <v>10</v>
      </c>
      <c r="AC36" s="104">
        <f t="shared" si="14"/>
        <v>165</v>
      </c>
      <c r="AD36" s="101" t="str">
        <f>LOOKUP(AC36,'Wire-Cables Ampacities'!$B$5:$B$35,'Wire-Cables Ampacities'!$C$5:$C$35)</f>
        <v>#1</v>
      </c>
      <c r="AE36" s="107">
        <f t="shared" si="23"/>
        <v>0.53749999999999998</v>
      </c>
      <c r="AF36" s="105">
        <f t="shared" si="15"/>
        <v>1834.0263249999998</v>
      </c>
      <c r="AG36" s="98">
        <f t="shared" si="24"/>
        <v>40</v>
      </c>
      <c r="AH36" s="99">
        <f t="shared" si="24"/>
        <v>55</v>
      </c>
      <c r="AI36" s="106">
        <f t="shared" si="25"/>
        <v>20</v>
      </c>
      <c r="AJ36" s="105">
        <f t="shared" si="26"/>
        <v>75.680000000000007</v>
      </c>
      <c r="AK36" s="272">
        <f t="shared" si="27"/>
        <v>0.84088888888888902</v>
      </c>
      <c r="AL36" s="278">
        <f t="shared" si="28"/>
        <v>0.42044444444444451</v>
      </c>
      <c r="AM36" s="109">
        <v>450</v>
      </c>
      <c r="AN36" s="104">
        <v>24</v>
      </c>
      <c r="AO36" s="110">
        <v>30</v>
      </c>
      <c r="AP36" s="110">
        <v>16</v>
      </c>
      <c r="AQ36" s="108">
        <f t="shared" si="29"/>
        <v>19.333333333333332</v>
      </c>
      <c r="AR36" s="288">
        <f t="shared" si="30"/>
        <v>1471.5263249999998</v>
      </c>
      <c r="AS36" s="93"/>
      <c r="AT36" s="4"/>
    </row>
    <row r="37" spans="1:46">
      <c r="A37" s="72">
        <f t="shared" si="16"/>
        <v>6</v>
      </c>
      <c r="B37" s="61">
        <v>2.4500000000000002</v>
      </c>
      <c r="C37" s="66">
        <f t="shared" si="17"/>
        <v>14.700000000000001</v>
      </c>
      <c r="D37" s="68">
        <v>175</v>
      </c>
      <c r="E37" s="66">
        <f t="shared" si="1"/>
        <v>208</v>
      </c>
      <c r="F37" s="45">
        <f t="shared" si="18"/>
        <v>26.442307692307693</v>
      </c>
      <c r="G37" s="94">
        <f t="shared" si="2"/>
        <v>12</v>
      </c>
      <c r="H37" s="295">
        <f t="shared" si="19"/>
        <v>20.275040000000004</v>
      </c>
      <c r="I37" s="25"/>
      <c r="J37" s="52">
        <f t="shared" si="3"/>
        <v>35</v>
      </c>
      <c r="K37" s="25">
        <f t="shared" si="4"/>
        <v>262.23750000000007</v>
      </c>
      <c r="L37" s="427">
        <f t="shared" si="20"/>
        <v>5.5</v>
      </c>
      <c r="M37" s="64">
        <f t="shared" si="5"/>
        <v>35</v>
      </c>
      <c r="N37" s="838">
        <f t="shared" si="6"/>
        <v>35.697115384615387</v>
      </c>
      <c r="O37" s="68">
        <f>LOOKUP(N37,'Circuit Breakers'!$B$5:$B$38,'Circuit Breakers'!$C$5:$C$38)</f>
        <v>40</v>
      </c>
      <c r="P37" s="199">
        <f t="shared" si="7"/>
        <v>30</v>
      </c>
      <c r="Q37" s="1056">
        <f t="shared" si="21"/>
        <v>340.90875000000011</v>
      </c>
      <c r="R37" s="1064">
        <f>LOOKUP(Q37,'Circuit Breakers'!$B$5:$B$38,'Circuit Breakers'!$C$5:$C$38)</f>
        <v>350</v>
      </c>
      <c r="S37" s="64">
        <f t="shared" si="8"/>
        <v>30</v>
      </c>
      <c r="T37" s="25">
        <f t="shared" si="22"/>
        <v>227.5</v>
      </c>
      <c r="U37" s="158">
        <f>LOOKUP(T37,'Circuit Breakers'!$B$5:$B$38,'Circuit Breakers'!$C$5:$C$38)</f>
        <v>250</v>
      </c>
      <c r="V37" s="199">
        <f t="shared" si="9"/>
        <v>15</v>
      </c>
      <c r="W37" s="25">
        <f t="shared" si="10"/>
        <v>30.408653846153847</v>
      </c>
      <c r="X37" s="68" t="str">
        <f>LOOKUP(W37,'Wire-Cables Ampacities'!$B$5:$B$35,'Wire-Cables Ampacities'!$C$5:$C$35)</f>
        <v>#10</v>
      </c>
      <c r="Y37" s="64">
        <f t="shared" si="11"/>
        <v>10</v>
      </c>
      <c r="Z37" s="25">
        <f t="shared" si="12"/>
        <v>288.46125000000012</v>
      </c>
      <c r="AA37" s="68" t="str">
        <f>LOOKUP(Z37,'Wire-Cables Ampacities'!$B$5:$B$35,'Wire-Cables Ampacities'!$C$5:$C$35)</f>
        <v>#4/0</v>
      </c>
      <c r="AB37" s="64">
        <f t="shared" si="13"/>
        <v>10</v>
      </c>
      <c r="AC37" s="25">
        <f t="shared" si="14"/>
        <v>192.50000000000003</v>
      </c>
      <c r="AD37" s="68" t="str">
        <f>LOOKUP(AC37,'Wire-Cables Ampacities'!$B$5:$B$35,'Wire-Cables Ampacities'!$C$5:$C$35)</f>
        <v>#1/0</v>
      </c>
      <c r="AE37" s="81">
        <f t="shared" si="23"/>
        <v>0.625</v>
      </c>
      <c r="AF37" s="56">
        <f t="shared" si="15"/>
        <v>2132.5887499999999</v>
      </c>
      <c r="AG37" s="72">
        <f t="shared" si="24"/>
        <v>40</v>
      </c>
      <c r="AH37" s="15">
        <f t="shared" si="24"/>
        <v>55</v>
      </c>
      <c r="AI37" s="64">
        <f t="shared" si="25"/>
        <v>20</v>
      </c>
      <c r="AJ37" s="56">
        <f t="shared" si="26"/>
        <v>87.999999999999986</v>
      </c>
      <c r="AK37" s="271">
        <f t="shared" si="27"/>
        <v>0.97777777777777763</v>
      </c>
      <c r="AL37" s="277">
        <f t="shared" si="28"/>
        <v>0.48888888888888882</v>
      </c>
      <c r="AM37" s="58">
        <v>450</v>
      </c>
      <c r="AN37" s="25">
        <v>24</v>
      </c>
      <c r="AO37" s="3">
        <v>30</v>
      </c>
      <c r="AP37" s="3">
        <v>16</v>
      </c>
      <c r="AQ37" s="74">
        <f t="shared" si="29"/>
        <v>19.333333333333332</v>
      </c>
      <c r="AR37" s="287">
        <f t="shared" si="30"/>
        <v>1770.0887499999999</v>
      </c>
      <c r="AS37" s="93"/>
      <c r="AT37" s="4"/>
    </row>
    <row r="38" spans="1:46">
      <c r="A38" s="72">
        <f t="shared" si="16"/>
        <v>6</v>
      </c>
      <c r="B38" s="61">
        <v>2.4500000000000002</v>
      </c>
      <c r="C38" s="66">
        <f t="shared" si="17"/>
        <v>14.700000000000001</v>
      </c>
      <c r="D38" s="68">
        <v>200</v>
      </c>
      <c r="E38" s="66">
        <f t="shared" si="1"/>
        <v>208</v>
      </c>
      <c r="F38" s="45">
        <f t="shared" si="18"/>
        <v>30.048076923076923</v>
      </c>
      <c r="G38" s="94">
        <f t="shared" si="2"/>
        <v>12</v>
      </c>
      <c r="H38" s="295">
        <f t="shared" si="19"/>
        <v>20.275040000000004</v>
      </c>
      <c r="I38" s="25"/>
      <c r="J38" s="52">
        <f t="shared" si="3"/>
        <v>35</v>
      </c>
      <c r="K38" s="25">
        <f t="shared" si="4"/>
        <v>299.70000000000005</v>
      </c>
      <c r="L38" s="427">
        <f t="shared" si="20"/>
        <v>6.25</v>
      </c>
      <c r="M38" s="64">
        <f t="shared" si="5"/>
        <v>35</v>
      </c>
      <c r="N38" s="838">
        <f t="shared" si="6"/>
        <v>40.564903846153847</v>
      </c>
      <c r="O38" s="68">
        <f>LOOKUP(N38,'Circuit Breakers'!$B$5:$B$38,'Circuit Breakers'!$C$5:$C$38)</f>
        <v>50</v>
      </c>
      <c r="P38" s="199">
        <f t="shared" si="7"/>
        <v>30</v>
      </c>
      <c r="Q38" s="1056">
        <f t="shared" si="21"/>
        <v>389.61000000000007</v>
      </c>
      <c r="R38" s="1064">
        <f>LOOKUP(Q38,'Circuit Breakers'!$B$5:$B$38,'Circuit Breakers'!$C$5:$C$38)</f>
        <v>400</v>
      </c>
      <c r="S38" s="64">
        <f t="shared" si="8"/>
        <v>30</v>
      </c>
      <c r="T38" s="25">
        <f t="shared" si="22"/>
        <v>260</v>
      </c>
      <c r="U38" s="158">
        <f>LOOKUP(T38,'Circuit Breakers'!$B$5:$B$38,'Circuit Breakers'!$C$5:$C$38)</f>
        <v>300</v>
      </c>
      <c r="V38" s="199">
        <f t="shared" si="9"/>
        <v>15</v>
      </c>
      <c r="W38" s="25">
        <f t="shared" si="10"/>
        <v>34.55528846153846</v>
      </c>
      <c r="X38" s="68" t="str">
        <f>LOOKUP(W38,'Wire-Cables Ampacities'!$B$5:$B$35,'Wire-Cables Ampacities'!$C$5:$C$35)</f>
        <v>#10</v>
      </c>
      <c r="Y38" s="64">
        <f t="shared" si="11"/>
        <v>10</v>
      </c>
      <c r="Z38" s="25">
        <f t="shared" si="12"/>
        <v>329.67000000000007</v>
      </c>
      <c r="AA38" s="68" t="str">
        <f>LOOKUP(Z38,'Wire-Cables Ampacities'!$B$5:$B$35,'Wire-Cables Ampacities'!$C$5:$C$35)</f>
        <v>250MCM</v>
      </c>
      <c r="AB38" s="64">
        <f t="shared" si="13"/>
        <v>10</v>
      </c>
      <c r="AC38" s="25">
        <f t="shared" si="14"/>
        <v>220.00000000000003</v>
      </c>
      <c r="AD38" s="68" t="str">
        <f>LOOKUP(AC38,'Wire-Cables Ampacities'!$B$5:$B$35,'Wire-Cables Ampacities'!$C$5:$C$35)</f>
        <v>#2/0</v>
      </c>
      <c r="AE38" s="81">
        <f t="shared" si="23"/>
        <v>0.71250000000000002</v>
      </c>
      <c r="AF38" s="56">
        <f t="shared" si="15"/>
        <v>2431.151175</v>
      </c>
      <c r="AG38" s="72">
        <f t="shared" si="24"/>
        <v>40</v>
      </c>
      <c r="AH38" s="15">
        <f t="shared" si="24"/>
        <v>55</v>
      </c>
      <c r="AI38" s="64">
        <f t="shared" si="25"/>
        <v>20</v>
      </c>
      <c r="AJ38" s="56">
        <f t="shared" si="26"/>
        <v>100.32</v>
      </c>
      <c r="AK38" s="271">
        <f t="shared" si="27"/>
        <v>1.1146666666666667</v>
      </c>
      <c r="AL38" s="277">
        <f t="shared" si="28"/>
        <v>0.55733333333333335</v>
      </c>
      <c r="AM38" s="58">
        <v>450</v>
      </c>
      <c r="AN38" s="25">
        <v>24</v>
      </c>
      <c r="AO38" s="3">
        <v>30</v>
      </c>
      <c r="AP38" s="3">
        <v>16</v>
      </c>
      <c r="AQ38" s="74">
        <f t="shared" si="29"/>
        <v>19.333333333333332</v>
      </c>
      <c r="AR38" s="287">
        <f t="shared" si="30"/>
        <v>2068.651175</v>
      </c>
      <c r="AS38" s="93"/>
      <c r="AT38" s="4"/>
    </row>
    <row r="39" spans="1:46">
      <c r="A39" s="98">
        <f t="shared" si="16"/>
        <v>6</v>
      </c>
      <c r="B39" s="304">
        <v>2.4500000000000002</v>
      </c>
      <c r="C39" s="100">
        <f t="shared" si="17"/>
        <v>14.700000000000001</v>
      </c>
      <c r="D39" s="101">
        <v>250</v>
      </c>
      <c r="E39" s="100">
        <f t="shared" si="1"/>
        <v>208</v>
      </c>
      <c r="F39" s="102">
        <f t="shared" si="18"/>
        <v>37.259615384615387</v>
      </c>
      <c r="G39" s="103">
        <f t="shared" si="2"/>
        <v>12</v>
      </c>
      <c r="H39" s="296">
        <f t="shared" si="19"/>
        <v>20.275040000000004</v>
      </c>
      <c r="I39" s="104"/>
      <c r="J39" s="180">
        <f t="shared" si="3"/>
        <v>35</v>
      </c>
      <c r="K39" s="104">
        <f t="shared" si="4"/>
        <v>374.62500000000006</v>
      </c>
      <c r="L39" s="428">
        <f t="shared" si="20"/>
        <v>7.75</v>
      </c>
      <c r="M39" s="106">
        <f t="shared" si="5"/>
        <v>35</v>
      </c>
      <c r="N39" s="1060">
        <f t="shared" si="6"/>
        <v>50.300480769230774</v>
      </c>
      <c r="O39" s="101">
        <f>LOOKUP(N39,'Circuit Breakers'!$B$5:$B$38,'Circuit Breakers'!$C$5:$C$38)</f>
        <v>60</v>
      </c>
      <c r="P39" s="262">
        <f t="shared" si="7"/>
        <v>30</v>
      </c>
      <c r="Q39" s="1057">
        <f t="shared" si="21"/>
        <v>487.0125000000001</v>
      </c>
      <c r="R39" s="1065">
        <f>LOOKUP(Q39,'Circuit Breakers'!$B$5:$B$38,'Circuit Breakers'!$C$5:$C$38)</f>
        <v>500</v>
      </c>
      <c r="S39" s="106">
        <f t="shared" si="8"/>
        <v>30</v>
      </c>
      <c r="T39" s="104">
        <f t="shared" si="22"/>
        <v>325</v>
      </c>
      <c r="U39" s="477">
        <f>LOOKUP(T39,'Circuit Breakers'!$B$5:$B$38,'Circuit Breakers'!$C$5:$C$38)</f>
        <v>350</v>
      </c>
      <c r="V39" s="262">
        <f t="shared" si="9"/>
        <v>15</v>
      </c>
      <c r="W39" s="104">
        <f t="shared" si="10"/>
        <v>42.848557692307693</v>
      </c>
      <c r="X39" s="101" t="str">
        <f>LOOKUP(W39,'Wire-Cables Ampacities'!$B$5:$B$35,'Wire-Cables Ampacities'!$C$5:$C$35)</f>
        <v>#8</v>
      </c>
      <c r="Y39" s="106">
        <f t="shared" si="11"/>
        <v>10</v>
      </c>
      <c r="Z39" s="104">
        <f t="shared" si="12"/>
        <v>412.08750000000009</v>
      </c>
      <c r="AA39" s="101" t="str">
        <f>LOOKUP(Z39,'Wire-Cables Ampacities'!$B$5:$B$35,'Wire-Cables Ampacities'!$C$5:$C$35)</f>
        <v>#2/0 2x</v>
      </c>
      <c r="AB39" s="106">
        <f t="shared" si="13"/>
        <v>10</v>
      </c>
      <c r="AC39" s="104">
        <f t="shared" si="14"/>
        <v>275</v>
      </c>
      <c r="AD39" s="101" t="str">
        <f>LOOKUP(AC39,'Wire-Cables Ampacities'!$B$5:$B$35,'Wire-Cables Ampacities'!$C$5:$C$35)</f>
        <v>#4/0</v>
      </c>
      <c r="AE39" s="107">
        <f t="shared" si="23"/>
        <v>0.88749999999999996</v>
      </c>
      <c r="AF39" s="105">
        <f t="shared" si="15"/>
        <v>3028.2760249999997</v>
      </c>
      <c r="AG39" s="98">
        <f t="shared" si="24"/>
        <v>40</v>
      </c>
      <c r="AH39" s="99">
        <f t="shared" si="24"/>
        <v>55</v>
      </c>
      <c r="AI39" s="106">
        <f t="shared" si="25"/>
        <v>20</v>
      </c>
      <c r="AJ39" s="105">
        <f t="shared" si="26"/>
        <v>124.96000000000001</v>
      </c>
      <c r="AK39" s="272">
        <f t="shared" si="27"/>
        <v>1.3884444444444446</v>
      </c>
      <c r="AL39" s="278">
        <f t="shared" si="28"/>
        <v>0.6942222222222223</v>
      </c>
      <c r="AM39" s="109">
        <v>450</v>
      </c>
      <c r="AN39" s="104">
        <v>24</v>
      </c>
      <c r="AO39" s="110">
        <v>30</v>
      </c>
      <c r="AP39" s="110">
        <v>16</v>
      </c>
      <c r="AQ39" s="108">
        <f t="shared" si="29"/>
        <v>19.333333333333332</v>
      </c>
      <c r="AR39" s="288">
        <f t="shared" si="30"/>
        <v>2665.7760249999997</v>
      </c>
      <c r="AS39" s="93"/>
      <c r="AT39" s="4"/>
    </row>
    <row r="40" spans="1:46">
      <c r="A40" s="72">
        <f t="shared" si="16"/>
        <v>6</v>
      </c>
      <c r="B40" s="61">
        <v>2.4500000000000002</v>
      </c>
      <c r="C40" s="66">
        <f t="shared" si="17"/>
        <v>14.700000000000001</v>
      </c>
      <c r="D40" s="68">
        <v>300</v>
      </c>
      <c r="E40" s="66">
        <f t="shared" si="1"/>
        <v>240</v>
      </c>
      <c r="F40" s="45">
        <f t="shared" si="18"/>
        <v>38.541666666666664</v>
      </c>
      <c r="G40" s="94">
        <f t="shared" si="2"/>
        <v>12</v>
      </c>
      <c r="H40" s="295">
        <f t="shared" si="19"/>
        <v>20.275040000000004</v>
      </c>
      <c r="I40" s="25"/>
      <c r="J40" s="52">
        <f t="shared" si="3"/>
        <v>35</v>
      </c>
      <c r="K40" s="25">
        <f t="shared" si="4"/>
        <v>449.55</v>
      </c>
      <c r="L40" s="427">
        <f t="shared" si="20"/>
        <v>9.25</v>
      </c>
      <c r="M40" s="64">
        <f t="shared" si="5"/>
        <v>35</v>
      </c>
      <c r="N40" s="838">
        <f t="shared" si="6"/>
        <v>52.03125</v>
      </c>
      <c r="O40" s="68">
        <f>LOOKUP(N40,'Circuit Breakers'!$B$5:$B$38,'Circuit Breakers'!$C$5:$C$38)</f>
        <v>60</v>
      </c>
      <c r="P40" s="199">
        <f t="shared" si="7"/>
        <v>30</v>
      </c>
      <c r="Q40" s="1056">
        <f t="shared" si="21"/>
        <v>584.41500000000008</v>
      </c>
      <c r="R40" s="1064">
        <f>LOOKUP(Q40,'Circuit Breakers'!$B$5:$B$38,'Circuit Breakers'!$C$5:$C$38)</f>
        <v>600</v>
      </c>
      <c r="S40" s="64">
        <f t="shared" si="8"/>
        <v>30</v>
      </c>
      <c r="T40" s="25">
        <f t="shared" si="22"/>
        <v>390</v>
      </c>
      <c r="U40" s="158">
        <f>LOOKUP(T40,'Circuit Breakers'!$B$5:$B$38,'Circuit Breakers'!$C$5:$C$38)</f>
        <v>400</v>
      </c>
      <c r="V40" s="199">
        <f t="shared" si="9"/>
        <v>15</v>
      </c>
      <c r="W40" s="25">
        <f t="shared" si="10"/>
        <v>44.322916666666657</v>
      </c>
      <c r="X40" s="68" t="str">
        <f>LOOKUP(W40,'Wire-Cables Ampacities'!$B$5:$B$35,'Wire-Cables Ampacities'!$C$5:$C$35)</f>
        <v>#8</v>
      </c>
      <c r="Y40" s="64">
        <f t="shared" si="11"/>
        <v>10</v>
      </c>
      <c r="Z40" s="25">
        <f t="shared" si="12"/>
        <v>494.50500000000005</v>
      </c>
      <c r="AA40" s="68" t="str">
        <f>LOOKUP(Z40,'Wire-Cables Ampacities'!$B$5:$B$35,'Wire-Cables Ampacities'!$C$5:$C$35)</f>
        <v>#3/0 2x</v>
      </c>
      <c r="AB40" s="64">
        <f t="shared" si="13"/>
        <v>10</v>
      </c>
      <c r="AC40" s="25">
        <f t="shared" si="14"/>
        <v>330</v>
      </c>
      <c r="AD40" s="68" t="str">
        <f>LOOKUP(AC40,'Wire-Cables Ampacities'!$B$5:$B$35,'Wire-Cables Ampacities'!$C$5:$C$35)</f>
        <v>250MCM</v>
      </c>
      <c r="AE40" s="81">
        <f t="shared" si="23"/>
        <v>1.0625</v>
      </c>
      <c r="AF40" s="56">
        <f t="shared" si="15"/>
        <v>3625.4008749999998</v>
      </c>
      <c r="AG40" s="72">
        <f t="shared" si="24"/>
        <v>40</v>
      </c>
      <c r="AH40" s="15">
        <f t="shared" si="24"/>
        <v>55</v>
      </c>
      <c r="AI40" s="64">
        <f t="shared" si="25"/>
        <v>20</v>
      </c>
      <c r="AJ40" s="56">
        <f t="shared" si="26"/>
        <v>149.6</v>
      </c>
      <c r="AK40" s="271">
        <f t="shared" si="27"/>
        <v>1.6622222222222223</v>
      </c>
      <c r="AL40" s="277">
        <f t="shared" si="28"/>
        <v>0.83111111111111113</v>
      </c>
      <c r="AM40" s="58">
        <v>450</v>
      </c>
      <c r="AN40" s="25">
        <v>24</v>
      </c>
      <c r="AO40" s="3">
        <v>30</v>
      </c>
      <c r="AP40" s="3">
        <v>16</v>
      </c>
      <c r="AQ40" s="74">
        <f t="shared" si="29"/>
        <v>19.333333333333332</v>
      </c>
      <c r="AR40" s="287">
        <f t="shared" si="30"/>
        <v>3262.9008749999998</v>
      </c>
      <c r="AS40" s="93"/>
      <c r="AT40" s="4"/>
    </row>
    <row r="41" spans="1:46">
      <c r="A41" s="72">
        <f t="shared" si="16"/>
        <v>6</v>
      </c>
      <c r="B41" s="61">
        <v>2.4500000000000002</v>
      </c>
      <c r="C41" s="66">
        <f t="shared" si="17"/>
        <v>14.700000000000001</v>
      </c>
      <c r="D41" s="68">
        <v>350</v>
      </c>
      <c r="E41" s="66">
        <f t="shared" si="1"/>
        <v>480</v>
      </c>
      <c r="F41" s="45">
        <f t="shared" si="18"/>
        <v>22.916666666666668</v>
      </c>
      <c r="G41" s="94">
        <f t="shared" si="2"/>
        <v>12</v>
      </c>
      <c r="H41" s="295">
        <f t="shared" si="19"/>
        <v>20.275040000000004</v>
      </c>
      <c r="I41" s="25"/>
      <c r="J41" s="52">
        <f t="shared" si="3"/>
        <v>35</v>
      </c>
      <c r="K41" s="25">
        <f t="shared" si="4"/>
        <v>524.47500000000014</v>
      </c>
      <c r="L41" s="427">
        <f t="shared" si="20"/>
        <v>11</v>
      </c>
      <c r="M41" s="64">
        <f t="shared" si="5"/>
        <v>35</v>
      </c>
      <c r="N41" s="838">
        <f t="shared" si="6"/>
        <v>30.937500000000004</v>
      </c>
      <c r="O41" s="68">
        <f>LOOKUP(N41,'Circuit Breakers'!$B$5:$B$38,'Circuit Breakers'!$C$5:$C$38)</f>
        <v>40</v>
      </c>
      <c r="P41" s="199">
        <f t="shared" si="7"/>
        <v>30</v>
      </c>
      <c r="Q41" s="1056">
        <f t="shared" si="21"/>
        <v>681.81750000000022</v>
      </c>
      <c r="R41" s="1064">
        <f>LOOKUP(Q41,'Circuit Breakers'!$B$5:$B$38,'Circuit Breakers'!$C$5:$C$38)</f>
        <v>700</v>
      </c>
      <c r="S41" s="64">
        <f t="shared" si="8"/>
        <v>30</v>
      </c>
      <c r="T41" s="25">
        <f t="shared" si="22"/>
        <v>455</v>
      </c>
      <c r="U41" s="158">
        <f>LOOKUP(T41,'Circuit Breakers'!$B$5:$B$38,'Circuit Breakers'!$C$5:$C$38)</f>
        <v>500</v>
      </c>
      <c r="V41" s="199">
        <f t="shared" si="9"/>
        <v>15</v>
      </c>
      <c r="W41" s="25">
        <f t="shared" si="10"/>
        <v>26.354166666666664</v>
      </c>
      <c r="X41" s="68" t="str">
        <f>LOOKUP(W41,'Wire-Cables Ampacities'!$B$5:$B$35,'Wire-Cables Ampacities'!$C$5:$C$35)</f>
        <v>#10</v>
      </c>
      <c r="Y41" s="64">
        <f t="shared" si="11"/>
        <v>10</v>
      </c>
      <c r="Z41" s="25">
        <f t="shared" si="12"/>
        <v>576.92250000000024</v>
      </c>
      <c r="AA41" s="68" t="str">
        <f>LOOKUP(Z41,'Wire-Cables Ampacities'!$B$5:$B$35,'Wire-Cables Ampacities'!$C$5:$C$35)</f>
        <v>#4/0 2x</v>
      </c>
      <c r="AB41" s="64">
        <f t="shared" si="13"/>
        <v>10</v>
      </c>
      <c r="AC41" s="25">
        <f t="shared" si="14"/>
        <v>385.00000000000006</v>
      </c>
      <c r="AD41" s="68" t="str">
        <f>LOOKUP(AC41,'Wire-Cables Ampacities'!$B$5:$B$35,'Wire-Cables Ampacities'!$C$5:$C$35)</f>
        <v>#2/0 2x</v>
      </c>
      <c r="AE41" s="81">
        <f t="shared" si="23"/>
        <v>1.25</v>
      </c>
      <c r="AF41" s="56">
        <f t="shared" si="15"/>
        <v>4265.1774999999998</v>
      </c>
      <c r="AG41" s="72">
        <f t="shared" si="24"/>
        <v>40</v>
      </c>
      <c r="AH41" s="15">
        <f t="shared" si="24"/>
        <v>55</v>
      </c>
      <c r="AI41" s="64">
        <f t="shared" si="25"/>
        <v>20</v>
      </c>
      <c r="AJ41" s="56">
        <f t="shared" si="26"/>
        <v>175.99999999999997</v>
      </c>
      <c r="AK41" s="271">
        <f t="shared" si="27"/>
        <v>1.9555555555555553</v>
      </c>
      <c r="AL41" s="277">
        <f t="shared" si="28"/>
        <v>0.97777777777777763</v>
      </c>
      <c r="AM41" s="58">
        <v>450</v>
      </c>
      <c r="AN41" s="25">
        <v>24</v>
      </c>
      <c r="AO41" s="3">
        <v>30</v>
      </c>
      <c r="AP41" s="3">
        <v>16</v>
      </c>
      <c r="AQ41" s="74">
        <f t="shared" si="29"/>
        <v>19.333333333333332</v>
      </c>
      <c r="AR41" s="287">
        <f t="shared" si="30"/>
        <v>3902.6774999999998</v>
      </c>
      <c r="AS41" s="93"/>
      <c r="AT41" s="4"/>
    </row>
    <row r="42" spans="1:46">
      <c r="A42" s="98">
        <f t="shared" si="16"/>
        <v>6</v>
      </c>
      <c r="B42" s="304">
        <v>2.4500000000000002</v>
      </c>
      <c r="C42" s="100">
        <f t="shared" si="17"/>
        <v>14.700000000000001</v>
      </c>
      <c r="D42" s="101">
        <v>400</v>
      </c>
      <c r="E42" s="100">
        <f t="shared" si="1"/>
        <v>480</v>
      </c>
      <c r="F42" s="102">
        <f t="shared" si="18"/>
        <v>26.041666666666668</v>
      </c>
      <c r="G42" s="103">
        <f t="shared" si="2"/>
        <v>12</v>
      </c>
      <c r="H42" s="296">
        <f t="shared" si="19"/>
        <v>20.275040000000004</v>
      </c>
      <c r="I42" s="104"/>
      <c r="J42" s="180">
        <f t="shared" si="3"/>
        <v>35</v>
      </c>
      <c r="K42" s="104">
        <f t="shared" si="4"/>
        <v>599.40000000000009</v>
      </c>
      <c r="L42" s="428">
        <f t="shared" si="20"/>
        <v>12.5</v>
      </c>
      <c r="M42" s="106">
        <f t="shared" si="5"/>
        <v>35</v>
      </c>
      <c r="N42" s="1060">
        <f t="shared" si="6"/>
        <v>35.156250000000007</v>
      </c>
      <c r="O42" s="101">
        <f>LOOKUP(N42,'Circuit Breakers'!$B$5:$B$38,'Circuit Breakers'!$C$5:$C$38)</f>
        <v>40</v>
      </c>
      <c r="P42" s="262">
        <f t="shared" si="7"/>
        <v>30</v>
      </c>
      <c r="Q42" s="1057">
        <f t="shared" si="21"/>
        <v>779.22000000000014</v>
      </c>
      <c r="R42" s="1065">
        <f>LOOKUP(Q42,'Circuit Breakers'!$B$5:$B$38,'Circuit Breakers'!$C$5:$C$38)</f>
        <v>800</v>
      </c>
      <c r="S42" s="106">
        <f t="shared" si="8"/>
        <v>30</v>
      </c>
      <c r="T42" s="104">
        <f t="shared" si="22"/>
        <v>520</v>
      </c>
      <c r="U42" s="477">
        <f>LOOKUP(T42,'Circuit Breakers'!$B$5:$B$38,'Circuit Breakers'!$C$5:$C$38)</f>
        <v>600</v>
      </c>
      <c r="V42" s="262">
        <f t="shared" si="9"/>
        <v>15</v>
      </c>
      <c r="W42" s="104">
        <f t="shared" si="10"/>
        <v>29.947916666666664</v>
      </c>
      <c r="X42" s="101" t="str">
        <f>LOOKUP(W42,'Wire-Cables Ampacities'!$B$5:$B$35,'Wire-Cables Ampacities'!$C$5:$C$35)</f>
        <v>#10</v>
      </c>
      <c r="Y42" s="106">
        <f t="shared" si="11"/>
        <v>10</v>
      </c>
      <c r="Z42" s="104">
        <f t="shared" si="12"/>
        <v>659.34000000000015</v>
      </c>
      <c r="AA42" s="101" t="str">
        <f>LOOKUP(Z42,'Wire-Cables Ampacities'!$B$5:$B$35,'Wire-Cables Ampacities'!$C$5:$C$35)</f>
        <v>300MCM 2x</v>
      </c>
      <c r="AB42" s="106">
        <f t="shared" si="13"/>
        <v>10</v>
      </c>
      <c r="AC42" s="104">
        <f t="shared" si="14"/>
        <v>440.00000000000006</v>
      </c>
      <c r="AD42" s="101" t="str">
        <f>LOOKUP(AC42,'Wire-Cables Ampacities'!$B$5:$B$35,'Wire-Cables Ampacities'!$C$5:$C$35)</f>
        <v>#3/0 2x</v>
      </c>
      <c r="AE42" s="107">
        <f t="shared" si="23"/>
        <v>1.425</v>
      </c>
      <c r="AF42" s="105">
        <f t="shared" si="15"/>
        <v>4862.3023499999999</v>
      </c>
      <c r="AG42" s="98">
        <f t="shared" si="24"/>
        <v>40</v>
      </c>
      <c r="AH42" s="99">
        <f t="shared" si="24"/>
        <v>55</v>
      </c>
      <c r="AI42" s="106">
        <f t="shared" si="25"/>
        <v>20</v>
      </c>
      <c r="AJ42" s="105">
        <f t="shared" si="26"/>
        <v>200.64</v>
      </c>
      <c r="AK42" s="272">
        <f t="shared" si="27"/>
        <v>2.2293333333333334</v>
      </c>
      <c r="AL42" s="278">
        <f t="shared" si="28"/>
        <v>1.1146666666666667</v>
      </c>
      <c r="AM42" s="109">
        <v>450</v>
      </c>
      <c r="AN42" s="104">
        <v>24</v>
      </c>
      <c r="AO42" s="110">
        <v>30</v>
      </c>
      <c r="AP42" s="110">
        <v>16</v>
      </c>
      <c r="AQ42" s="108">
        <f t="shared" si="29"/>
        <v>19.333333333333332</v>
      </c>
      <c r="AR42" s="288">
        <f t="shared" si="30"/>
        <v>4499.8023499999999</v>
      </c>
      <c r="AS42" s="93"/>
      <c r="AT42" s="4"/>
    </row>
    <row r="43" spans="1:46">
      <c r="A43" s="72">
        <f t="shared" si="16"/>
        <v>6</v>
      </c>
      <c r="B43" s="61">
        <v>2.4500000000000002</v>
      </c>
      <c r="C43" s="66">
        <f t="shared" si="17"/>
        <v>14.700000000000001</v>
      </c>
      <c r="D43" s="68">
        <v>450</v>
      </c>
      <c r="E43" s="66">
        <f t="shared" si="1"/>
        <v>480</v>
      </c>
      <c r="F43" s="45">
        <f t="shared" si="18"/>
        <v>29.166666666666668</v>
      </c>
      <c r="G43" s="94">
        <f t="shared" si="2"/>
        <v>12</v>
      </c>
      <c r="H43" s="295">
        <f t="shared" si="19"/>
        <v>20.275040000000004</v>
      </c>
      <c r="I43" s="25"/>
      <c r="J43" s="52">
        <f t="shared" si="3"/>
        <v>35</v>
      </c>
      <c r="K43" s="25">
        <f t="shared" si="4"/>
        <v>674.32500000000005</v>
      </c>
      <c r="L43" s="427">
        <f t="shared" si="20"/>
        <v>14</v>
      </c>
      <c r="M43" s="64">
        <f t="shared" si="5"/>
        <v>35</v>
      </c>
      <c r="N43" s="838">
        <f t="shared" si="6"/>
        <v>39.375000000000007</v>
      </c>
      <c r="O43" s="68">
        <f>LOOKUP(N43,'Circuit Breakers'!$B$5:$B$38,'Circuit Breakers'!$C$5:$C$38)</f>
        <v>40</v>
      </c>
      <c r="P43" s="199">
        <f t="shared" si="7"/>
        <v>30</v>
      </c>
      <c r="Q43" s="1056">
        <f t="shared" si="21"/>
        <v>876.62250000000006</v>
      </c>
      <c r="R43" s="1064">
        <f>LOOKUP(Q43,'Circuit Breakers'!$B$5:$B$38,'Circuit Breakers'!$C$5:$C$38)</f>
        <v>900</v>
      </c>
      <c r="S43" s="64">
        <f t="shared" si="8"/>
        <v>30</v>
      </c>
      <c r="T43" s="25">
        <f t="shared" si="22"/>
        <v>585</v>
      </c>
      <c r="U43" s="158">
        <f>LOOKUP(T43,'Circuit Breakers'!$B$5:$B$38,'Circuit Breakers'!$C$5:$C$38)</f>
        <v>600</v>
      </c>
      <c r="V43" s="199">
        <f t="shared" si="9"/>
        <v>15</v>
      </c>
      <c r="W43" s="25">
        <f t="shared" si="10"/>
        <v>33.541666666666664</v>
      </c>
      <c r="X43" s="68" t="str">
        <f>LOOKUP(W43,'Wire-Cables Ampacities'!$B$5:$B$35,'Wire-Cables Ampacities'!$C$5:$C$35)</f>
        <v>#10</v>
      </c>
      <c r="Y43" s="64">
        <f t="shared" si="11"/>
        <v>10</v>
      </c>
      <c r="Z43" s="25">
        <f t="shared" si="12"/>
        <v>741.75750000000016</v>
      </c>
      <c r="AA43" s="68" t="str">
        <f>LOOKUP(Z43,'Wire-Cables Ampacities'!$B$5:$B$35,'Wire-Cables Ampacities'!$C$5:$C$35)</f>
        <v>Buss</v>
      </c>
      <c r="AB43" s="64">
        <f t="shared" si="13"/>
        <v>10</v>
      </c>
      <c r="AC43" s="25">
        <f t="shared" si="14"/>
        <v>495.00000000000006</v>
      </c>
      <c r="AD43" s="68" t="str">
        <f>LOOKUP(AC43,'Wire-Cables Ampacities'!$B$5:$B$35,'Wire-Cables Ampacities'!$C$5:$C$35)</f>
        <v>#3/0 2x</v>
      </c>
      <c r="AE43" s="81">
        <f t="shared" si="23"/>
        <v>1.6</v>
      </c>
      <c r="AF43" s="56">
        <f t="shared" si="15"/>
        <v>5459.4272000000001</v>
      </c>
      <c r="AG43" s="72">
        <f t="shared" si="24"/>
        <v>40</v>
      </c>
      <c r="AH43" s="15">
        <f t="shared" si="24"/>
        <v>55</v>
      </c>
      <c r="AI43" s="64">
        <f t="shared" si="25"/>
        <v>20</v>
      </c>
      <c r="AJ43" s="56">
        <f t="shared" si="26"/>
        <v>225.27999999999997</v>
      </c>
      <c r="AK43" s="271">
        <f t="shared" si="27"/>
        <v>2.5031111111111106</v>
      </c>
      <c r="AL43" s="277">
        <f t="shared" si="28"/>
        <v>1.2515555555555553</v>
      </c>
      <c r="AM43" s="58">
        <v>450</v>
      </c>
      <c r="AN43" s="25">
        <v>24</v>
      </c>
      <c r="AO43" s="3">
        <v>30</v>
      </c>
      <c r="AP43" s="3">
        <v>16</v>
      </c>
      <c r="AQ43" s="74">
        <f t="shared" si="29"/>
        <v>19.333333333333332</v>
      </c>
      <c r="AR43" s="287">
        <f t="shared" si="30"/>
        <v>5096.9272000000001</v>
      </c>
      <c r="AS43" s="93"/>
      <c r="AT43" s="4"/>
    </row>
    <row r="44" spans="1:46">
      <c r="A44" s="72">
        <f t="shared" si="16"/>
        <v>6</v>
      </c>
      <c r="B44" s="61">
        <v>2.4500000000000002</v>
      </c>
      <c r="C44" s="66">
        <f t="shared" si="17"/>
        <v>14.700000000000001</v>
      </c>
      <c r="D44" s="68">
        <v>500</v>
      </c>
      <c r="E44" s="66">
        <f t="shared" si="1"/>
        <v>480</v>
      </c>
      <c r="F44" s="45">
        <f t="shared" si="18"/>
        <v>32.291666666666664</v>
      </c>
      <c r="G44" s="94">
        <f t="shared" si="2"/>
        <v>12</v>
      </c>
      <c r="H44" s="295">
        <f t="shared" si="19"/>
        <v>20.275040000000004</v>
      </c>
      <c r="I44" s="25"/>
      <c r="J44" s="52">
        <f t="shared" si="3"/>
        <v>35</v>
      </c>
      <c r="K44" s="25">
        <f t="shared" si="4"/>
        <v>749.25000000000011</v>
      </c>
      <c r="L44" s="427">
        <f t="shared" si="20"/>
        <v>15.5</v>
      </c>
      <c r="M44" s="64">
        <f t="shared" si="5"/>
        <v>35</v>
      </c>
      <c r="N44" s="838">
        <f t="shared" si="6"/>
        <v>43.59375</v>
      </c>
      <c r="O44" s="68">
        <f>LOOKUP(N44,'Circuit Breakers'!$B$5:$B$38,'Circuit Breakers'!$C$5:$C$38)</f>
        <v>50</v>
      </c>
      <c r="P44" s="199">
        <f t="shared" si="7"/>
        <v>30</v>
      </c>
      <c r="Q44" s="1056">
        <f t="shared" si="21"/>
        <v>974.0250000000002</v>
      </c>
      <c r="R44" s="1064">
        <f>LOOKUP(Q44,'Circuit Breakers'!$B$5:$B$38,'Circuit Breakers'!$C$5:$C$38)</f>
        <v>1000</v>
      </c>
      <c r="S44" s="64">
        <f t="shared" si="8"/>
        <v>30</v>
      </c>
      <c r="T44" s="25">
        <f t="shared" si="22"/>
        <v>650</v>
      </c>
      <c r="U44" s="158">
        <f>LOOKUP(T44,'Circuit Breakers'!$B$5:$B$38,'Circuit Breakers'!$C$5:$C$38)</f>
        <v>700</v>
      </c>
      <c r="V44" s="199">
        <f t="shared" si="9"/>
        <v>15</v>
      </c>
      <c r="W44" s="25">
        <f t="shared" si="10"/>
        <v>37.135416666666664</v>
      </c>
      <c r="X44" s="68" t="str">
        <f>LOOKUP(W44,'Wire-Cables Ampacities'!$B$5:$B$35,'Wire-Cables Ampacities'!$C$5:$C$35)</f>
        <v>#10</v>
      </c>
      <c r="Y44" s="64">
        <f t="shared" si="11"/>
        <v>10</v>
      </c>
      <c r="Z44" s="25">
        <f t="shared" si="12"/>
        <v>824.17500000000018</v>
      </c>
      <c r="AA44" s="68" t="str">
        <f>LOOKUP(Z44,'Wire-Cables Ampacities'!$B$5:$B$35,'Wire-Cables Ampacities'!$C$5:$C$35)</f>
        <v>Buss</v>
      </c>
      <c r="AB44" s="64">
        <f t="shared" si="13"/>
        <v>10</v>
      </c>
      <c r="AC44" s="25">
        <f t="shared" si="14"/>
        <v>550</v>
      </c>
      <c r="AD44" s="68" t="str">
        <f>LOOKUP(AC44,'Wire-Cables Ampacities'!$B$5:$B$35,'Wire-Cables Ampacities'!$C$5:$C$35)</f>
        <v>#4/0 2x</v>
      </c>
      <c r="AE44" s="81">
        <f t="shared" si="23"/>
        <v>1.7749999999999999</v>
      </c>
      <c r="AF44" s="56">
        <f t="shared" si="15"/>
        <v>6056.5520499999993</v>
      </c>
      <c r="AG44" s="72">
        <f t="shared" si="24"/>
        <v>40</v>
      </c>
      <c r="AH44" s="15">
        <f t="shared" si="24"/>
        <v>55</v>
      </c>
      <c r="AI44" s="64">
        <f t="shared" si="25"/>
        <v>20</v>
      </c>
      <c r="AJ44" s="56">
        <f t="shared" si="26"/>
        <v>249.92000000000002</v>
      </c>
      <c r="AK44" s="271">
        <f t="shared" si="27"/>
        <v>2.7768888888888892</v>
      </c>
      <c r="AL44" s="277">
        <f t="shared" si="28"/>
        <v>1.3884444444444446</v>
      </c>
      <c r="AM44" s="58">
        <v>450</v>
      </c>
      <c r="AN44" s="25">
        <v>24</v>
      </c>
      <c r="AO44" s="3">
        <v>30</v>
      </c>
      <c r="AP44" s="3">
        <v>16</v>
      </c>
      <c r="AQ44" s="74">
        <f t="shared" si="29"/>
        <v>19.333333333333332</v>
      </c>
      <c r="AR44" s="287">
        <f t="shared" si="30"/>
        <v>5694.0520499999993</v>
      </c>
      <c r="AS44" s="93"/>
      <c r="AT44" s="4"/>
    </row>
    <row r="45" spans="1:46">
      <c r="A45" s="98">
        <f t="shared" si="16"/>
        <v>6</v>
      </c>
      <c r="B45" s="304">
        <v>2.4500000000000002</v>
      </c>
      <c r="C45" s="100">
        <f t="shared" si="17"/>
        <v>14.700000000000001</v>
      </c>
      <c r="D45" s="101">
        <v>600</v>
      </c>
      <c r="E45" s="100">
        <f t="shared" si="1"/>
        <v>480</v>
      </c>
      <c r="F45" s="102">
        <f t="shared" si="18"/>
        <v>38.541666666666664</v>
      </c>
      <c r="G45" s="103">
        <f t="shared" si="2"/>
        <v>12</v>
      </c>
      <c r="H45" s="296">
        <f t="shared" si="19"/>
        <v>20.275040000000004</v>
      </c>
      <c r="I45" s="104"/>
      <c r="J45" s="180">
        <f t="shared" si="3"/>
        <v>35</v>
      </c>
      <c r="K45" s="104">
        <f t="shared" si="4"/>
        <v>899.1</v>
      </c>
      <c r="L45" s="428">
        <f t="shared" si="20"/>
        <v>18.5</v>
      </c>
      <c r="M45" s="106">
        <f t="shared" si="5"/>
        <v>35</v>
      </c>
      <c r="N45" s="1060">
        <f t="shared" si="6"/>
        <v>52.03125</v>
      </c>
      <c r="O45" s="101">
        <f>LOOKUP(N45,'Circuit Breakers'!$B$5:$B$38,'Circuit Breakers'!$C$5:$C$38)</f>
        <v>60</v>
      </c>
      <c r="P45" s="262">
        <f t="shared" si="7"/>
        <v>30</v>
      </c>
      <c r="Q45" s="1057">
        <f t="shared" si="21"/>
        <v>1168.8300000000002</v>
      </c>
      <c r="R45" s="1065">
        <f>LOOKUP(Q45,'Circuit Breakers'!$B$5:$B$38,'Circuit Breakers'!$C$5:$C$38)</f>
        <v>1200</v>
      </c>
      <c r="S45" s="106">
        <f t="shared" si="8"/>
        <v>30</v>
      </c>
      <c r="T45" s="104">
        <f t="shared" si="22"/>
        <v>780</v>
      </c>
      <c r="U45" s="477">
        <f>LOOKUP(T45,'Circuit Breakers'!$B$5:$B$38,'Circuit Breakers'!$C$5:$C$38)</f>
        <v>800</v>
      </c>
      <c r="V45" s="262">
        <f t="shared" si="9"/>
        <v>15</v>
      </c>
      <c r="W45" s="104">
        <f t="shared" si="10"/>
        <v>44.322916666666657</v>
      </c>
      <c r="X45" s="101" t="str">
        <f>LOOKUP(W45,'Wire-Cables Ampacities'!$B$5:$B$35,'Wire-Cables Ampacities'!$C$5:$C$35)</f>
        <v>#8</v>
      </c>
      <c r="Y45" s="106">
        <f t="shared" si="11"/>
        <v>10</v>
      </c>
      <c r="Z45" s="104">
        <f t="shared" si="12"/>
        <v>989.0100000000001</v>
      </c>
      <c r="AA45" s="101" t="str">
        <f>LOOKUP(Z45,'Wire-Cables Ampacities'!$B$5:$B$35,'Wire-Cables Ampacities'!$C$5:$C$35)</f>
        <v>Buss</v>
      </c>
      <c r="AB45" s="106">
        <f t="shared" si="13"/>
        <v>10</v>
      </c>
      <c r="AC45" s="104">
        <f t="shared" si="14"/>
        <v>660</v>
      </c>
      <c r="AD45" s="101" t="str">
        <f>LOOKUP(AC45,'Wire-Cables Ampacities'!$B$5:$B$35,'Wire-Cables Ampacities'!$C$5:$C$35)</f>
        <v>300MCM 2x</v>
      </c>
      <c r="AE45" s="107">
        <f t="shared" si="23"/>
        <v>2.125</v>
      </c>
      <c r="AF45" s="105">
        <f t="shared" si="15"/>
        <v>7250.8017499999996</v>
      </c>
      <c r="AG45" s="98">
        <f t="shared" si="24"/>
        <v>40</v>
      </c>
      <c r="AH45" s="99">
        <f t="shared" si="24"/>
        <v>55</v>
      </c>
      <c r="AI45" s="106">
        <f t="shared" si="25"/>
        <v>20</v>
      </c>
      <c r="AJ45" s="105">
        <f t="shared" si="26"/>
        <v>299.2</v>
      </c>
      <c r="AK45" s="272">
        <f t="shared" si="27"/>
        <v>3.3244444444444445</v>
      </c>
      <c r="AL45" s="278">
        <f t="shared" si="28"/>
        <v>1.6622222222222223</v>
      </c>
      <c r="AM45" s="109">
        <v>450</v>
      </c>
      <c r="AN45" s="104">
        <v>24</v>
      </c>
      <c r="AO45" s="110">
        <v>30</v>
      </c>
      <c r="AP45" s="110">
        <v>16</v>
      </c>
      <c r="AQ45" s="108">
        <f t="shared" si="29"/>
        <v>19.333333333333332</v>
      </c>
      <c r="AR45" s="288">
        <f t="shared" si="30"/>
        <v>6888.3017499999996</v>
      </c>
      <c r="AS45" s="93"/>
      <c r="AT45" s="4"/>
    </row>
    <row r="46" spans="1:46">
      <c r="A46" s="72">
        <f t="shared" si="16"/>
        <v>6</v>
      </c>
      <c r="B46" s="61">
        <v>2.4500000000000002</v>
      </c>
      <c r="C46" s="66">
        <f t="shared" si="17"/>
        <v>14.700000000000001</v>
      </c>
      <c r="D46" s="68">
        <v>700</v>
      </c>
      <c r="E46" s="66">
        <f t="shared" si="1"/>
        <v>480</v>
      </c>
      <c r="F46" s="45">
        <f t="shared" si="18"/>
        <v>45.833333333333336</v>
      </c>
      <c r="G46" s="94">
        <f t="shared" si="2"/>
        <v>12</v>
      </c>
      <c r="H46" s="295">
        <f t="shared" si="19"/>
        <v>20.275040000000004</v>
      </c>
      <c r="I46" s="25"/>
      <c r="J46" s="52">
        <f t="shared" si="3"/>
        <v>35</v>
      </c>
      <c r="K46" s="25">
        <f t="shared" si="4"/>
        <v>1048.9500000000003</v>
      </c>
      <c r="L46" s="427">
        <f t="shared" si="20"/>
        <v>22</v>
      </c>
      <c r="M46" s="64">
        <f t="shared" si="5"/>
        <v>35</v>
      </c>
      <c r="N46" s="838">
        <f t="shared" si="6"/>
        <v>61.875000000000007</v>
      </c>
      <c r="O46" s="68">
        <f>LOOKUP(N46,'Circuit Breakers'!$B$5:$B$38,'Circuit Breakers'!$C$5:$C$38)</f>
        <v>60</v>
      </c>
      <c r="P46" s="199">
        <f t="shared" si="7"/>
        <v>30</v>
      </c>
      <c r="Q46" s="1056">
        <f t="shared" si="21"/>
        <v>1363.6350000000004</v>
      </c>
      <c r="R46" s="1064" t="str">
        <f>LOOKUP(Q46,'Circuit Breakers'!$B$5:$B$38,'Circuit Breakers'!$C$5:$C$38)</f>
        <v>Check</v>
      </c>
      <c r="S46" s="64">
        <f t="shared" si="8"/>
        <v>30</v>
      </c>
      <c r="T46" s="25">
        <f t="shared" si="22"/>
        <v>910</v>
      </c>
      <c r="U46" s="158">
        <f>LOOKUP(T46,'Circuit Breakers'!$B$5:$B$38,'Circuit Breakers'!$C$5:$C$38)</f>
        <v>1000</v>
      </c>
      <c r="V46" s="199">
        <f t="shared" si="9"/>
        <v>15</v>
      </c>
      <c r="W46" s="25">
        <f t="shared" si="10"/>
        <v>52.708333333333329</v>
      </c>
      <c r="X46" s="68" t="str">
        <f>LOOKUP(W46,'Wire-Cables Ampacities'!$B$5:$B$35,'Wire-Cables Ampacities'!$C$5:$C$35)</f>
        <v>#8</v>
      </c>
      <c r="Y46" s="64">
        <f t="shared" si="11"/>
        <v>10</v>
      </c>
      <c r="Z46" s="25">
        <f t="shared" si="12"/>
        <v>1153.8450000000005</v>
      </c>
      <c r="AA46" s="68" t="str">
        <f>LOOKUP(Z46,'Wire-Cables Ampacities'!$B$5:$B$35,'Wire-Cables Ampacities'!$C$5:$C$35)</f>
        <v>Buss</v>
      </c>
      <c r="AB46" s="64">
        <f t="shared" si="13"/>
        <v>10</v>
      </c>
      <c r="AC46" s="25">
        <f t="shared" si="14"/>
        <v>770.00000000000011</v>
      </c>
      <c r="AD46" s="68" t="str">
        <f>LOOKUP(AC46,'Wire-Cables Ampacities'!$B$5:$B$35,'Wire-Cables Ampacities'!$C$5:$C$35)</f>
        <v>Buss</v>
      </c>
      <c r="AE46" s="81">
        <f t="shared" si="23"/>
        <v>2.5</v>
      </c>
      <c r="AF46" s="56">
        <f t="shared" si="15"/>
        <v>8530.3549999999996</v>
      </c>
      <c r="AG46" s="72">
        <f t="shared" si="24"/>
        <v>40</v>
      </c>
      <c r="AH46" s="15">
        <f t="shared" si="24"/>
        <v>55</v>
      </c>
      <c r="AI46" s="64">
        <f t="shared" si="25"/>
        <v>20</v>
      </c>
      <c r="AJ46" s="56">
        <f t="shared" si="26"/>
        <v>351.99999999999994</v>
      </c>
      <c r="AK46" s="271">
        <f t="shared" si="27"/>
        <v>3.9111111111111105</v>
      </c>
      <c r="AL46" s="277">
        <f t="shared" si="28"/>
        <v>1.9555555555555553</v>
      </c>
      <c r="AM46" s="58">
        <v>450</v>
      </c>
      <c r="AN46" s="25">
        <v>24</v>
      </c>
      <c r="AO46" s="3">
        <v>30</v>
      </c>
      <c r="AP46" s="3">
        <v>16</v>
      </c>
      <c r="AQ46" s="74">
        <f t="shared" si="29"/>
        <v>19.333333333333332</v>
      </c>
      <c r="AR46" s="287">
        <f t="shared" si="30"/>
        <v>8167.8549999999996</v>
      </c>
      <c r="AS46" s="93"/>
      <c r="AT46" s="4"/>
    </row>
    <row r="47" spans="1:46">
      <c r="A47" s="72">
        <f t="shared" si="16"/>
        <v>6</v>
      </c>
      <c r="B47" s="61">
        <v>2.4500000000000002</v>
      </c>
      <c r="C47" s="66">
        <f t="shared" si="17"/>
        <v>14.700000000000001</v>
      </c>
      <c r="D47" s="68">
        <v>800</v>
      </c>
      <c r="E47" s="66">
        <f t="shared" si="1"/>
        <v>480</v>
      </c>
      <c r="F47" s="45">
        <f t="shared" si="18"/>
        <v>52.083333333333336</v>
      </c>
      <c r="G47" s="94">
        <f t="shared" si="2"/>
        <v>12</v>
      </c>
      <c r="H47" s="295">
        <f t="shared" si="19"/>
        <v>20.275040000000004</v>
      </c>
      <c r="I47" s="25"/>
      <c r="J47" s="52">
        <f t="shared" si="3"/>
        <v>35</v>
      </c>
      <c r="K47" s="25">
        <f t="shared" si="4"/>
        <v>1198.8000000000002</v>
      </c>
      <c r="L47" s="427">
        <f t="shared" si="20"/>
        <v>25</v>
      </c>
      <c r="M47" s="64">
        <f t="shared" si="5"/>
        <v>35</v>
      </c>
      <c r="N47" s="838">
        <f t="shared" si="6"/>
        <v>70.312500000000014</v>
      </c>
      <c r="O47" s="68">
        <f>LOOKUP(N47,'Circuit Breakers'!$B$5:$B$38,'Circuit Breakers'!$C$5:$C$38)</f>
        <v>80</v>
      </c>
      <c r="P47" s="199">
        <f t="shared" si="7"/>
        <v>30</v>
      </c>
      <c r="Q47" s="1056">
        <f t="shared" si="21"/>
        <v>1558.4400000000003</v>
      </c>
      <c r="R47" s="1064" t="str">
        <f>LOOKUP(Q47,'Circuit Breakers'!$B$5:$B$38,'Circuit Breakers'!$C$5:$C$38)</f>
        <v>Check</v>
      </c>
      <c r="S47" s="64">
        <f t="shared" si="8"/>
        <v>30</v>
      </c>
      <c r="T47" s="25">
        <f t="shared" si="22"/>
        <v>1040</v>
      </c>
      <c r="U47" s="158">
        <f>LOOKUP(T47,'Circuit Breakers'!$B$5:$B$38,'Circuit Breakers'!$C$5:$C$38)</f>
        <v>1200</v>
      </c>
      <c r="V47" s="199">
        <f t="shared" si="9"/>
        <v>15</v>
      </c>
      <c r="W47" s="25">
        <f t="shared" si="10"/>
        <v>59.895833333333329</v>
      </c>
      <c r="X47" s="68" t="str">
        <f>LOOKUP(W47,'Wire-Cables Ampacities'!$B$5:$B$35,'Wire-Cables Ampacities'!$C$5:$C$35)</f>
        <v>#8</v>
      </c>
      <c r="Y47" s="64">
        <f t="shared" si="11"/>
        <v>10</v>
      </c>
      <c r="Z47" s="25">
        <f t="shared" si="12"/>
        <v>1318.6800000000003</v>
      </c>
      <c r="AA47" s="68" t="str">
        <f>LOOKUP(Z47,'Wire-Cables Ampacities'!$B$5:$B$35,'Wire-Cables Ampacities'!$C$5:$C$35)</f>
        <v>Buss</v>
      </c>
      <c r="AB47" s="64">
        <f t="shared" si="13"/>
        <v>10</v>
      </c>
      <c r="AC47" s="25">
        <f t="shared" si="14"/>
        <v>880.00000000000011</v>
      </c>
      <c r="AD47" s="68" t="str">
        <f>LOOKUP(AC47,'Wire-Cables Ampacities'!$B$5:$B$35,'Wire-Cables Ampacities'!$C$5:$C$35)</f>
        <v>Buss</v>
      </c>
      <c r="AE47" s="81">
        <f t="shared" si="23"/>
        <v>2.85</v>
      </c>
      <c r="AF47" s="56">
        <f t="shared" si="15"/>
        <v>9724.6046999999999</v>
      </c>
      <c r="AG47" s="72">
        <f t="shared" si="24"/>
        <v>40</v>
      </c>
      <c r="AH47" s="15">
        <f t="shared" si="24"/>
        <v>55</v>
      </c>
      <c r="AI47" s="64">
        <f t="shared" si="25"/>
        <v>20</v>
      </c>
      <c r="AJ47" s="56">
        <f t="shared" si="26"/>
        <v>401.28</v>
      </c>
      <c r="AK47" s="271">
        <f t="shared" si="27"/>
        <v>4.4586666666666668</v>
      </c>
      <c r="AL47" s="277">
        <f t="shared" si="28"/>
        <v>2.2293333333333334</v>
      </c>
      <c r="AM47" s="58">
        <v>450</v>
      </c>
      <c r="AN47" s="25">
        <v>24</v>
      </c>
      <c r="AO47" s="3">
        <v>30</v>
      </c>
      <c r="AP47" s="3">
        <v>16</v>
      </c>
      <c r="AQ47" s="74">
        <f t="shared" si="29"/>
        <v>19.333333333333332</v>
      </c>
      <c r="AR47" s="287">
        <f t="shared" si="30"/>
        <v>9362.1046999999999</v>
      </c>
      <c r="AS47" s="93"/>
      <c r="AT47" s="4"/>
    </row>
    <row r="48" spans="1:46">
      <c r="A48" s="98">
        <f t="shared" si="16"/>
        <v>6</v>
      </c>
      <c r="B48" s="304">
        <v>2.4500000000000002</v>
      </c>
      <c r="C48" s="100">
        <f t="shared" si="17"/>
        <v>14.700000000000001</v>
      </c>
      <c r="D48" s="101">
        <v>900</v>
      </c>
      <c r="E48" s="100">
        <f t="shared" si="1"/>
        <v>480</v>
      </c>
      <c r="F48" s="102">
        <f t="shared" si="18"/>
        <v>58.333333333333336</v>
      </c>
      <c r="G48" s="103">
        <f t="shared" si="2"/>
        <v>12</v>
      </c>
      <c r="H48" s="296">
        <f t="shared" si="19"/>
        <v>20.275040000000004</v>
      </c>
      <c r="I48" s="104"/>
      <c r="J48" s="180">
        <f t="shared" si="3"/>
        <v>35</v>
      </c>
      <c r="K48" s="104">
        <f t="shared" si="4"/>
        <v>1348.65</v>
      </c>
      <c r="L48" s="428">
        <f t="shared" si="20"/>
        <v>28</v>
      </c>
      <c r="M48" s="106">
        <f t="shared" si="5"/>
        <v>35</v>
      </c>
      <c r="N48" s="1060">
        <f t="shared" si="6"/>
        <v>78.750000000000014</v>
      </c>
      <c r="O48" s="101">
        <f>LOOKUP(N48,'Circuit Breakers'!$B$5:$B$38,'Circuit Breakers'!$C$5:$C$38)</f>
        <v>80</v>
      </c>
      <c r="P48" s="262">
        <f t="shared" si="7"/>
        <v>30</v>
      </c>
      <c r="Q48" s="1057">
        <f t="shared" si="21"/>
        <v>1753.2450000000001</v>
      </c>
      <c r="R48" s="1065" t="str">
        <f>LOOKUP(Q48,'Circuit Breakers'!$B$5:$B$38,'Circuit Breakers'!$C$5:$C$38)</f>
        <v>Check</v>
      </c>
      <c r="S48" s="106">
        <f t="shared" si="8"/>
        <v>30</v>
      </c>
      <c r="T48" s="104">
        <f t="shared" si="22"/>
        <v>1170</v>
      </c>
      <c r="U48" s="477">
        <f>LOOKUP(T48,'Circuit Breakers'!$B$5:$B$38,'Circuit Breakers'!$C$5:$C$38)</f>
        <v>1200</v>
      </c>
      <c r="V48" s="262">
        <f t="shared" si="9"/>
        <v>15</v>
      </c>
      <c r="W48" s="104">
        <f t="shared" si="10"/>
        <v>67.083333333333329</v>
      </c>
      <c r="X48" s="101" t="str">
        <f>LOOKUP(W48,'Wire-Cables Ampacities'!$B$5:$B$35,'Wire-Cables Ampacities'!$C$5:$C$35)</f>
        <v>#6</v>
      </c>
      <c r="Y48" s="106">
        <f t="shared" si="11"/>
        <v>10</v>
      </c>
      <c r="Z48" s="104">
        <f t="shared" si="12"/>
        <v>1483.5150000000003</v>
      </c>
      <c r="AA48" s="101" t="str">
        <f>LOOKUP(Z48,'Wire-Cables Ampacities'!$B$5:$B$35,'Wire-Cables Ampacities'!$C$5:$C$35)</f>
        <v>Buss</v>
      </c>
      <c r="AB48" s="106">
        <f t="shared" si="13"/>
        <v>10</v>
      </c>
      <c r="AC48" s="104">
        <f t="shared" si="14"/>
        <v>990.00000000000011</v>
      </c>
      <c r="AD48" s="101" t="str">
        <f>LOOKUP(AC48,'Wire-Cables Ampacities'!$B$5:$B$35,'Wire-Cables Ampacities'!$C$5:$C$35)</f>
        <v>Buss</v>
      </c>
      <c r="AE48" s="107">
        <f t="shared" si="23"/>
        <v>3.2</v>
      </c>
      <c r="AF48" s="105">
        <f t="shared" si="15"/>
        <v>10918.8544</v>
      </c>
      <c r="AG48" s="98">
        <f t="shared" si="24"/>
        <v>40</v>
      </c>
      <c r="AH48" s="99">
        <f t="shared" si="24"/>
        <v>55</v>
      </c>
      <c r="AI48" s="106">
        <f t="shared" si="25"/>
        <v>20</v>
      </c>
      <c r="AJ48" s="105">
        <f t="shared" si="26"/>
        <v>450.55999999999995</v>
      </c>
      <c r="AK48" s="272">
        <f t="shared" si="27"/>
        <v>5.0062222222222212</v>
      </c>
      <c r="AL48" s="278">
        <f t="shared" si="28"/>
        <v>2.5031111111111106</v>
      </c>
      <c r="AM48" s="109">
        <v>450</v>
      </c>
      <c r="AN48" s="104">
        <v>24</v>
      </c>
      <c r="AO48" s="110">
        <v>30</v>
      </c>
      <c r="AP48" s="110">
        <v>16</v>
      </c>
      <c r="AQ48" s="108">
        <f t="shared" si="29"/>
        <v>19.333333333333332</v>
      </c>
      <c r="AR48" s="288">
        <f t="shared" si="30"/>
        <v>10556.3544</v>
      </c>
      <c r="AS48" s="93"/>
      <c r="AT48" s="4"/>
    </row>
    <row r="49" spans="1:46">
      <c r="A49" s="72">
        <f t="shared" si="16"/>
        <v>6</v>
      </c>
      <c r="B49" s="61">
        <v>2.4500000000000002</v>
      </c>
      <c r="C49" s="66">
        <f t="shared" si="17"/>
        <v>14.700000000000001</v>
      </c>
      <c r="D49" s="68">
        <v>1000</v>
      </c>
      <c r="E49" s="66">
        <f t="shared" si="1"/>
        <v>480</v>
      </c>
      <c r="F49" s="45">
        <f t="shared" si="18"/>
        <v>64.583333333333329</v>
      </c>
      <c r="G49" s="94">
        <f t="shared" si="2"/>
        <v>12</v>
      </c>
      <c r="H49" s="295">
        <f t="shared" si="19"/>
        <v>20.275040000000004</v>
      </c>
      <c r="I49" s="25"/>
      <c r="J49" s="52">
        <f t="shared" si="3"/>
        <v>35</v>
      </c>
      <c r="K49" s="25">
        <f t="shared" si="4"/>
        <v>1498.5000000000002</v>
      </c>
      <c r="L49" s="427">
        <f t="shared" si="20"/>
        <v>31</v>
      </c>
      <c r="M49" s="64">
        <f t="shared" si="5"/>
        <v>35</v>
      </c>
      <c r="N49" s="838">
        <f t="shared" si="6"/>
        <v>87.1875</v>
      </c>
      <c r="O49" s="68">
        <f>LOOKUP(N49,'Circuit Breakers'!$B$5:$B$38,'Circuit Breakers'!$C$5:$C$38)</f>
        <v>90</v>
      </c>
      <c r="P49" s="199">
        <f t="shared" si="7"/>
        <v>30</v>
      </c>
      <c r="Q49" s="1056">
        <f t="shared" si="21"/>
        <v>1948.0500000000004</v>
      </c>
      <c r="R49" s="1064" t="str">
        <f>LOOKUP(Q49,'Circuit Breakers'!$B$5:$B$38,'Circuit Breakers'!$C$5:$C$38)</f>
        <v>Check</v>
      </c>
      <c r="S49" s="64">
        <f t="shared" si="8"/>
        <v>30</v>
      </c>
      <c r="T49" s="25">
        <f t="shared" si="22"/>
        <v>1300</v>
      </c>
      <c r="U49" s="158" t="str">
        <f>LOOKUP(T49,'Circuit Breakers'!$B$5:$B$38,'Circuit Breakers'!$C$5:$C$38)</f>
        <v>Check</v>
      </c>
      <c r="V49" s="199">
        <f t="shared" si="9"/>
        <v>15</v>
      </c>
      <c r="W49" s="25">
        <f t="shared" si="10"/>
        <v>74.270833333333329</v>
      </c>
      <c r="X49" s="68" t="str">
        <f>LOOKUP(W49,'Wire-Cables Ampacities'!$B$5:$B$35,'Wire-Cables Ampacities'!$C$5:$C$35)</f>
        <v>#6</v>
      </c>
      <c r="Y49" s="64">
        <f t="shared" si="11"/>
        <v>10</v>
      </c>
      <c r="Z49" s="25">
        <f t="shared" si="12"/>
        <v>1648.3500000000004</v>
      </c>
      <c r="AA49" s="68" t="str">
        <f>LOOKUP(Z49,'Wire-Cables Ampacities'!$B$5:$B$35,'Wire-Cables Ampacities'!$C$5:$C$35)</f>
        <v>Buss</v>
      </c>
      <c r="AB49" s="64">
        <f t="shared" si="13"/>
        <v>10</v>
      </c>
      <c r="AC49" s="25">
        <f t="shared" si="14"/>
        <v>1100</v>
      </c>
      <c r="AD49" s="68" t="str">
        <f>LOOKUP(AC49,'Wire-Cables Ampacities'!$B$5:$B$35,'Wire-Cables Ampacities'!$C$5:$C$35)</f>
        <v>Buss</v>
      </c>
      <c r="AE49" s="81">
        <f t="shared" si="23"/>
        <v>3.55</v>
      </c>
      <c r="AF49" s="56">
        <f t="shared" si="15"/>
        <v>12113.104099999999</v>
      </c>
      <c r="AG49" s="72">
        <f t="shared" si="24"/>
        <v>40</v>
      </c>
      <c r="AH49" s="15">
        <f t="shared" si="24"/>
        <v>55</v>
      </c>
      <c r="AI49" s="64">
        <f t="shared" si="25"/>
        <v>20</v>
      </c>
      <c r="AJ49" s="56">
        <f t="shared" si="26"/>
        <v>499.84000000000003</v>
      </c>
      <c r="AK49" s="271">
        <f t="shared" si="27"/>
        <v>5.5537777777777784</v>
      </c>
      <c r="AL49" s="277">
        <f t="shared" si="28"/>
        <v>2.7768888888888892</v>
      </c>
      <c r="AM49" s="58">
        <v>450</v>
      </c>
      <c r="AN49" s="25">
        <v>24</v>
      </c>
      <c r="AO49" s="3">
        <v>30</v>
      </c>
      <c r="AP49" s="3">
        <v>16</v>
      </c>
      <c r="AQ49" s="74">
        <f t="shared" si="29"/>
        <v>19.333333333333332</v>
      </c>
      <c r="AR49" s="287">
        <f t="shared" si="30"/>
        <v>11750.604099999999</v>
      </c>
      <c r="AS49" s="93"/>
      <c r="AT49" s="4"/>
    </row>
    <row r="50" spans="1:46">
      <c r="A50" s="72">
        <f t="shared" si="16"/>
        <v>6</v>
      </c>
      <c r="B50" s="61">
        <v>2.4500000000000002</v>
      </c>
      <c r="C50" s="66">
        <f t="shared" si="17"/>
        <v>14.700000000000001</v>
      </c>
      <c r="D50" s="68">
        <v>1100</v>
      </c>
      <c r="E50" s="66">
        <f t="shared" si="1"/>
        <v>480</v>
      </c>
      <c r="F50" s="45">
        <f t="shared" si="18"/>
        <v>70.833333333333329</v>
      </c>
      <c r="G50" s="94">
        <f t="shared" si="2"/>
        <v>12</v>
      </c>
      <c r="H50" s="295">
        <f t="shared" si="19"/>
        <v>20.275040000000004</v>
      </c>
      <c r="I50" s="25"/>
      <c r="J50" s="52">
        <f t="shared" si="3"/>
        <v>35</v>
      </c>
      <c r="K50" s="25">
        <f t="shared" si="4"/>
        <v>1648.3500000000001</v>
      </c>
      <c r="L50" s="427">
        <f t="shared" si="20"/>
        <v>34</v>
      </c>
      <c r="M50" s="64">
        <f t="shared" si="5"/>
        <v>35</v>
      </c>
      <c r="N50" s="838">
        <f t="shared" si="6"/>
        <v>95.625</v>
      </c>
      <c r="O50" s="68">
        <f>LOOKUP(N50,'Circuit Breakers'!$B$5:$B$38,'Circuit Breakers'!$C$5:$C$38)</f>
        <v>100</v>
      </c>
      <c r="P50" s="199">
        <f t="shared" si="7"/>
        <v>30</v>
      </c>
      <c r="Q50" s="1056">
        <f t="shared" si="21"/>
        <v>2142.8550000000005</v>
      </c>
      <c r="R50" s="1064" t="str">
        <f>LOOKUP(Q50,'Circuit Breakers'!$B$5:$B$38,'Circuit Breakers'!$C$5:$C$38)</f>
        <v>Check</v>
      </c>
      <c r="S50" s="64">
        <f t="shared" si="8"/>
        <v>30</v>
      </c>
      <c r="T50" s="25">
        <f t="shared" si="22"/>
        <v>1430</v>
      </c>
      <c r="U50" s="158" t="str">
        <f>LOOKUP(T50,'Circuit Breakers'!$B$5:$B$38,'Circuit Breakers'!$C$5:$C$38)</f>
        <v>Check</v>
      </c>
      <c r="V50" s="199">
        <f t="shared" si="9"/>
        <v>15</v>
      </c>
      <c r="W50" s="25">
        <f t="shared" si="10"/>
        <v>81.458333333333329</v>
      </c>
      <c r="X50" s="68" t="str">
        <f>LOOKUP(W50,'Wire-Cables Ampacities'!$B$5:$B$35,'Wire-Cables Ampacities'!$C$5:$C$35)</f>
        <v>#4</v>
      </c>
      <c r="Y50" s="64">
        <f t="shared" si="11"/>
        <v>10</v>
      </c>
      <c r="Z50" s="25">
        <f t="shared" si="12"/>
        <v>1813.1850000000004</v>
      </c>
      <c r="AA50" s="68" t="str">
        <f>LOOKUP(Z50,'Wire-Cables Ampacities'!$B$5:$B$35,'Wire-Cables Ampacities'!$C$5:$C$35)</f>
        <v>Buss</v>
      </c>
      <c r="AB50" s="64">
        <f t="shared" si="13"/>
        <v>10</v>
      </c>
      <c r="AC50" s="25">
        <f t="shared" si="14"/>
        <v>1210</v>
      </c>
      <c r="AD50" s="68" t="str">
        <f>LOOKUP(AC50,'Wire-Cables Ampacities'!$B$5:$B$35,'Wire-Cables Ampacities'!$C$5:$C$35)</f>
        <v>Buss</v>
      </c>
      <c r="AE50" s="81">
        <f t="shared" si="23"/>
        <v>3.9</v>
      </c>
      <c r="AF50" s="56">
        <f t="shared" si="15"/>
        <v>13307.353799999999</v>
      </c>
      <c r="AG50" s="72">
        <f t="shared" si="24"/>
        <v>40</v>
      </c>
      <c r="AH50" s="15">
        <f t="shared" si="24"/>
        <v>55</v>
      </c>
      <c r="AI50" s="64">
        <f t="shared" si="25"/>
        <v>20</v>
      </c>
      <c r="AJ50" s="56">
        <f t="shared" si="26"/>
        <v>549.12</v>
      </c>
      <c r="AK50" s="271">
        <f t="shared" si="27"/>
        <v>6.1013333333333337</v>
      </c>
      <c r="AL50" s="277">
        <f t="shared" si="28"/>
        <v>3.0506666666666669</v>
      </c>
      <c r="AM50" s="58">
        <v>450</v>
      </c>
      <c r="AN50" s="25">
        <v>24</v>
      </c>
      <c r="AO50" s="3">
        <v>30</v>
      </c>
      <c r="AP50" s="3">
        <v>16</v>
      </c>
      <c r="AQ50" s="74">
        <f t="shared" si="29"/>
        <v>19.333333333333332</v>
      </c>
      <c r="AR50" s="287">
        <f t="shared" si="30"/>
        <v>12944.853799999999</v>
      </c>
      <c r="AS50" s="93"/>
      <c r="AT50" s="4"/>
    </row>
    <row r="51" spans="1:46" ht="13.5" thickBot="1">
      <c r="A51" s="253">
        <f t="shared" si="16"/>
        <v>6</v>
      </c>
      <c r="B51" s="305">
        <v>2.4500000000000002</v>
      </c>
      <c r="C51" s="258">
        <f t="shared" si="17"/>
        <v>14.700000000000001</v>
      </c>
      <c r="D51" s="259">
        <v>1200</v>
      </c>
      <c r="E51" s="258">
        <f t="shared" si="1"/>
        <v>480</v>
      </c>
      <c r="F51" s="260">
        <f t="shared" si="18"/>
        <v>77.083333333333329</v>
      </c>
      <c r="G51" s="261">
        <f t="shared" si="2"/>
        <v>12</v>
      </c>
      <c r="H51" s="297">
        <f t="shared" si="19"/>
        <v>20.275040000000004</v>
      </c>
      <c r="I51" s="264"/>
      <c r="J51" s="265">
        <f t="shared" si="3"/>
        <v>35</v>
      </c>
      <c r="K51" s="264">
        <f t="shared" si="4"/>
        <v>1798.2</v>
      </c>
      <c r="L51" s="433">
        <f t="shared" si="20"/>
        <v>37</v>
      </c>
      <c r="M51" s="267">
        <f t="shared" si="5"/>
        <v>35</v>
      </c>
      <c r="N51" s="1061">
        <f t="shared" si="6"/>
        <v>104.0625</v>
      </c>
      <c r="O51" s="259">
        <f>LOOKUP(N51,'Circuit Breakers'!$B$5:$B$38,'Circuit Breakers'!$C$5:$C$38)</f>
        <v>110</v>
      </c>
      <c r="P51" s="333">
        <f t="shared" si="7"/>
        <v>30</v>
      </c>
      <c r="Q51" s="1058">
        <f t="shared" si="21"/>
        <v>2337.6600000000003</v>
      </c>
      <c r="R51" s="1066" t="str">
        <f>LOOKUP(Q51,'Circuit Breakers'!$B$5:$B$38,'Circuit Breakers'!$C$5:$C$38)</f>
        <v>Check</v>
      </c>
      <c r="S51" s="267">
        <f t="shared" si="8"/>
        <v>30</v>
      </c>
      <c r="T51" s="264">
        <f t="shared" si="22"/>
        <v>1560</v>
      </c>
      <c r="U51" s="478" t="str">
        <f>LOOKUP(T51,'Circuit Breakers'!$B$5:$B$38,'Circuit Breakers'!$C$5:$C$38)</f>
        <v>Check</v>
      </c>
      <c r="V51" s="333">
        <f t="shared" si="9"/>
        <v>15</v>
      </c>
      <c r="W51" s="264">
        <f t="shared" si="10"/>
        <v>88.645833333333314</v>
      </c>
      <c r="X51" s="259" t="str">
        <f>LOOKUP(W51,'Wire-Cables Ampacities'!$B$5:$B$35,'Wire-Cables Ampacities'!$C$5:$C$35)</f>
        <v>#4</v>
      </c>
      <c r="Y51" s="267">
        <f t="shared" si="11"/>
        <v>10</v>
      </c>
      <c r="Z51" s="264">
        <f t="shared" si="12"/>
        <v>1978.0200000000002</v>
      </c>
      <c r="AA51" s="259" t="str">
        <f>LOOKUP(Z51,'Wire-Cables Ampacities'!$B$5:$B$35,'Wire-Cables Ampacities'!$C$5:$C$35)</f>
        <v>Buss</v>
      </c>
      <c r="AB51" s="267">
        <f t="shared" si="13"/>
        <v>10</v>
      </c>
      <c r="AC51" s="264">
        <f t="shared" si="14"/>
        <v>1320</v>
      </c>
      <c r="AD51" s="259" t="str">
        <f>LOOKUP(AC51,'Wire-Cables Ampacities'!$B$5:$B$35,'Wire-Cables Ampacities'!$C$5:$C$35)</f>
        <v>Buss</v>
      </c>
      <c r="AE51" s="270">
        <f t="shared" si="23"/>
        <v>4.25</v>
      </c>
      <c r="AF51" s="268">
        <f t="shared" si="15"/>
        <v>14501.603499999999</v>
      </c>
      <c r="AG51" s="253">
        <f t="shared" si="24"/>
        <v>40</v>
      </c>
      <c r="AH51" s="254">
        <f t="shared" si="24"/>
        <v>55</v>
      </c>
      <c r="AI51" s="267">
        <f t="shared" si="25"/>
        <v>20</v>
      </c>
      <c r="AJ51" s="268">
        <f t="shared" si="26"/>
        <v>598.4</v>
      </c>
      <c r="AK51" s="273">
        <f t="shared" si="27"/>
        <v>6.6488888888888891</v>
      </c>
      <c r="AL51" s="279">
        <f t="shared" si="28"/>
        <v>3.3244444444444445</v>
      </c>
      <c r="AM51" s="275">
        <v>450</v>
      </c>
      <c r="AN51" s="264">
        <v>24</v>
      </c>
      <c r="AO51" s="276">
        <v>30</v>
      </c>
      <c r="AP51" s="276">
        <v>16</v>
      </c>
      <c r="AQ51" s="274">
        <f t="shared" si="29"/>
        <v>19.333333333333332</v>
      </c>
      <c r="AR51" s="289">
        <f t="shared" si="30"/>
        <v>14139.103499999999</v>
      </c>
      <c r="AS51" s="93"/>
      <c r="AT51" s="4"/>
    </row>
    <row r="53" spans="1:46" ht="13.5" thickBot="1"/>
    <row r="54" spans="1:46" ht="16.5" thickBot="1">
      <c r="A54" s="95" t="s">
        <v>77</v>
      </c>
      <c r="B54" s="96"/>
      <c r="C54" s="44"/>
      <c r="D54" s="86"/>
      <c r="E54" s="86"/>
      <c r="F54" s="86"/>
      <c r="G54" s="87"/>
      <c r="H54" s="290" t="s">
        <v>98</v>
      </c>
      <c r="I54" s="42"/>
      <c r="J54" s="51"/>
      <c r="K54" s="42"/>
      <c r="L54" s="40"/>
      <c r="M54" s="290" t="s">
        <v>83</v>
      </c>
      <c r="N54" s="42"/>
      <c r="O54" s="44"/>
      <c r="P54" s="44"/>
      <c r="Q54" s="44"/>
      <c r="R54" s="44"/>
      <c r="S54" s="44"/>
      <c r="T54" s="44"/>
      <c r="U54" s="6"/>
      <c r="V54" s="184" t="s">
        <v>84</v>
      </c>
      <c r="W54" s="44"/>
      <c r="X54" s="44"/>
      <c r="Y54" s="44"/>
      <c r="Z54" s="44"/>
      <c r="AA54" s="44"/>
      <c r="AB54" s="44"/>
      <c r="AC54" s="44"/>
      <c r="AD54" s="6"/>
      <c r="AE54" s="291" t="s">
        <v>62</v>
      </c>
      <c r="AF54" s="80"/>
      <c r="AG54" s="290" t="s">
        <v>90</v>
      </c>
      <c r="AH54" s="40"/>
      <c r="AI54" s="292" t="s">
        <v>87</v>
      </c>
      <c r="AJ54" s="90"/>
      <c r="AK54" s="90"/>
      <c r="AL54" s="49"/>
      <c r="AM54" s="189" t="s">
        <v>88</v>
      </c>
      <c r="AN54" s="90"/>
      <c r="AO54" s="90"/>
      <c r="AP54" s="90"/>
      <c r="AQ54" s="90"/>
      <c r="AR54" s="6"/>
      <c r="AS54" s="7"/>
    </row>
    <row r="55" spans="1:46" ht="13.5" thickBot="1">
      <c r="A55" s="97" t="s">
        <v>23</v>
      </c>
      <c r="B55" s="48"/>
      <c r="C55" s="189" t="s">
        <v>76</v>
      </c>
      <c r="D55" s="190"/>
      <c r="E55" s="189" t="s">
        <v>57</v>
      </c>
      <c r="F55" s="191"/>
      <c r="G55" s="192"/>
      <c r="H55" s="76"/>
      <c r="I55" s="90"/>
      <c r="J55" s="175"/>
      <c r="K55" s="90"/>
      <c r="L55" s="49"/>
      <c r="M55" s="47" t="s">
        <v>81</v>
      </c>
      <c r="N55" s="96"/>
      <c r="O55" s="49"/>
      <c r="P55" s="47" t="s">
        <v>82</v>
      </c>
      <c r="Q55" s="96"/>
      <c r="R55" s="49"/>
      <c r="S55" s="47" t="s">
        <v>80</v>
      </c>
      <c r="T55" s="96"/>
      <c r="U55" s="49"/>
      <c r="V55" s="76" t="s">
        <v>78</v>
      </c>
      <c r="W55" s="96"/>
      <c r="X55" s="48"/>
      <c r="Y55" s="76" t="s">
        <v>79</v>
      </c>
      <c r="Z55" s="96"/>
      <c r="AA55" s="48"/>
      <c r="AB55" s="47" t="s">
        <v>80</v>
      </c>
      <c r="AC55" s="96"/>
      <c r="AD55" s="48"/>
      <c r="AE55" s="176"/>
      <c r="AF55" s="177"/>
      <c r="AG55" s="205" t="s">
        <v>94</v>
      </c>
      <c r="AH55" s="179" t="s">
        <v>95</v>
      </c>
      <c r="AI55" s="178"/>
      <c r="AJ55" s="198"/>
      <c r="AK55" s="206" t="s">
        <v>66</v>
      </c>
      <c r="AL55" s="198" t="s">
        <v>66</v>
      </c>
      <c r="AM55" s="47" t="s">
        <v>68</v>
      </c>
      <c r="AN55" s="90"/>
      <c r="AO55" s="90"/>
      <c r="AP55" s="90"/>
      <c r="AQ55" s="49"/>
      <c r="AR55" s="80"/>
      <c r="AS55" s="7"/>
    </row>
    <row r="56" spans="1:46" ht="13.5" thickBot="1">
      <c r="A56" s="65">
        <v>24</v>
      </c>
      <c r="B56" s="67" t="s">
        <v>92</v>
      </c>
      <c r="C56" s="65" t="s">
        <v>93</v>
      </c>
      <c r="D56" s="67" t="s">
        <v>16</v>
      </c>
      <c r="E56" s="65" t="s">
        <v>99</v>
      </c>
      <c r="F56" s="18" t="s">
        <v>100</v>
      </c>
      <c r="G56" s="1130">
        <v>12</v>
      </c>
      <c r="H56" s="65" t="s">
        <v>27</v>
      </c>
      <c r="I56" s="18"/>
      <c r="J56" s="310">
        <v>35</v>
      </c>
      <c r="K56" s="18" t="s">
        <v>28</v>
      </c>
      <c r="L56" s="156" t="s">
        <v>29</v>
      </c>
      <c r="M56" s="310">
        <v>35</v>
      </c>
      <c r="N56" s="1049" t="s">
        <v>60</v>
      </c>
      <c r="O56" s="1062" t="s">
        <v>363</v>
      </c>
      <c r="P56" s="310">
        <v>30</v>
      </c>
      <c r="Q56" s="1049" t="s">
        <v>60</v>
      </c>
      <c r="R56" s="1062" t="s">
        <v>361</v>
      </c>
      <c r="S56" s="310">
        <v>30</v>
      </c>
      <c r="T56" s="1049" t="s">
        <v>60</v>
      </c>
      <c r="U56" s="1062" t="s">
        <v>361</v>
      </c>
      <c r="V56" s="310">
        <v>15</v>
      </c>
      <c r="W56" s="62" t="s">
        <v>60</v>
      </c>
      <c r="X56" s="1131" t="s">
        <v>85</v>
      </c>
      <c r="Y56" s="310">
        <v>10</v>
      </c>
      <c r="Z56" s="62" t="s">
        <v>60</v>
      </c>
      <c r="AA56" s="1131" t="s">
        <v>85</v>
      </c>
      <c r="AB56" s="310">
        <v>10</v>
      </c>
      <c r="AC56" s="62" t="s">
        <v>60</v>
      </c>
      <c r="AD56" s="1131" t="s">
        <v>85</v>
      </c>
      <c r="AE56" s="77"/>
      <c r="AF56" s="204"/>
      <c r="AG56" s="70">
        <v>40</v>
      </c>
      <c r="AH56" s="19">
        <v>55</v>
      </c>
      <c r="AI56" s="310">
        <v>20</v>
      </c>
      <c r="AJ56" s="71" t="s">
        <v>64</v>
      </c>
      <c r="AK56" s="79">
        <v>90</v>
      </c>
      <c r="AL56" s="19">
        <v>180</v>
      </c>
      <c r="AM56" s="284" t="s">
        <v>91</v>
      </c>
      <c r="AN56" s="18" t="s">
        <v>69</v>
      </c>
      <c r="AO56" s="18" t="s">
        <v>70</v>
      </c>
      <c r="AP56" s="18" t="s">
        <v>71</v>
      </c>
      <c r="AQ56" s="19" t="s">
        <v>73</v>
      </c>
      <c r="AR56" s="285" t="s">
        <v>64</v>
      </c>
      <c r="AS56" s="92"/>
    </row>
    <row r="57" spans="1:46" ht="13.5" thickBot="1">
      <c r="A57" s="187" t="s">
        <v>24</v>
      </c>
      <c r="B57" s="188" t="s">
        <v>53</v>
      </c>
      <c r="C57" s="187" t="s">
        <v>53</v>
      </c>
      <c r="D57" s="188" t="s">
        <v>22</v>
      </c>
      <c r="E57" s="187" t="s">
        <v>53</v>
      </c>
      <c r="F57" s="16" t="s">
        <v>22</v>
      </c>
      <c r="G57" s="1129" t="s">
        <v>55</v>
      </c>
      <c r="H57" s="187" t="s">
        <v>42</v>
      </c>
      <c r="I57" s="16"/>
      <c r="J57" s="310" t="s">
        <v>59</v>
      </c>
      <c r="K57" s="16" t="s">
        <v>43</v>
      </c>
      <c r="L57" s="195" t="s">
        <v>44</v>
      </c>
      <c r="M57" s="1128" t="s">
        <v>59</v>
      </c>
      <c r="N57" s="1055" t="s">
        <v>22</v>
      </c>
      <c r="O57" s="188" t="s">
        <v>22</v>
      </c>
      <c r="P57" s="1128" t="s">
        <v>59</v>
      </c>
      <c r="Q57" s="1055" t="s">
        <v>22</v>
      </c>
      <c r="R57" s="188" t="s">
        <v>22</v>
      </c>
      <c r="S57" s="1128" t="s">
        <v>59</v>
      </c>
      <c r="T57" s="1055" t="s">
        <v>22</v>
      </c>
      <c r="U57" s="188" t="s">
        <v>22</v>
      </c>
      <c r="V57" s="1128" t="s">
        <v>59</v>
      </c>
      <c r="W57" s="16" t="s">
        <v>22</v>
      </c>
      <c r="X57" s="188" t="s">
        <v>86</v>
      </c>
      <c r="Y57" s="1128" t="s">
        <v>59</v>
      </c>
      <c r="Z57" s="16" t="s">
        <v>22</v>
      </c>
      <c r="AA57" s="188" t="s">
        <v>86</v>
      </c>
      <c r="AB57" s="1128" t="s">
        <v>59</v>
      </c>
      <c r="AC57" s="16" t="s">
        <v>22</v>
      </c>
      <c r="AD57" s="188" t="s">
        <v>86</v>
      </c>
      <c r="AE57" s="75" t="s">
        <v>63</v>
      </c>
      <c r="AF57" s="202" t="s">
        <v>67</v>
      </c>
      <c r="AG57" s="75" t="s">
        <v>61</v>
      </c>
      <c r="AH57" s="17" t="s">
        <v>61</v>
      </c>
      <c r="AI57" s="1128" t="s">
        <v>59</v>
      </c>
      <c r="AJ57" s="17" t="s">
        <v>65</v>
      </c>
      <c r="AK57" s="207" t="s">
        <v>89</v>
      </c>
      <c r="AL57" s="17" t="s">
        <v>89</v>
      </c>
      <c r="AM57" s="75" t="s">
        <v>72</v>
      </c>
      <c r="AN57" s="16" t="s">
        <v>74</v>
      </c>
      <c r="AO57" s="16" t="s">
        <v>74</v>
      </c>
      <c r="AP57" s="16" t="s">
        <v>74</v>
      </c>
      <c r="AQ57" s="17" t="s">
        <v>75</v>
      </c>
      <c r="AR57" s="200" t="s">
        <v>67</v>
      </c>
      <c r="AS57" s="46"/>
    </row>
    <row r="58" spans="1:46" ht="13.5" thickBot="1">
      <c r="A58" s="70"/>
      <c r="B58" s="19"/>
      <c r="C58" s="65"/>
      <c r="D58" s="67"/>
      <c r="E58" s="65"/>
      <c r="F58" s="18"/>
      <c r="G58" s="19"/>
      <c r="H58" s="65"/>
      <c r="I58" s="18"/>
      <c r="J58" s="1128"/>
      <c r="K58" s="18"/>
      <c r="L58" s="156"/>
      <c r="M58" s="54"/>
      <c r="N58" s="1049"/>
      <c r="O58" s="67"/>
      <c r="P58" s="203"/>
      <c r="Q58" s="1049"/>
      <c r="R58" s="1063"/>
      <c r="S58" s="54"/>
      <c r="T58" s="1059"/>
      <c r="U58" s="67"/>
      <c r="V58" s="54"/>
      <c r="W58" s="269"/>
      <c r="X58" s="59"/>
      <c r="Y58" s="54"/>
      <c r="Z58" s="269"/>
      <c r="AA58" s="59"/>
      <c r="AB58" s="54"/>
      <c r="AC58" s="269"/>
      <c r="AD58" s="59"/>
      <c r="AE58" s="70"/>
      <c r="AF58" s="19"/>
      <c r="AG58" s="70"/>
      <c r="AH58" s="19"/>
      <c r="AI58" s="54"/>
      <c r="AJ58" s="19"/>
      <c r="AK58" s="70"/>
      <c r="AL58" s="197"/>
      <c r="AM58" s="70"/>
      <c r="AN58" s="18"/>
      <c r="AO58" s="18"/>
      <c r="AP58" s="18"/>
      <c r="AQ58" s="19"/>
      <c r="AR58" s="286"/>
      <c r="AS58" s="7"/>
    </row>
    <row r="59" spans="1:46">
      <c r="A59" s="72">
        <f>A$56/2</f>
        <v>12</v>
      </c>
      <c r="B59" s="61">
        <v>2.4500000000000002</v>
      </c>
      <c r="C59" s="301">
        <f>A59*B59</f>
        <v>29.400000000000002</v>
      </c>
      <c r="D59" s="68">
        <v>5</v>
      </c>
      <c r="E59" s="66">
        <f t="shared" ref="E59:E87" si="31">IF(L59/120*1000*1.5&lt;65,120,IF(L59/208*1000*1.5&lt;65,208,IF(L59/240*1000*1.5&lt;65,240,480)))</f>
        <v>120</v>
      </c>
      <c r="F59" s="45">
        <f>L59*1000/E59</f>
        <v>4.166666666666667</v>
      </c>
      <c r="G59" s="94">
        <f>G$56</f>
        <v>12</v>
      </c>
      <c r="H59" s="295">
        <f>1.11*(1+G59/100)*C59+2</f>
        <v>38.550080000000008</v>
      </c>
      <c r="I59" s="25"/>
      <c r="J59" s="52">
        <f>J$56</f>
        <v>35</v>
      </c>
      <c r="K59" s="25">
        <f t="shared" ref="K59:K87" si="32">(1+J59/100)*D59*1.11</f>
        <v>7.4925000000000006</v>
      </c>
      <c r="L59" s="427">
        <f t="shared" ref="L59:L87" si="33">IF(CEILING(H59*K59/1000,0.25)&lt;10,CEILING(H59*K59/1000,0.25),IF(CEILING(H59*K59/1000,0.25)&lt;20,CEILING(H59*K59/1000,0.5),CEILING(H59*K59/1000,1)))</f>
        <v>0.5</v>
      </c>
      <c r="M59" s="55">
        <f>M$56</f>
        <v>35</v>
      </c>
      <c r="N59" s="838">
        <f t="shared" ref="N59:N87" si="34">(1+M59/100)*F59</f>
        <v>5.6250000000000009</v>
      </c>
      <c r="O59" s="68">
        <f>LOOKUP(N59,'Circuit Breakers'!$B$5:$B$38,'Circuit Breakers'!$C$5:$C$38)</f>
        <v>10</v>
      </c>
      <c r="P59" s="199">
        <f t="shared" ref="P59:P87" si="35">P$56</f>
        <v>30</v>
      </c>
      <c r="Q59" s="1056">
        <f>(1+P59/100)*K59</f>
        <v>9.7402500000000014</v>
      </c>
      <c r="R59" s="1064">
        <f>LOOKUP(Q59,'Circuit Breakers'!$B$5:$B$38,'Circuit Breakers'!$C$5:$C$38)</f>
        <v>10</v>
      </c>
      <c r="S59" s="64">
        <f t="shared" ref="S59:S87" si="36">S$56</f>
        <v>30</v>
      </c>
      <c r="T59" s="25">
        <f>(1+S59/100)*D59</f>
        <v>6.5</v>
      </c>
      <c r="U59" s="158">
        <f>LOOKUP(T59,'Circuit Breakers'!$B$5:$B$38,'Circuit Breakers'!$C$5:$C$38)</f>
        <v>10</v>
      </c>
      <c r="V59" s="64">
        <f>V$56</f>
        <v>15</v>
      </c>
      <c r="W59" s="25">
        <f t="shared" ref="W59:W87" si="37">(1+V59/100)*F59</f>
        <v>4.791666666666667</v>
      </c>
      <c r="X59" s="68" t="str">
        <f>LOOKUP(W59,'Wire-Cables Ampacities'!$B$5:$B$35,'Wire-Cables Ampacities'!$C$5:$C$35)</f>
        <v>#10</v>
      </c>
      <c r="Y59" s="64">
        <f>Y$56</f>
        <v>10</v>
      </c>
      <c r="Z59" s="25">
        <f t="shared" ref="Z59:Z87" si="38">(1+Y59/100)*K59</f>
        <v>8.2417500000000015</v>
      </c>
      <c r="AA59" s="68" t="str">
        <f>LOOKUP(Z59,'Wire-Cables Ampacities'!$B$5:$B$35,'Wire-Cables Ampacities'!$C$5:$C$35)</f>
        <v>#10</v>
      </c>
      <c r="AB59" s="64">
        <f>AB$56</f>
        <v>10</v>
      </c>
      <c r="AC59" s="25">
        <f t="shared" ref="AC59:AC87" si="39">(1+AB59/100)*D59</f>
        <v>5.5</v>
      </c>
      <c r="AD59" s="68" t="str">
        <f>LOOKUP(AC59,'Wire-Cables Ampacities'!$B$5:$B$35,'Wire-Cables Ampacities'!$C$5:$C$35)</f>
        <v>#10</v>
      </c>
      <c r="AE59" s="81">
        <f>(2*D59+0.05*L59*1000)/1000</f>
        <v>3.5000000000000003E-2</v>
      </c>
      <c r="AF59" s="56">
        <f t="shared" ref="AF59:AF87" si="40">AE59*3.412142*1000</f>
        <v>119.42497</v>
      </c>
      <c r="AG59" s="72">
        <f>AG$56</f>
        <v>40</v>
      </c>
      <c r="AH59" s="72">
        <f>AH$56</f>
        <v>55</v>
      </c>
      <c r="AI59" s="64">
        <f>AI$56</f>
        <v>20</v>
      </c>
      <c r="AJ59" s="56">
        <f>1760*AE59/(AH59-AG59)*(1+AI59/100)</f>
        <v>4.9280000000000008</v>
      </c>
      <c r="AK59" s="271">
        <f t="shared" ref="AK59:AK87" si="41">AJ59/AK$20</f>
        <v>5.4755555555555564E-2</v>
      </c>
      <c r="AL59" s="277">
        <f t="shared" ref="AL59:AL87" si="42">AJ59/AL$20</f>
        <v>2.7377777777777782E-2</v>
      </c>
      <c r="AM59" s="58">
        <v>450</v>
      </c>
      <c r="AN59" s="25">
        <v>24</v>
      </c>
      <c r="AO59" s="3">
        <v>30</v>
      </c>
      <c r="AP59" s="3">
        <v>16</v>
      </c>
      <c r="AQ59" s="281">
        <f>((2*AO59*AN59)+2*(AO59*AP59)+(AN59*AP59))/144</f>
        <v>19.333333333333332</v>
      </c>
      <c r="AR59" s="287">
        <f>AF59+(1.25*AQ59*(AG59-AH59))</f>
        <v>-243.07502999999994</v>
      </c>
      <c r="AS59" s="93"/>
      <c r="AT59" s="4"/>
    </row>
    <row r="60" spans="1:46">
      <c r="A60" s="98">
        <f t="shared" ref="A60:A87" si="43">A$56/2</f>
        <v>12</v>
      </c>
      <c r="B60" s="304">
        <v>2.4500000000000002</v>
      </c>
      <c r="C60" s="307">
        <f t="shared" ref="C60:C87" si="44">A60*B60</f>
        <v>29.400000000000002</v>
      </c>
      <c r="D60" s="101">
        <v>10</v>
      </c>
      <c r="E60" s="100">
        <f t="shared" si="31"/>
        <v>120</v>
      </c>
      <c r="F60" s="102">
        <f t="shared" ref="F60:F87" si="45">L60*1000/E60</f>
        <v>6.25</v>
      </c>
      <c r="G60" s="103">
        <f t="shared" ref="G60:G87" si="46">G$56</f>
        <v>12</v>
      </c>
      <c r="H60" s="296">
        <f t="shared" ref="H60:H87" si="47">1.11*(1+G60/100)*C60+2</f>
        <v>38.550080000000008</v>
      </c>
      <c r="I60" s="104"/>
      <c r="J60" s="180">
        <f t="shared" ref="J60:J87" si="48">J$56</f>
        <v>35</v>
      </c>
      <c r="K60" s="104">
        <f t="shared" si="32"/>
        <v>14.985000000000001</v>
      </c>
      <c r="L60" s="428">
        <f t="shared" si="33"/>
        <v>0.75</v>
      </c>
      <c r="M60" s="1081">
        <f t="shared" ref="M60:M87" si="49">M$56</f>
        <v>35</v>
      </c>
      <c r="N60" s="1060">
        <f t="shared" si="34"/>
        <v>8.4375</v>
      </c>
      <c r="O60" s="101">
        <f>LOOKUP(N60,'Circuit Breakers'!$B$5:$B$38,'Circuit Breakers'!$C$5:$C$38)</f>
        <v>10</v>
      </c>
      <c r="P60" s="262">
        <f t="shared" si="35"/>
        <v>30</v>
      </c>
      <c r="Q60" s="1057">
        <f t="shared" ref="Q60:Q87" si="50">(1+P60/100)*K60</f>
        <v>19.480500000000003</v>
      </c>
      <c r="R60" s="1065">
        <f>LOOKUP(Q60,'Circuit Breakers'!$B$5:$B$38,'Circuit Breakers'!$C$5:$C$38)</f>
        <v>20</v>
      </c>
      <c r="S60" s="106">
        <f t="shared" si="36"/>
        <v>30</v>
      </c>
      <c r="T60" s="104">
        <f t="shared" ref="T60:T87" si="51">(1+S60/100)*D60</f>
        <v>13</v>
      </c>
      <c r="U60" s="477">
        <f>LOOKUP(T60,'Circuit Breakers'!$B$5:$B$38,'Circuit Breakers'!$C$5:$C$38)</f>
        <v>15</v>
      </c>
      <c r="V60" s="106">
        <f t="shared" ref="V60:V87" si="52">V$56</f>
        <v>15</v>
      </c>
      <c r="W60" s="104">
        <f t="shared" si="37"/>
        <v>7.1874999999999991</v>
      </c>
      <c r="X60" s="101" t="str">
        <f>LOOKUP(W60,'Wire-Cables Ampacities'!$B$5:$B$35,'Wire-Cables Ampacities'!$C$5:$C$35)</f>
        <v>#10</v>
      </c>
      <c r="Y60" s="106">
        <f t="shared" ref="Y60:Y87" si="53">Y$56</f>
        <v>10</v>
      </c>
      <c r="Z60" s="104">
        <f t="shared" si="38"/>
        <v>16.483500000000003</v>
      </c>
      <c r="AA60" s="101" t="str">
        <f>LOOKUP(Z60,'Wire-Cables Ampacities'!$B$5:$B$35,'Wire-Cables Ampacities'!$C$5:$C$35)</f>
        <v>#10</v>
      </c>
      <c r="AB60" s="106">
        <f t="shared" ref="AB60:AB87" si="54">AB$56</f>
        <v>10</v>
      </c>
      <c r="AC60" s="104">
        <f t="shared" si="39"/>
        <v>11</v>
      </c>
      <c r="AD60" s="101" t="str">
        <f>LOOKUP(AC60,'Wire-Cables Ampacities'!$B$5:$B$35,'Wire-Cables Ampacities'!$C$5:$C$35)</f>
        <v>#10</v>
      </c>
      <c r="AE60" s="107">
        <f t="shared" ref="AE60:AE87" si="55">(2*D60+0.05*L60*1000)/1000</f>
        <v>5.7500000000000009E-2</v>
      </c>
      <c r="AF60" s="105">
        <f t="shared" si="40"/>
        <v>196.19816500000002</v>
      </c>
      <c r="AG60" s="98">
        <f t="shared" ref="AG60:AH87" si="56">AG$56</f>
        <v>40</v>
      </c>
      <c r="AH60" s="99">
        <f t="shared" si="56"/>
        <v>55</v>
      </c>
      <c r="AI60" s="106">
        <f t="shared" ref="AI60:AI87" si="57">AI$56</f>
        <v>20</v>
      </c>
      <c r="AJ60" s="105">
        <f t="shared" ref="AJ60:AJ87" si="58">1760*AE60/(AH60-AG60)*(1+AI60/100)</f>
        <v>8.0960000000000019</v>
      </c>
      <c r="AK60" s="272">
        <f t="shared" si="41"/>
        <v>8.995555555555558E-2</v>
      </c>
      <c r="AL60" s="278">
        <f t="shared" si="42"/>
        <v>4.497777777777779E-2</v>
      </c>
      <c r="AM60" s="109">
        <v>450</v>
      </c>
      <c r="AN60" s="104">
        <v>24</v>
      </c>
      <c r="AO60" s="110">
        <v>30</v>
      </c>
      <c r="AP60" s="110">
        <v>16</v>
      </c>
      <c r="AQ60" s="282">
        <f t="shared" ref="AQ60:AQ87" si="59">((2*AO60*AN60)+2*(AO60*AP60)+(AN60*AP60))/144</f>
        <v>19.333333333333332</v>
      </c>
      <c r="AR60" s="288">
        <f t="shared" ref="AR60:AR87" si="60">AF60+(1.25*AQ60*(AG60-AH60))</f>
        <v>-166.30183499999993</v>
      </c>
      <c r="AS60" s="93"/>
      <c r="AT60" s="4"/>
    </row>
    <row r="61" spans="1:46">
      <c r="A61" s="72">
        <f t="shared" si="43"/>
        <v>12</v>
      </c>
      <c r="B61" s="61">
        <v>2.4500000000000002</v>
      </c>
      <c r="C61" s="301">
        <f t="shared" si="44"/>
        <v>29.400000000000002</v>
      </c>
      <c r="D61" s="68">
        <v>15</v>
      </c>
      <c r="E61" s="66">
        <f t="shared" si="31"/>
        <v>120</v>
      </c>
      <c r="F61" s="45">
        <f t="shared" si="45"/>
        <v>8.3333333333333339</v>
      </c>
      <c r="G61" s="94">
        <f t="shared" si="46"/>
        <v>12</v>
      </c>
      <c r="H61" s="295">
        <f t="shared" si="47"/>
        <v>38.550080000000008</v>
      </c>
      <c r="I61" s="25"/>
      <c r="J61" s="52">
        <f t="shared" si="48"/>
        <v>35</v>
      </c>
      <c r="K61" s="25">
        <f t="shared" si="32"/>
        <v>22.477500000000003</v>
      </c>
      <c r="L61" s="427">
        <f t="shared" si="33"/>
        <v>1</v>
      </c>
      <c r="M61" s="64">
        <f t="shared" si="49"/>
        <v>35</v>
      </c>
      <c r="N61" s="838">
        <f t="shared" si="34"/>
        <v>11.250000000000002</v>
      </c>
      <c r="O61" s="68">
        <f>LOOKUP(N61,'Circuit Breakers'!$B$5:$B$38,'Circuit Breakers'!$C$5:$C$38)</f>
        <v>15</v>
      </c>
      <c r="P61" s="199">
        <f t="shared" si="35"/>
        <v>30</v>
      </c>
      <c r="Q61" s="1056">
        <f t="shared" si="50"/>
        <v>29.220750000000006</v>
      </c>
      <c r="R61" s="1064">
        <f>LOOKUP(Q61,'Circuit Breakers'!$B$5:$B$38,'Circuit Breakers'!$C$5:$C$38)</f>
        <v>30</v>
      </c>
      <c r="S61" s="64">
        <f t="shared" si="36"/>
        <v>30</v>
      </c>
      <c r="T61" s="25">
        <f t="shared" si="51"/>
        <v>19.5</v>
      </c>
      <c r="U61" s="158">
        <f>LOOKUP(T61,'Circuit Breakers'!$B$5:$B$38,'Circuit Breakers'!$C$5:$C$38)</f>
        <v>20</v>
      </c>
      <c r="V61" s="64">
        <f t="shared" si="52"/>
        <v>15</v>
      </c>
      <c r="W61" s="25">
        <f t="shared" si="37"/>
        <v>9.5833333333333339</v>
      </c>
      <c r="X61" s="68" t="str">
        <f>LOOKUP(W61,'Wire-Cables Ampacities'!$B$5:$B$35,'Wire-Cables Ampacities'!$C$5:$C$35)</f>
        <v>#10</v>
      </c>
      <c r="Y61" s="64">
        <f t="shared" si="53"/>
        <v>10</v>
      </c>
      <c r="Z61" s="25">
        <f t="shared" si="38"/>
        <v>24.725250000000006</v>
      </c>
      <c r="AA61" s="68" t="str">
        <f>LOOKUP(Z61,'Wire-Cables Ampacities'!$B$5:$B$35,'Wire-Cables Ampacities'!$C$5:$C$35)</f>
        <v>#10</v>
      </c>
      <c r="AB61" s="64">
        <f t="shared" si="54"/>
        <v>10</v>
      </c>
      <c r="AC61" s="25">
        <f t="shared" si="39"/>
        <v>16.5</v>
      </c>
      <c r="AD61" s="68" t="str">
        <f>LOOKUP(AC61,'Wire-Cables Ampacities'!$B$5:$B$35,'Wire-Cables Ampacities'!$C$5:$C$35)</f>
        <v>#10</v>
      </c>
      <c r="AE61" s="81">
        <f t="shared" si="55"/>
        <v>0.08</v>
      </c>
      <c r="AF61" s="56">
        <f t="shared" si="40"/>
        <v>272.97136</v>
      </c>
      <c r="AG61" s="72">
        <f t="shared" si="56"/>
        <v>40</v>
      </c>
      <c r="AH61" s="15">
        <f t="shared" si="56"/>
        <v>55</v>
      </c>
      <c r="AI61" s="64">
        <f t="shared" si="57"/>
        <v>20</v>
      </c>
      <c r="AJ61" s="56">
        <f t="shared" si="58"/>
        <v>11.263999999999999</v>
      </c>
      <c r="AK61" s="271">
        <f t="shared" si="41"/>
        <v>0.12515555555555555</v>
      </c>
      <c r="AL61" s="277">
        <f t="shared" si="42"/>
        <v>6.2577777777777774E-2</v>
      </c>
      <c r="AM61" s="58">
        <v>450</v>
      </c>
      <c r="AN61" s="25">
        <v>24</v>
      </c>
      <c r="AO61" s="3">
        <v>30</v>
      </c>
      <c r="AP61" s="3">
        <v>16</v>
      </c>
      <c r="AQ61" s="281">
        <f t="shared" si="59"/>
        <v>19.333333333333332</v>
      </c>
      <c r="AR61" s="287">
        <f t="shared" si="60"/>
        <v>-89.528639999999939</v>
      </c>
      <c r="AS61" s="93"/>
      <c r="AT61" s="4"/>
    </row>
    <row r="62" spans="1:46">
      <c r="A62" s="72">
        <f t="shared" si="43"/>
        <v>12</v>
      </c>
      <c r="B62" s="61">
        <v>2.4500000000000002</v>
      </c>
      <c r="C62" s="301">
        <f t="shared" si="44"/>
        <v>29.400000000000002</v>
      </c>
      <c r="D62" s="68">
        <v>20</v>
      </c>
      <c r="E62" s="66">
        <f t="shared" si="31"/>
        <v>120</v>
      </c>
      <c r="F62" s="45">
        <f t="shared" si="45"/>
        <v>10.416666666666666</v>
      </c>
      <c r="G62" s="94">
        <f t="shared" si="46"/>
        <v>12</v>
      </c>
      <c r="H62" s="295">
        <f t="shared" si="47"/>
        <v>38.550080000000008</v>
      </c>
      <c r="I62" s="25"/>
      <c r="J62" s="52">
        <f t="shared" si="48"/>
        <v>35</v>
      </c>
      <c r="K62" s="25">
        <f t="shared" si="32"/>
        <v>29.970000000000002</v>
      </c>
      <c r="L62" s="427">
        <f t="shared" si="33"/>
        <v>1.25</v>
      </c>
      <c r="M62" s="55">
        <f t="shared" si="49"/>
        <v>35</v>
      </c>
      <c r="N62" s="838">
        <f t="shared" si="34"/>
        <v>14.0625</v>
      </c>
      <c r="O62" s="68">
        <f>LOOKUP(N62,'Circuit Breakers'!$B$5:$B$38,'Circuit Breakers'!$C$5:$C$38)</f>
        <v>15</v>
      </c>
      <c r="P62" s="199">
        <f t="shared" si="35"/>
        <v>30</v>
      </c>
      <c r="Q62" s="1056">
        <f t="shared" si="50"/>
        <v>38.961000000000006</v>
      </c>
      <c r="R62" s="1064">
        <f>LOOKUP(Q62,'Circuit Breakers'!$B$5:$B$38,'Circuit Breakers'!$C$5:$C$38)</f>
        <v>40</v>
      </c>
      <c r="S62" s="64">
        <f t="shared" si="36"/>
        <v>30</v>
      </c>
      <c r="T62" s="25">
        <f t="shared" si="51"/>
        <v>26</v>
      </c>
      <c r="U62" s="158">
        <f>LOOKUP(T62,'Circuit Breakers'!$B$5:$B$38,'Circuit Breakers'!$C$5:$C$38)</f>
        <v>30</v>
      </c>
      <c r="V62" s="64">
        <f t="shared" si="52"/>
        <v>15</v>
      </c>
      <c r="W62" s="25">
        <f t="shared" si="37"/>
        <v>11.979166666666664</v>
      </c>
      <c r="X62" s="68" t="str">
        <f>LOOKUP(W62,'Wire-Cables Ampacities'!$B$5:$B$35,'Wire-Cables Ampacities'!$C$5:$C$35)</f>
        <v>#10</v>
      </c>
      <c r="Y62" s="64">
        <f t="shared" si="53"/>
        <v>10</v>
      </c>
      <c r="Z62" s="25">
        <f t="shared" si="38"/>
        <v>32.967000000000006</v>
      </c>
      <c r="AA62" s="68" t="str">
        <f>LOOKUP(Z62,'Wire-Cables Ampacities'!$B$5:$B$35,'Wire-Cables Ampacities'!$C$5:$C$35)</f>
        <v>#10</v>
      </c>
      <c r="AB62" s="64">
        <f t="shared" si="54"/>
        <v>10</v>
      </c>
      <c r="AC62" s="25">
        <f t="shared" si="39"/>
        <v>22</v>
      </c>
      <c r="AD62" s="68" t="str">
        <f>LOOKUP(AC62,'Wire-Cables Ampacities'!$B$5:$B$35,'Wire-Cables Ampacities'!$C$5:$C$35)</f>
        <v>#10</v>
      </c>
      <c r="AE62" s="81">
        <f t="shared" si="55"/>
        <v>0.10249999999999999</v>
      </c>
      <c r="AF62" s="56">
        <f t="shared" si="40"/>
        <v>349.74455499999993</v>
      </c>
      <c r="AG62" s="72">
        <f t="shared" si="56"/>
        <v>40</v>
      </c>
      <c r="AH62" s="15">
        <f t="shared" si="56"/>
        <v>55</v>
      </c>
      <c r="AI62" s="64">
        <f t="shared" si="57"/>
        <v>20</v>
      </c>
      <c r="AJ62" s="56">
        <f t="shared" si="58"/>
        <v>14.431999999999999</v>
      </c>
      <c r="AK62" s="271">
        <f t="shared" si="41"/>
        <v>0.16035555555555553</v>
      </c>
      <c r="AL62" s="277">
        <f t="shared" si="42"/>
        <v>8.0177777777777764E-2</v>
      </c>
      <c r="AM62" s="58">
        <v>450</v>
      </c>
      <c r="AN62" s="25">
        <v>24</v>
      </c>
      <c r="AO62" s="3">
        <v>30</v>
      </c>
      <c r="AP62" s="3">
        <v>16</v>
      </c>
      <c r="AQ62" s="281">
        <f t="shared" si="59"/>
        <v>19.333333333333332</v>
      </c>
      <c r="AR62" s="287">
        <f t="shared" si="60"/>
        <v>-12.755445000000009</v>
      </c>
      <c r="AS62" s="93"/>
      <c r="AT62" s="4"/>
    </row>
    <row r="63" spans="1:46">
      <c r="A63" s="98">
        <f t="shared" si="43"/>
        <v>12</v>
      </c>
      <c r="B63" s="304">
        <v>2.4500000000000002</v>
      </c>
      <c r="C63" s="307">
        <f t="shared" si="44"/>
        <v>29.400000000000002</v>
      </c>
      <c r="D63" s="101">
        <v>25</v>
      </c>
      <c r="E63" s="100">
        <f t="shared" si="31"/>
        <v>120</v>
      </c>
      <c r="F63" s="102">
        <f t="shared" si="45"/>
        <v>12.5</v>
      </c>
      <c r="G63" s="103">
        <f t="shared" si="46"/>
        <v>12</v>
      </c>
      <c r="H63" s="296">
        <f t="shared" si="47"/>
        <v>38.550080000000008</v>
      </c>
      <c r="I63" s="104"/>
      <c r="J63" s="180">
        <f t="shared" si="48"/>
        <v>35</v>
      </c>
      <c r="K63" s="104">
        <f t="shared" si="32"/>
        <v>37.462500000000006</v>
      </c>
      <c r="L63" s="428">
        <f t="shared" si="33"/>
        <v>1.5</v>
      </c>
      <c r="M63" s="106">
        <f t="shared" si="49"/>
        <v>35</v>
      </c>
      <c r="N63" s="1060">
        <f t="shared" si="34"/>
        <v>16.875</v>
      </c>
      <c r="O63" s="101">
        <f>LOOKUP(N63,'Circuit Breakers'!$B$5:$B$38,'Circuit Breakers'!$C$5:$C$38)</f>
        <v>20</v>
      </c>
      <c r="P63" s="262">
        <f t="shared" si="35"/>
        <v>30</v>
      </c>
      <c r="Q63" s="1057">
        <f t="shared" si="50"/>
        <v>48.701250000000009</v>
      </c>
      <c r="R63" s="1065">
        <f>LOOKUP(Q63,'Circuit Breakers'!$B$5:$B$38,'Circuit Breakers'!$C$5:$C$38)</f>
        <v>50</v>
      </c>
      <c r="S63" s="106">
        <f t="shared" si="36"/>
        <v>30</v>
      </c>
      <c r="T63" s="104">
        <f t="shared" si="51"/>
        <v>32.5</v>
      </c>
      <c r="U63" s="477">
        <f>LOOKUP(T63,'Circuit Breakers'!$B$5:$B$38,'Circuit Breakers'!$C$5:$C$38)</f>
        <v>40</v>
      </c>
      <c r="V63" s="106">
        <f t="shared" si="52"/>
        <v>15</v>
      </c>
      <c r="W63" s="104">
        <f t="shared" si="37"/>
        <v>14.374999999999998</v>
      </c>
      <c r="X63" s="101" t="str">
        <f>LOOKUP(W63,'Wire-Cables Ampacities'!$B$5:$B$35,'Wire-Cables Ampacities'!$C$5:$C$35)</f>
        <v>#10</v>
      </c>
      <c r="Y63" s="106">
        <f t="shared" si="53"/>
        <v>10</v>
      </c>
      <c r="Z63" s="104">
        <f t="shared" si="38"/>
        <v>41.208750000000009</v>
      </c>
      <c r="AA63" s="101" t="str">
        <f>LOOKUP(Z63,'Wire-Cables Ampacities'!$B$5:$B$35,'Wire-Cables Ampacities'!$C$5:$C$35)</f>
        <v>#8</v>
      </c>
      <c r="AB63" s="106">
        <f t="shared" si="54"/>
        <v>10</v>
      </c>
      <c r="AC63" s="104">
        <f t="shared" si="39"/>
        <v>27.500000000000004</v>
      </c>
      <c r="AD63" s="101" t="str">
        <f>LOOKUP(AC63,'Wire-Cables Ampacities'!$B$5:$B$35,'Wire-Cables Ampacities'!$C$5:$C$35)</f>
        <v>#10</v>
      </c>
      <c r="AE63" s="107">
        <f t="shared" si="55"/>
        <v>0.12500000000000003</v>
      </c>
      <c r="AF63" s="105">
        <f t="shared" si="40"/>
        <v>426.51775000000009</v>
      </c>
      <c r="AG63" s="98">
        <f t="shared" si="56"/>
        <v>40</v>
      </c>
      <c r="AH63" s="99">
        <f t="shared" si="56"/>
        <v>55</v>
      </c>
      <c r="AI63" s="106">
        <f t="shared" si="57"/>
        <v>20</v>
      </c>
      <c r="AJ63" s="105">
        <f t="shared" si="58"/>
        <v>17.600000000000001</v>
      </c>
      <c r="AK63" s="272">
        <f t="shared" si="41"/>
        <v>0.19555555555555557</v>
      </c>
      <c r="AL63" s="278">
        <f t="shared" si="42"/>
        <v>9.7777777777777783E-2</v>
      </c>
      <c r="AM63" s="109">
        <v>450</v>
      </c>
      <c r="AN63" s="104">
        <v>24</v>
      </c>
      <c r="AO63" s="110">
        <v>30</v>
      </c>
      <c r="AP63" s="110">
        <v>16</v>
      </c>
      <c r="AQ63" s="282">
        <f t="shared" si="59"/>
        <v>19.333333333333332</v>
      </c>
      <c r="AR63" s="288">
        <f t="shared" si="60"/>
        <v>64.017750000000149</v>
      </c>
      <c r="AS63" s="93"/>
      <c r="AT63" s="4"/>
    </row>
    <row r="64" spans="1:46">
      <c r="A64" s="72">
        <f t="shared" si="43"/>
        <v>12</v>
      </c>
      <c r="B64" s="61">
        <v>2.4500000000000002</v>
      </c>
      <c r="C64" s="301">
        <f t="shared" si="44"/>
        <v>29.400000000000002</v>
      </c>
      <c r="D64" s="68">
        <v>30</v>
      </c>
      <c r="E64" s="66">
        <f t="shared" si="31"/>
        <v>120</v>
      </c>
      <c r="F64" s="45">
        <f t="shared" si="45"/>
        <v>14.583333333333334</v>
      </c>
      <c r="G64" s="94">
        <f t="shared" si="46"/>
        <v>12</v>
      </c>
      <c r="H64" s="295">
        <f t="shared" si="47"/>
        <v>38.550080000000008</v>
      </c>
      <c r="I64" s="25"/>
      <c r="J64" s="52">
        <f t="shared" si="48"/>
        <v>35</v>
      </c>
      <c r="K64" s="25">
        <f t="shared" si="32"/>
        <v>44.955000000000005</v>
      </c>
      <c r="L64" s="427">
        <f t="shared" si="33"/>
        <v>1.75</v>
      </c>
      <c r="M64" s="64">
        <f t="shared" si="49"/>
        <v>35</v>
      </c>
      <c r="N64" s="838">
        <f t="shared" si="34"/>
        <v>19.687500000000004</v>
      </c>
      <c r="O64" s="68">
        <f>LOOKUP(N64,'Circuit Breakers'!$B$5:$B$38,'Circuit Breakers'!$C$5:$C$38)</f>
        <v>20</v>
      </c>
      <c r="P64" s="199">
        <f t="shared" si="35"/>
        <v>30</v>
      </c>
      <c r="Q64" s="1056">
        <f t="shared" si="50"/>
        <v>58.441500000000012</v>
      </c>
      <c r="R64" s="1064">
        <f>LOOKUP(Q64,'Circuit Breakers'!$B$5:$B$38,'Circuit Breakers'!$C$5:$C$38)</f>
        <v>60</v>
      </c>
      <c r="S64" s="64">
        <f t="shared" si="36"/>
        <v>30</v>
      </c>
      <c r="T64" s="25">
        <f t="shared" si="51"/>
        <v>39</v>
      </c>
      <c r="U64" s="158">
        <f>LOOKUP(T64,'Circuit Breakers'!$B$5:$B$38,'Circuit Breakers'!$C$5:$C$38)</f>
        <v>40</v>
      </c>
      <c r="V64" s="64">
        <f t="shared" si="52"/>
        <v>15</v>
      </c>
      <c r="W64" s="25">
        <f t="shared" si="37"/>
        <v>16.770833333333332</v>
      </c>
      <c r="X64" s="68" t="str">
        <f>LOOKUP(W64,'Wire-Cables Ampacities'!$B$5:$B$35,'Wire-Cables Ampacities'!$C$5:$C$35)</f>
        <v>#10</v>
      </c>
      <c r="Y64" s="64">
        <f t="shared" si="53"/>
        <v>10</v>
      </c>
      <c r="Z64" s="25">
        <f t="shared" si="38"/>
        <v>49.450500000000012</v>
      </c>
      <c r="AA64" s="68" t="str">
        <f>LOOKUP(Z64,'Wire-Cables Ampacities'!$B$5:$B$35,'Wire-Cables Ampacities'!$C$5:$C$35)</f>
        <v>#8</v>
      </c>
      <c r="AB64" s="64">
        <f t="shared" si="54"/>
        <v>10</v>
      </c>
      <c r="AC64" s="25">
        <f t="shared" si="39"/>
        <v>33</v>
      </c>
      <c r="AD64" s="68" t="str">
        <f>LOOKUP(AC64,'Wire-Cables Ampacities'!$B$5:$B$35,'Wire-Cables Ampacities'!$C$5:$C$35)</f>
        <v>#10</v>
      </c>
      <c r="AE64" s="81">
        <f t="shared" si="55"/>
        <v>0.14749999999999999</v>
      </c>
      <c r="AF64" s="56">
        <f t="shared" si="40"/>
        <v>503.29094499999991</v>
      </c>
      <c r="AG64" s="72">
        <f t="shared" si="56"/>
        <v>40</v>
      </c>
      <c r="AH64" s="15">
        <f t="shared" si="56"/>
        <v>55</v>
      </c>
      <c r="AI64" s="64">
        <f t="shared" si="57"/>
        <v>20</v>
      </c>
      <c r="AJ64" s="56">
        <f t="shared" si="58"/>
        <v>20.767999999999997</v>
      </c>
      <c r="AK64" s="271">
        <f t="shared" si="41"/>
        <v>0.23075555555555552</v>
      </c>
      <c r="AL64" s="277">
        <f t="shared" si="42"/>
        <v>0.11537777777777776</v>
      </c>
      <c r="AM64" s="58">
        <v>450</v>
      </c>
      <c r="AN64" s="25">
        <v>24</v>
      </c>
      <c r="AO64" s="3">
        <v>30</v>
      </c>
      <c r="AP64" s="3">
        <v>16</v>
      </c>
      <c r="AQ64" s="281">
        <f t="shared" si="59"/>
        <v>19.333333333333332</v>
      </c>
      <c r="AR64" s="287">
        <f t="shared" si="60"/>
        <v>140.79094499999997</v>
      </c>
      <c r="AS64" s="93"/>
      <c r="AT64" s="4"/>
    </row>
    <row r="65" spans="1:46">
      <c r="A65" s="72">
        <f t="shared" si="43"/>
        <v>12</v>
      </c>
      <c r="B65" s="61">
        <v>2.4500000000000002</v>
      </c>
      <c r="C65" s="301">
        <f t="shared" si="44"/>
        <v>29.400000000000002</v>
      </c>
      <c r="D65" s="68">
        <v>35</v>
      </c>
      <c r="E65" s="66">
        <f t="shared" si="31"/>
        <v>120</v>
      </c>
      <c r="F65" s="45">
        <f t="shared" si="45"/>
        <v>18.75</v>
      </c>
      <c r="G65" s="94">
        <f t="shared" si="46"/>
        <v>12</v>
      </c>
      <c r="H65" s="295">
        <f t="shared" si="47"/>
        <v>38.550080000000008</v>
      </c>
      <c r="I65" s="25"/>
      <c r="J65" s="52">
        <f t="shared" si="48"/>
        <v>35</v>
      </c>
      <c r="K65" s="25">
        <f t="shared" si="32"/>
        <v>52.447500000000005</v>
      </c>
      <c r="L65" s="427">
        <f t="shared" si="33"/>
        <v>2.25</v>
      </c>
      <c r="M65" s="64">
        <f t="shared" si="49"/>
        <v>35</v>
      </c>
      <c r="N65" s="838">
        <f t="shared" si="34"/>
        <v>25.3125</v>
      </c>
      <c r="O65" s="68">
        <f>LOOKUP(N65,'Circuit Breakers'!$B$5:$B$38,'Circuit Breakers'!$C$5:$C$38)</f>
        <v>30</v>
      </c>
      <c r="P65" s="199">
        <f t="shared" si="35"/>
        <v>30</v>
      </c>
      <c r="Q65" s="1056">
        <f t="shared" si="50"/>
        <v>68.181750000000008</v>
      </c>
      <c r="R65" s="1064">
        <f>LOOKUP(Q65,'Circuit Breakers'!$B$5:$B$38,'Circuit Breakers'!$C$5:$C$38)</f>
        <v>70</v>
      </c>
      <c r="S65" s="64">
        <f t="shared" si="36"/>
        <v>30</v>
      </c>
      <c r="T65" s="25">
        <f t="shared" si="51"/>
        <v>45.5</v>
      </c>
      <c r="U65" s="158">
        <f>LOOKUP(T65,'Circuit Breakers'!$B$5:$B$38,'Circuit Breakers'!$C$5:$C$38)</f>
        <v>50</v>
      </c>
      <c r="V65" s="64">
        <f t="shared" si="52"/>
        <v>15</v>
      </c>
      <c r="W65" s="25">
        <f t="shared" si="37"/>
        <v>21.5625</v>
      </c>
      <c r="X65" s="68" t="str">
        <f>LOOKUP(W65,'Wire-Cables Ampacities'!$B$5:$B$35,'Wire-Cables Ampacities'!$C$5:$C$35)</f>
        <v>#10</v>
      </c>
      <c r="Y65" s="64">
        <f t="shared" si="53"/>
        <v>10</v>
      </c>
      <c r="Z65" s="25">
        <f t="shared" si="38"/>
        <v>57.692250000000008</v>
      </c>
      <c r="AA65" s="68" t="str">
        <f>LOOKUP(Z65,'Wire-Cables Ampacities'!$B$5:$B$35,'Wire-Cables Ampacities'!$C$5:$C$35)</f>
        <v>#8</v>
      </c>
      <c r="AB65" s="64">
        <f t="shared" si="54"/>
        <v>10</v>
      </c>
      <c r="AC65" s="25">
        <f t="shared" si="39"/>
        <v>38.5</v>
      </c>
      <c r="AD65" s="68" t="str">
        <f>LOOKUP(AC65,'Wire-Cables Ampacities'!$B$5:$B$35,'Wire-Cables Ampacities'!$C$5:$C$35)</f>
        <v>#10</v>
      </c>
      <c r="AE65" s="81">
        <f t="shared" si="55"/>
        <v>0.1825</v>
      </c>
      <c r="AF65" s="56">
        <f t="shared" si="40"/>
        <v>622.71591499999988</v>
      </c>
      <c r="AG65" s="72">
        <f t="shared" si="56"/>
        <v>40</v>
      </c>
      <c r="AH65" s="15">
        <f t="shared" si="56"/>
        <v>55</v>
      </c>
      <c r="AI65" s="64">
        <f t="shared" si="57"/>
        <v>20</v>
      </c>
      <c r="AJ65" s="56">
        <f t="shared" si="58"/>
        <v>25.696000000000002</v>
      </c>
      <c r="AK65" s="271">
        <f t="shared" si="41"/>
        <v>0.2855111111111111</v>
      </c>
      <c r="AL65" s="277">
        <f t="shared" si="42"/>
        <v>0.14275555555555555</v>
      </c>
      <c r="AM65" s="58">
        <v>450</v>
      </c>
      <c r="AN65" s="25">
        <v>24</v>
      </c>
      <c r="AO65" s="3">
        <v>30</v>
      </c>
      <c r="AP65" s="3">
        <v>16</v>
      </c>
      <c r="AQ65" s="281">
        <f t="shared" si="59"/>
        <v>19.333333333333332</v>
      </c>
      <c r="AR65" s="287">
        <f t="shared" si="60"/>
        <v>260.21591499999994</v>
      </c>
      <c r="AS65" s="93"/>
      <c r="AT65" s="4"/>
    </row>
    <row r="66" spans="1:46">
      <c r="A66" s="98">
        <f t="shared" si="43"/>
        <v>12</v>
      </c>
      <c r="B66" s="304">
        <v>2.4500000000000002</v>
      </c>
      <c r="C66" s="307">
        <f t="shared" si="44"/>
        <v>29.400000000000002</v>
      </c>
      <c r="D66" s="101">
        <v>40</v>
      </c>
      <c r="E66" s="100">
        <f t="shared" si="31"/>
        <v>120</v>
      </c>
      <c r="F66" s="102">
        <f t="shared" si="45"/>
        <v>20.833333333333332</v>
      </c>
      <c r="G66" s="103">
        <f t="shared" si="46"/>
        <v>12</v>
      </c>
      <c r="H66" s="296">
        <f t="shared" si="47"/>
        <v>38.550080000000008</v>
      </c>
      <c r="I66" s="104"/>
      <c r="J66" s="180">
        <f t="shared" si="48"/>
        <v>35</v>
      </c>
      <c r="K66" s="104">
        <f t="shared" si="32"/>
        <v>59.940000000000005</v>
      </c>
      <c r="L66" s="428">
        <f t="shared" si="33"/>
        <v>2.5</v>
      </c>
      <c r="M66" s="106">
        <f t="shared" si="49"/>
        <v>35</v>
      </c>
      <c r="N66" s="1060">
        <f t="shared" si="34"/>
        <v>28.125</v>
      </c>
      <c r="O66" s="101">
        <f>LOOKUP(N66,'Circuit Breakers'!$B$5:$B$38,'Circuit Breakers'!$C$5:$C$38)</f>
        <v>30</v>
      </c>
      <c r="P66" s="262">
        <f t="shared" si="35"/>
        <v>30</v>
      </c>
      <c r="Q66" s="1057">
        <f t="shared" si="50"/>
        <v>77.922000000000011</v>
      </c>
      <c r="R66" s="1065">
        <f>LOOKUP(Q66,'Circuit Breakers'!$B$5:$B$38,'Circuit Breakers'!$C$5:$C$38)</f>
        <v>80</v>
      </c>
      <c r="S66" s="106">
        <f t="shared" si="36"/>
        <v>30</v>
      </c>
      <c r="T66" s="104">
        <f t="shared" si="51"/>
        <v>52</v>
      </c>
      <c r="U66" s="477">
        <f>LOOKUP(T66,'Circuit Breakers'!$B$5:$B$38,'Circuit Breakers'!$C$5:$C$38)</f>
        <v>60</v>
      </c>
      <c r="V66" s="106">
        <f t="shared" si="52"/>
        <v>15</v>
      </c>
      <c r="W66" s="104">
        <f t="shared" si="37"/>
        <v>23.958333333333329</v>
      </c>
      <c r="X66" s="101" t="str">
        <f>LOOKUP(W66,'Wire-Cables Ampacities'!$B$5:$B$35,'Wire-Cables Ampacities'!$C$5:$C$35)</f>
        <v>#10</v>
      </c>
      <c r="Y66" s="106">
        <f t="shared" si="53"/>
        <v>10</v>
      </c>
      <c r="Z66" s="104">
        <f t="shared" si="38"/>
        <v>65.934000000000012</v>
      </c>
      <c r="AA66" s="101" t="str">
        <f>LOOKUP(Z66,'Wire-Cables Ampacities'!$B$5:$B$35,'Wire-Cables Ampacities'!$C$5:$C$35)</f>
        <v>#6</v>
      </c>
      <c r="AB66" s="106">
        <f t="shared" si="54"/>
        <v>10</v>
      </c>
      <c r="AC66" s="104">
        <f t="shared" si="39"/>
        <v>44</v>
      </c>
      <c r="AD66" s="101" t="str">
        <f>LOOKUP(AC66,'Wire-Cables Ampacities'!$B$5:$B$35,'Wire-Cables Ampacities'!$C$5:$C$35)</f>
        <v>#8</v>
      </c>
      <c r="AE66" s="107">
        <f t="shared" si="55"/>
        <v>0.20499999999999999</v>
      </c>
      <c r="AF66" s="105">
        <f t="shared" si="40"/>
        <v>699.48910999999987</v>
      </c>
      <c r="AG66" s="98">
        <f t="shared" si="56"/>
        <v>40</v>
      </c>
      <c r="AH66" s="99">
        <f t="shared" si="56"/>
        <v>55</v>
      </c>
      <c r="AI66" s="106">
        <f t="shared" si="57"/>
        <v>20</v>
      </c>
      <c r="AJ66" s="105">
        <f t="shared" si="58"/>
        <v>28.863999999999997</v>
      </c>
      <c r="AK66" s="272">
        <f t="shared" si="41"/>
        <v>0.32071111111111106</v>
      </c>
      <c r="AL66" s="278">
        <f t="shared" si="42"/>
        <v>0.16035555555555553</v>
      </c>
      <c r="AM66" s="109">
        <v>450</v>
      </c>
      <c r="AN66" s="104">
        <v>24</v>
      </c>
      <c r="AO66" s="110">
        <v>30</v>
      </c>
      <c r="AP66" s="110">
        <v>16</v>
      </c>
      <c r="AQ66" s="282">
        <f t="shared" si="59"/>
        <v>19.333333333333332</v>
      </c>
      <c r="AR66" s="288">
        <f t="shared" si="60"/>
        <v>336.98910999999993</v>
      </c>
      <c r="AS66" s="93"/>
      <c r="AT66" s="4"/>
    </row>
    <row r="67" spans="1:46">
      <c r="A67" s="72">
        <f t="shared" si="43"/>
        <v>12</v>
      </c>
      <c r="B67" s="61">
        <v>2.4500000000000002</v>
      </c>
      <c r="C67" s="301">
        <f t="shared" si="44"/>
        <v>29.400000000000002</v>
      </c>
      <c r="D67" s="68">
        <v>50</v>
      </c>
      <c r="E67" s="66">
        <f t="shared" si="31"/>
        <v>120</v>
      </c>
      <c r="F67" s="45">
        <f t="shared" si="45"/>
        <v>25</v>
      </c>
      <c r="G67" s="94">
        <f t="shared" si="46"/>
        <v>12</v>
      </c>
      <c r="H67" s="295">
        <f t="shared" si="47"/>
        <v>38.550080000000008</v>
      </c>
      <c r="I67" s="25"/>
      <c r="J67" s="52">
        <f t="shared" si="48"/>
        <v>35</v>
      </c>
      <c r="K67" s="25">
        <f t="shared" si="32"/>
        <v>74.925000000000011</v>
      </c>
      <c r="L67" s="427">
        <f t="shared" si="33"/>
        <v>3</v>
      </c>
      <c r="M67" s="64">
        <f t="shared" si="49"/>
        <v>35</v>
      </c>
      <c r="N67" s="838">
        <f t="shared" si="34"/>
        <v>33.75</v>
      </c>
      <c r="O67" s="68">
        <f>LOOKUP(N67,'Circuit Breakers'!$B$5:$B$38,'Circuit Breakers'!$C$5:$C$38)</f>
        <v>40</v>
      </c>
      <c r="P67" s="199">
        <f t="shared" si="35"/>
        <v>30</v>
      </c>
      <c r="Q67" s="1056">
        <f t="shared" si="50"/>
        <v>97.402500000000018</v>
      </c>
      <c r="R67" s="1064">
        <f>LOOKUP(Q67,'Circuit Breakers'!$B$5:$B$38,'Circuit Breakers'!$C$5:$C$38)</f>
        <v>100</v>
      </c>
      <c r="S67" s="64">
        <f t="shared" si="36"/>
        <v>30</v>
      </c>
      <c r="T67" s="25">
        <f t="shared" si="51"/>
        <v>65</v>
      </c>
      <c r="U67" s="158">
        <f>LOOKUP(T67,'Circuit Breakers'!$B$5:$B$38,'Circuit Breakers'!$C$5:$C$38)</f>
        <v>70</v>
      </c>
      <c r="V67" s="64">
        <f t="shared" si="52"/>
        <v>15</v>
      </c>
      <c r="W67" s="25">
        <f t="shared" si="37"/>
        <v>28.749999999999996</v>
      </c>
      <c r="X67" s="68" t="str">
        <f>LOOKUP(W67,'Wire-Cables Ampacities'!$B$5:$B$35,'Wire-Cables Ampacities'!$C$5:$C$35)</f>
        <v>#10</v>
      </c>
      <c r="Y67" s="64">
        <f t="shared" si="53"/>
        <v>10</v>
      </c>
      <c r="Z67" s="25">
        <f t="shared" si="38"/>
        <v>82.417500000000018</v>
      </c>
      <c r="AA67" s="68" t="str">
        <f>LOOKUP(Z67,'Wire-Cables Ampacities'!$B$5:$B$35,'Wire-Cables Ampacities'!$C$5:$C$35)</f>
        <v>#4</v>
      </c>
      <c r="AB67" s="64">
        <f t="shared" si="54"/>
        <v>10</v>
      </c>
      <c r="AC67" s="25">
        <f t="shared" si="39"/>
        <v>55.000000000000007</v>
      </c>
      <c r="AD67" s="68" t="str">
        <f>LOOKUP(AC67,'Wire-Cables Ampacities'!$B$5:$B$35,'Wire-Cables Ampacities'!$C$5:$C$35)</f>
        <v>#8</v>
      </c>
      <c r="AE67" s="81">
        <f t="shared" si="55"/>
        <v>0.25000000000000006</v>
      </c>
      <c r="AF67" s="56">
        <f t="shared" si="40"/>
        <v>853.03550000000018</v>
      </c>
      <c r="AG67" s="72">
        <f t="shared" si="56"/>
        <v>40</v>
      </c>
      <c r="AH67" s="15">
        <f t="shared" si="56"/>
        <v>55</v>
      </c>
      <c r="AI67" s="64">
        <f t="shared" si="57"/>
        <v>20</v>
      </c>
      <c r="AJ67" s="56">
        <f t="shared" si="58"/>
        <v>35.200000000000003</v>
      </c>
      <c r="AK67" s="271">
        <f t="shared" si="41"/>
        <v>0.39111111111111113</v>
      </c>
      <c r="AL67" s="277">
        <f t="shared" si="42"/>
        <v>0.19555555555555557</v>
      </c>
      <c r="AM67" s="58">
        <v>450</v>
      </c>
      <c r="AN67" s="25">
        <v>24</v>
      </c>
      <c r="AO67" s="3">
        <v>30</v>
      </c>
      <c r="AP67" s="3">
        <v>16</v>
      </c>
      <c r="AQ67" s="281">
        <f t="shared" si="59"/>
        <v>19.333333333333332</v>
      </c>
      <c r="AR67" s="287">
        <f t="shared" si="60"/>
        <v>490.53550000000024</v>
      </c>
      <c r="AS67" s="93"/>
      <c r="AT67" s="4"/>
    </row>
    <row r="68" spans="1:46">
      <c r="A68" s="72">
        <f t="shared" si="43"/>
        <v>12</v>
      </c>
      <c r="B68" s="61">
        <v>2.4500000000000002</v>
      </c>
      <c r="C68" s="301">
        <f t="shared" si="44"/>
        <v>29.400000000000002</v>
      </c>
      <c r="D68" s="68">
        <v>60</v>
      </c>
      <c r="E68" s="66">
        <f t="shared" si="31"/>
        <v>120</v>
      </c>
      <c r="F68" s="45">
        <f t="shared" si="45"/>
        <v>29.166666666666668</v>
      </c>
      <c r="G68" s="94">
        <f t="shared" si="46"/>
        <v>12</v>
      </c>
      <c r="H68" s="295">
        <f t="shared" si="47"/>
        <v>38.550080000000008</v>
      </c>
      <c r="I68" s="25"/>
      <c r="J68" s="52">
        <f t="shared" si="48"/>
        <v>35</v>
      </c>
      <c r="K68" s="25">
        <f t="shared" si="32"/>
        <v>89.910000000000011</v>
      </c>
      <c r="L68" s="427">
        <f t="shared" si="33"/>
        <v>3.5</v>
      </c>
      <c r="M68" s="64">
        <f t="shared" si="49"/>
        <v>35</v>
      </c>
      <c r="N68" s="838">
        <f t="shared" si="34"/>
        <v>39.375000000000007</v>
      </c>
      <c r="O68" s="68">
        <f>LOOKUP(N68,'Circuit Breakers'!$B$5:$B$38,'Circuit Breakers'!$C$5:$C$38)</f>
        <v>40</v>
      </c>
      <c r="P68" s="199">
        <f t="shared" si="35"/>
        <v>30</v>
      </c>
      <c r="Q68" s="1056">
        <f t="shared" si="50"/>
        <v>116.88300000000002</v>
      </c>
      <c r="R68" s="1064">
        <f>LOOKUP(Q68,'Circuit Breakers'!$B$5:$B$38,'Circuit Breakers'!$C$5:$C$38)</f>
        <v>125</v>
      </c>
      <c r="S68" s="64">
        <f t="shared" si="36"/>
        <v>30</v>
      </c>
      <c r="T68" s="25">
        <f t="shared" si="51"/>
        <v>78</v>
      </c>
      <c r="U68" s="158">
        <f>LOOKUP(T68,'Circuit Breakers'!$B$5:$B$38,'Circuit Breakers'!$C$5:$C$38)</f>
        <v>80</v>
      </c>
      <c r="V68" s="64">
        <f t="shared" si="52"/>
        <v>15</v>
      </c>
      <c r="W68" s="25">
        <f t="shared" si="37"/>
        <v>33.541666666666664</v>
      </c>
      <c r="X68" s="68" t="str">
        <f>LOOKUP(W68,'Wire-Cables Ampacities'!$B$5:$B$35,'Wire-Cables Ampacities'!$C$5:$C$35)</f>
        <v>#10</v>
      </c>
      <c r="Y68" s="64">
        <f t="shared" si="53"/>
        <v>10</v>
      </c>
      <c r="Z68" s="25">
        <f t="shared" si="38"/>
        <v>98.901000000000025</v>
      </c>
      <c r="AA68" s="68" t="str">
        <f>LOOKUP(Z68,'Wire-Cables Ampacities'!$B$5:$B$35,'Wire-Cables Ampacities'!$C$5:$C$35)</f>
        <v>#4</v>
      </c>
      <c r="AB68" s="64">
        <f t="shared" si="54"/>
        <v>10</v>
      </c>
      <c r="AC68" s="25">
        <f t="shared" si="39"/>
        <v>66</v>
      </c>
      <c r="AD68" s="68" t="str">
        <f>LOOKUP(AC68,'Wire-Cables Ampacities'!$B$5:$B$35,'Wire-Cables Ampacities'!$C$5:$C$35)</f>
        <v>#6</v>
      </c>
      <c r="AE68" s="81">
        <f t="shared" si="55"/>
        <v>0.29499999999999998</v>
      </c>
      <c r="AF68" s="56">
        <f t="shared" si="40"/>
        <v>1006.5818899999998</v>
      </c>
      <c r="AG68" s="72">
        <f t="shared" si="56"/>
        <v>40</v>
      </c>
      <c r="AH68" s="15">
        <f t="shared" si="56"/>
        <v>55</v>
      </c>
      <c r="AI68" s="64">
        <f t="shared" si="57"/>
        <v>20</v>
      </c>
      <c r="AJ68" s="56">
        <f t="shared" si="58"/>
        <v>41.535999999999994</v>
      </c>
      <c r="AK68" s="271">
        <f t="shared" si="41"/>
        <v>0.46151111111111104</v>
      </c>
      <c r="AL68" s="277">
        <f t="shared" si="42"/>
        <v>0.23075555555555552</v>
      </c>
      <c r="AM68" s="58">
        <v>450</v>
      </c>
      <c r="AN68" s="25">
        <v>24</v>
      </c>
      <c r="AO68" s="3">
        <v>30</v>
      </c>
      <c r="AP68" s="3">
        <v>16</v>
      </c>
      <c r="AQ68" s="281">
        <f t="shared" si="59"/>
        <v>19.333333333333332</v>
      </c>
      <c r="AR68" s="287">
        <f t="shared" si="60"/>
        <v>644.08188999999993</v>
      </c>
      <c r="AS68" s="93"/>
      <c r="AT68" s="4"/>
    </row>
    <row r="69" spans="1:46">
      <c r="A69" s="98">
        <f t="shared" si="43"/>
        <v>12</v>
      </c>
      <c r="B69" s="304">
        <v>2.4500000000000002</v>
      </c>
      <c r="C69" s="307">
        <f t="shared" si="44"/>
        <v>29.400000000000002</v>
      </c>
      <c r="D69" s="101">
        <v>75</v>
      </c>
      <c r="E69" s="100">
        <f t="shared" si="31"/>
        <v>120</v>
      </c>
      <c r="F69" s="102">
        <f t="shared" si="45"/>
        <v>37.5</v>
      </c>
      <c r="G69" s="103">
        <f t="shared" si="46"/>
        <v>12</v>
      </c>
      <c r="H69" s="296">
        <f t="shared" si="47"/>
        <v>38.550080000000008</v>
      </c>
      <c r="I69" s="104"/>
      <c r="J69" s="180">
        <f t="shared" si="48"/>
        <v>35</v>
      </c>
      <c r="K69" s="104">
        <f t="shared" si="32"/>
        <v>112.3875</v>
      </c>
      <c r="L69" s="428">
        <f t="shared" si="33"/>
        <v>4.5</v>
      </c>
      <c r="M69" s="1081">
        <f t="shared" si="49"/>
        <v>35</v>
      </c>
      <c r="N69" s="1060">
        <f t="shared" si="34"/>
        <v>50.625</v>
      </c>
      <c r="O69" s="101">
        <f>LOOKUP(N69,'Circuit Breakers'!$B$5:$B$38,'Circuit Breakers'!$C$5:$C$38)</f>
        <v>60</v>
      </c>
      <c r="P69" s="262">
        <f t="shared" si="35"/>
        <v>30</v>
      </c>
      <c r="Q69" s="1057">
        <f t="shared" si="50"/>
        <v>146.10375000000002</v>
      </c>
      <c r="R69" s="1065">
        <f>LOOKUP(Q69,'Circuit Breakers'!$B$5:$B$38,'Circuit Breakers'!$C$5:$C$38)</f>
        <v>150</v>
      </c>
      <c r="S69" s="106">
        <f t="shared" si="36"/>
        <v>30</v>
      </c>
      <c r="T69" s="104">
        <f t="shared" si="51"/>
        <v>97.5</v>
      </c>
      <c r="U69" s="477">
        <f>LOOKUP(T69,'Circuit Breakers'!$B$5:$B$38,'Circuit Breakers'!$C$5:$C$38)</f>
        <v>100</v>
      </c>
      <c r="V69" s="106">
        <f t="shared" si="52"/>
        <v>15</v>
      </c>
      <c r="W69" s="104">
        <f t="shared" si="37"/>
        <v>43.125</v>
      </c>
      <c r="X69" s="101" t="str">
        <f>LOOKUP(W69,'Wire-Cables Ampacities'!$B$5:$B$35,'Wire-Cables Ampacities'!$C$5:$C$35)</f>
        <v>#8</v>
      </c>
      <c r="Y69" s="106">
        <f t="shared" si="53"/>
        <v>10</v>
      </c>
      <c r="Z69" s="104">
        <f t="shared" si="38"/>
        <v>123.62625000000001</v>
      </c>
      <c r="AA69" s="101" t="str">
        <f>LOOKUP(Z69,'Wire-Cables Ampacities'!$B$5:$B$35,'Wire-Cables Ampacities'!$C$5:$C$35)</f>
        <v>#2</v>
      </c>
      <c r="AB69" s="106">
        <f t="shared" si="54"/>
        <v>10</v>
      </c>
      <c r="AC69" s="104">
        <f t="shared" si="39"/>
        <v>82.5</v>
      </c>
      <c r="AD69" s="101" t="str">
        <f>LOOKUP(AC69,'Wire-Cables Ampacities'!$B$5:$B$35,'Wire-Cables Ampacities'!$C$5:$C$35)</f>
        <v>#4</v>
      </c>
      <c r="AE69" s="107">
        <f t="shared" si="55"/>
        <v>0.375</v>
      </c>
      <c r="AF69" s="105">
        <f t="shared" si="40"/>
        <v>1279.5532499999999</v>
      </c>
      <c r="AG69" s="98">
        <f t="shared" si="56"/>
        <v>40</v>
      </c>
      <c r="AH69" s="99">
        <f t="shared" si="56"/>
        <v>55</v>
      </c>
      <c r="AI69" s="106">
        <f t="shared" si="57"/>
        <v>20</v>
      </c>
      <c r="AJ69" s="105">
        <f t="shared" si="58"/>
        <v>52.8</v>
      </c>
      <c r="AK69" s="272">
        <f t="shared" si="41"/>
        <v>0.58666666666666667</v>
      </c>
      <c r="AL69" s="278">
        <f t="shared" si="42"/>
        <v>0.29333333333333333</v>
      </c>
      <c r="AM69" s="109">
        <v>450</v>
      </c>
      <c r="AN69" s="104">
        <v>24</v>
      </c>
      <c r="AO69" s="110">
        <v>30</v>
      </c>
      <c r="AP69" s="110">
        <v>16</v>
      </c>
      <c r="AQ69" s="282">
        <f t="shared" si="59"/>
        <v>19.333333333333332</v>
      </c>
      <c r="AR69" s="288">
        <f t="shared" si="60"/>
        <v>917.05324999999993</v>
      </c>
      <c r="AS69" s="93"/>
      <c r="AT69" s="4"/>
    </row>
    <row r="70" spans="1:46">
      <c r="A70" s="72">
        <f t="shared" si="43"/>
        <v>12</v>
      </c>
      <c r="B70" s="61">
        <v>2.4500000000000002</v>
      </c>
      <c r="C70" s="301">
        <f t="shared" si="44"/>
        <v>29.400000000000002</v>
      </c>
      <c r="D70" s="68">
        <v>100</v>
      </c>
      <c r="E70" s="66">
        <f t="shared" si="31"/>
        <v>208</v>
      </c>
      <c r="F70" s="45">
        <f t="shared" si="45"/>
        <v>28.846153846153847</v>
      </c>
      <c r="G70" s="94">
        <f t="shared" si="46"/>
        <v>12</v>
      </c>
      <c r="H70" s="295">
        <f t="shared" si="47"/>
        <v>38.550080000000008</v>
      </c>
      <c r="I70" s="25"/>
      <c r="J70" s="52">
        <f t="shared" si="48"/>
        <v>35</v>
      </c>
      <c r="K70" s="25">
        <f t="shared" si="32"/>
        <v>149.85000000000002</v>
      </c>
      <c r="L70" s="427">
        <f t="shared" si="33"/>
        <v>6</v>
      </c>
      <c r="M70" s="64">
        <f t="shared" si="49"/>
        <v>35</v>
      </c>
      <c r="N70" s="838">
        <f t="shared" si="34"/>
        <v>38.942307692307693</v>
      </c>
      <c r="O70" s="68">
        <f>LOOKUP(N70,'Circuit Breakers'!$B$5:$B$38,'Circuit Breakers'!$C$5:$C$38)</f>
        <v>40</v>
      </c>
      <c r="P70" s="199">
        <f t="shared" si="35"/>
        <v>30</v>
      </c>
      <c r="Q70" s="1056">
        <f t="shared" si="50"/>
        <v>194.80500000000004</v>
      </c>
      <c r="R70" s="1064">
        <f>LOOKUP(Q70,'Circuit Breakers'!$B$5:$B$38,'Circuit Breakers'!$C$5:$C$38)</f>
        <v>200</v>
      </c>
      <c r="S70" s="64">
        <f t="shared" si="36"/>
        <v>30</v>
      </c>
      <c r="T70" s="25">
        <f t="shared" si="51"/>
        <v>130</v>
      </c>
      <c r="U70" s="158">
        <f>LOOKUP(T70,'Circuit Breakers'!$B$5:$B$38,'Circuit Breakers'!$C$5:$C$38)</f>
        <v>150</v>
      </c>
      <c r="V70" s="64">
        <f t="shared" si="52"/>
        <v>15</v>
      </c>
      <c r="W70" s="25">
        <f t="shared" si="37"/>
        <v>33.17307692307692</v>
      </c>
      <c r="X70" s="68" t="str">
        <f>LOOKUP(W70,'Wire-Cables Ampacities'!$B$5:$B$35,'Wire-Cables Ampacities'!$C$5:$C$35)</f>
        <v>#10</v>
      </c>
      <c r="Y70" s="64">
        <f t="shared" si="53"/>
        <v>10</v>
      </c>
      <c r="Z70" s="25">
        <f t="shared" si="38"/>
        <v>164.83500000000004</v>
      </c>
      <c r="AA70" s="68" t="str">
        <f>LOOKUP(Z70,'Wire-Cables Ampacities'!$B$5:$B$35,'Wire-Cables Ampacities'!$C$5:$C$35)</f>
        <v>#1</v>
      </c>
      <c r="AB70" s="64">
        <f t="shared" si="54"/>
        <v>10</v>
      </c>
      <c r="AC70" s="25">
        <f t="shared" si="39"/>
        <v>110.00000000000001</v>
      </c>
      <c r="AD70" s="68" t="str">
        <f>LOOKUP(AC70,'Wire-Cables Ampacities'!$B$5:$B$35,'Wire-Cables Ampacities'!$C$5:$C$35)</f>
        <v>#3</v>
      </c>
      <c r="AE70" s="81">
        <f t="shared" si="55"/>
        <v>0.50000000000000011</v>
      </c>
      <c r="AF70" s="56">
        <f t="shared" si="40"/>
        <v>1706.0710000000004</v>
      </c>
      <c r="AG70" s="72">
        <f t="shared" si="56"/>
        <v>40</v>
      </c>
      <c r="AH70" s="15">
        <f t="shared" si="56"/>
        <v>55</v>
      </c>
      <c r="AI70" s="64">
        <f t="shared" si="57"/>
        <v>20</v>
      </c>
      <c r="AJ70" s="56">
        <f t="shared" si="58"/>
        <v>70.400000000000006</v>
      </c>
      <c r="AK70" s="271">
        <f t="shared" si="41"/>
        <v>0.78222222222222226</v>
      </c>
      <c r="AL70" s="277">
        <f t="shared" si="42"/>
        <v>0.39111111111111113</v>
      </c>
      <c r="AM70" s="58">
        <v>450</v>
      </c>
      <c r="AN70" s="25">
        <v>24</v>
      </c>
      <c r="AO70" s="3">
        <v>30</v>
      </c>
      <c r="AP70" s="3">
        <v>16</v>
      </c>
      <c r="AQ70" s="281">
        <f t="shared" si="59"/>
        <v>19.333333333333332</v>
      </c>
      <c r="AR70" s="287">
        <f t="shared" si="60"/>
        <v>1343.5710000000004</v>
      </c>
      <c r="AS70" s="93"/>
      <c r="AT70" s="4"/>
    </row>
    <row r="71" spans="1:46">
      <c r="A71" s="72">
        <f t="shared" si="43"/>
        <v>12</v>
      </c>
      <c r="B71" s="61">
        <v>2.4500000000000002</v>
      </c>
      <c r="C71" s="301">
        <f t="shared" si="44"/>
        <v>29.400000000000002</v>
      </c>
      <c r="D71" s="68">
        <v>125</v>
      </c>
      <c r="E71" s="66">
        <f t="shared" si="31"/>
        <v>208</v>
      </c>
      <c r="F71" s="45">
        <f t="shared" si="45"/>
        <v>34.855769230769234</v>
      </c>
      <c r="G71" s="94">
        <f t="shared" si="46"/>
        <v>12</v>
      </c>
      <c r="H71" s="295">
        <f t="shared" si="47"/>
        <v>38.550080000000008</v>
      </c>
      <c r="I71" s="25"/>
      <c r="J71" s="52">
        <f t="shared" si="48"/>
        <v>35</v>
      </c>
      <c r="K71" s="25">
        <f t="shared" si="32"/>
        <v>187.31250000000003</v>
      </c>
      <c r="L71" s="427">
        <f t="shared" si="33"/>
        <v>7.25</v>
      </c>
      <c r="M71" s="64">
        <f t="shared" si="49"/>
        <v>35</v>
      </c>
      <c r="N71" s="838">
        <f t="shared" si="34"/>
        <v>47.055288461538467</v>
      </c>
      <c r="O71" s="68">
        <f>LOOKUP(N71,'Circuit Breakers'!$B$5:$B$38,'Circuit Breakers'!$C$5:$C$38)</f>
        <v>50</v>
      </c>
      <c r="P71" s="199">
        <f t="shared" si="35"/>
        <v>30</v>
      </c>
      <c r="Q71" s="1056">
        <f t="shared" si="50"/>
        <v>243.50625000000005</v>
      </c>
      <c r="R71" s="1064">
        <f>LOOKUP(Q71,'Circuit Breakers'!$B$5:$B$38,'Circuit Breakers'!$C$5:$C$38)</f>
        <v>250</v>
      </c>
      <c r="S71" s="64">
        <f t="shared" si="36"/>
        <v>30</v>
      </c>
      <c r="T71" s="25">
        <f t="shared" si="51"/>
        <v>162.5</v>
      </c>
      <c r="U71" s="158">
        <f>LOOKUP(T71,'Circuit Breakers'!$B$5:$B$38,'Circuit Breakers'!$C$5:$C$38)</f>
        <v>175</v>
      </c>
      <c r="V71" s="64">
        <f t="shared" si="52"/>
        <v>15</v>
      </c>
      <c r="W71" s="25">
        <f t="shared" si="37"/>
        <v>40.084134615384613</v>
      </c>
      <c r="X71" s="68" t="str">
        <f>LOOKUP(W71,'Wire-Cables Ampacities'!$B$5:$B$35,'Wire-Cables Ampacities'!$C$5:$C$35)</f>
        <v>#10</v>
      </c>
      <c r="Y71" s="64">
        <f t="shared" si="53"/>
        <v>10</v>
      </c>
      <c r="Z71" s="25">
        <f t="shared" si="38"/>
        <v>206.04375000000005</v>
      </c>
      <c r="AA71" s="68" t="str">
        <f>LOOKUP(Z71,'Wire-Cables Ampacities'!$B$5:$B$35,'Wire-Cables Ampacities'!$C$5:$C$35)</f>
        <v>#2/0</v>
      </c>
      <c r="AB71" s="64">
        <f t="shared" si="54"/>
        <v>10</v>
      </c>
      <c r="AC71" s="25">
        <f t="shared" si="39"/>
        <v>137.5</v>
      </c>
      <c r="AD71" s="68" t="str">
        <f>LOOKUP(AC71,'Wire-Cables Ampacities'!$B$5:$B$35,'Wire-Cables Ampacities'!$C$5:$C$35)</f>
        <v>#2</v>
      </c>
      <c r="AE71" s="81">
        <f t="shared" si="55"/>
        <v>0.61250000000000004</v>
      </c>
      <c r="AF71" s="56">
        <f t="shared" si="40"/>
        <v>2089.9369750000001</v>
      </c>
      <c r="AG71" s="72">
        <f t="shared" si="56"/>
        <v>40</v>
      </c>
      <c r="AH71" s="15">
        <f t="shared" si="56"/>
        <v>55</v>
      </c>
      <c r="AI71" s="64">
        <f t="shared" si="57"/>
        <v>20</v>
      </c>
      <c r="AJ71" s="56">
        <f t="shared" si="58"/>
        <v>86.24</v>
      </c>
      <c r="AK71" s="271">
        <f t="shared" si="41"/>
        <v>0.9582222222222222</v>
      </c>
      <c r="AL71" s="277">
        <f t="shared" si="42"/>
        <v>0.4791111111111111</v>
      </c>
      <c r="AM71" s="58">
        <v>450</v>
      </c>
      <c r="AN71" s="25">
        <v>24</v>
      </c>
      <c r="AO71" s="3">
        <v>30</v>
      </c>
      <c r="AP71" s="3">
        <v>16</v>
      </c>
      <c r="AQ71" s="281">
        <f t="shared" si="59"/>
        <v>19.333333333333332</v>
      </c>
      <c r="AR71" s="287">
        <f t="shared" si="60"/>
        <v>1727.4369750000001</v>
      </c>
      <c r="AS71" s="93"/>
      <c r="AT71" s="4"/>
    </row>
    <row r="72" spans="1:46">
      <c r="A72" s="98">
        <f t="shared" si="43"/>
        <v>12</v>
      </c>
      <c r="B72" s="304">
        <v>2.4500000000000002</v>
      </c>
      <c r="C72" s="307">
        <f t="shared" si="44"/>
        <v>29.400000000000002</v>
      </c>
      <c r="D72" s="101">
        <v>150</v>
      </c>
      <c r="E72" s="100">
        <f t="shared" si="31"/>
        <v>208</v>
      </c>
      <c r="F72" s="102">
        <f t="shared" si="45"/>
        <v>42.067307692307693</v>
      </c>
      <c r="G72" s="103">
        <f t="shared" si="46"/>
        <v>12</v>
      </c>
      <c r="H72" s="296">
        <f t="shared" si="47"/>
        <v>38.550080000000008</v>
      </c>
      <c r="I72" s="104"/>
      <c r="J72" s="180">
        <f t="shared" si="48"/>
        <v>35</v>
      </c>
      <c r="K72" s="104">
        <f t="shared" si="32"/>
        <v>224.77500000000001</v>
      </c>
      <c r="L72" s="428">
        <f t="shared" si="33"/>
        <v>8.75</v>
      </c>
      <c r="M72" s="106">
        <f t="shared" si="49"/>
        <v>35</v>
      </c>
      <c r="N72" s="1060">
        <f t="shared" si="34"/>
        <v>56.790865384615387</v>
      </c>
      <c r="O72" s="101">
        <f>LOOKUP(N72,'Circuit Breakers'!$B$5:$B$38,'Circuit Breakers'!$C$5:$C$38)</f>
        <v>60</v>
      </c>
      <c r="P72" s="262">
        <f t="shared" si="35"/>
        <v>30</v>
      </c>
      <c r="Q72" s="1057">
        <f t="shared" si="50"/>
        <v>292.20750000000004</v>
      </c>
      <c r="R72" s="1065">
        <f>LOOKUP(Q72,'Circuit Breakers'!$B$5:$B$38,'Circuit Breakers'!$C$5:$C$38)</f>
        <v>300</v>
      </c>
      <c r="S72" s="106">
        <f t="shared" si="36"/>
        <v>30</v>
      </c>
      <c r="T72" s="104">
        <f t="shared" si="51"/>
        <v>195</v>
      </c>
      <c r="U72" s="477">
        <f>LOOKUP(T72,'Circuit Breakers'!$B$5:$B$38,'Circuit Breakers'!$C$5:$C$38)</f>
        <v>200</v>
      </c>
      <c r="V72" s="106">
        <f t="shared" si="52"/>
        <v>15</v>
      </c>
      <c r="W72" s="104">
        <f t="shared" si="37"/>
        <v>48.377403846153847</v>
      </c>
      <c r="X72" s="101" t="str">
        <f>LOOKUP(W72,'Wire-Cables Ampacities'!$B$5:$B$35,'Wire-Cables Ampacities'!$C$5:$C$35)</f>
        <v>#8</v>
      </c>
      <c r="Y72" s="106">
        <f t="shared" si="53"/>
        <v>10</v>
      </c>
      <c r="Z72" s="104">
        <f t="shared" si="38"/>
        <v>247.25250000000003</v>
      </c>
      <c r="AA72" s="101" t="str">
        <f>LOOKUP(Z72,'Wire-Cables Ampacities'!$B$5:$B$35,'Wire-Cables Ampacities'!$C$5:$C$35)</f>
        <v>#3/0</v>
      </c>
      <c r="AB72" s="106">
        <f t="shared" si="54"/>
        <v>10</v>
      </c>
      <c r="AC72" s="104">
        <f t="shared" si="39"/>
        <v>165</v>
      </c>
      <c r="AD72" s="101" t="str">
        <f>LOOKUP(AC72,'Wire-Cables Ampacities'!$B$5:$B$35,'Wire-Cables Ampacities'!$C$5:$C$35)</f>
        <v>#1</v>
      </c>
      <c r="AE72" s="107">
        <f t="shared" si="55"/>
        <v>0.73750000000000004</v>
      </c>
      <c r="AF72" s="105">
        <f t="shared" si="40"/>
        <v>2516.4547250000001</v>
      </c>
      <c r="AG72" s="98">
        <f t="shared" si="56"/>
        <v>40</v>
      </c>
      <c r="AH72" s="99">
        <f t="shared" si="56"/>
        <v>55</v>
      </c>
      <c r="AI72" s="106">
        <f t="shared" si="57"/>
        <v>20</v>
      </c>
      <c r="AJ72" s="105">
        <f t="shared" si="58"/>
        <v>103.83999999999999</v>
      </c>
      <c r="AK72" s="272">
        <f t="shared" si="41"/>
        <v>1.1537777777777776</v>
      </c>
      <c r="AL72" s="278">
        <f t="shared" si="42"/>
        <v>0.57688888888888878</v>
      </c>
      <c r="AM72" s="109">
        <v>450</v>
      </c>
      <c r="AN72" s="104">
        <v>24</v>
      </c>
      <c r="AO72" s="110">
        <v>30</v>
      </c>
      <c r="AP72" s="110">
        <v>16</v>
      </c>
      <c r="AQ72" s="282">
        <f t="shared" si="59"/>
        <v>19.333333333333332</v>
      </c>
      <c r="AR72" s="288">
        <f t="shared" si="60"/>
        <v>2153.9547250000001</v>
      </c>
      <c r="AS72" s="93"/>
      <c r="AT72" s="4"/>
    </row>
    <row r="73" spans="1:46">
      <c r="A73" s="72">
        <f t="shared" si="43"/>
        <v>12</v>
      </c>
      <c r="B73" s="61">
        <v>2.4500000000000002</v>
      </c>
      <c r="C73" s="301">
        <f t="shared" si="44"/>
        <v>29.400000000000002</v>
      </c>
      <c r="D73" s="68">
        <v>175</v>
      </c>
      <c r="E73" s="66">
        <f t="shared" si="31"/>
        <v>480</v>
      </c>
      <c r="F73" s="45">
        <f t="shared" si="45"/>
        <v>21.875</v>
      </c>
      <c r="G73" s="94">
        <f t="shared" si="46"/>
        <v>12</v>
      </c>
      <c r="H73" s="295">
        <f t="shared" si="47"/>
        <v>38.550080000000008</v>
      </c>
      <c r="I73" s="25"/>
      <c r="J73" s="52">
        <f t="shared" si="48"/>
        <v>35</v>
      </c>
      <c r="K73" s="25">
        <f t="shared" si="32"/>
        <v>262.23750000000007</v>
      </c>
      <c r="L73" s="427">
        <f t="shared" si="33"/>
        <v>10.5</v>
      </c>
      <c r="M73" s="64">
        <f t="shared" si="49"/>
        <v>35</v>
      </c>
      <c r="N73" s="838">
        <f t="shared" si="34"/>
        <v>29.531250000000004</v>
      </c>
      <c r="O73" s="68">
        <f>LOOKUP(N73,'Circuit Breakers'!$B$5:$B$38,'Circuit Breakers'!$C$5:$C$38)</f>
        <v>30</v>
      </c>
      <c r="P73" s="199">
        <f t="shared" si="35"/>
        <v>30</v>
      </c>
      <c r="Q73" s="1056">
        <f t="shared" si="50"/>
        <v>340.90875000000011</v>
      </c>
      <c r="R73" s="1064">
        <f>LOOKUP(Q73,'Circuit Breakers'!$B$5:$B$38,'Circuit Breakers'!$C$5:$C$38)</f>
        <v>350</v>
      </c>
      <c r="S73" s="64">
        <f t="shared" si="36"/>
        <v>30</v>
      </c>
      <c r="T73" s="25">
        <f t="shared" si="51"/>
        <v>227.5</v>
      </c>
      <c r="U73" s="158">
        <f>LOOKUP(T73,'Circuit Breakers'!$B$5:$B$38,'Circuit Breakers'!$C$5:$C$38)</f>
        <v>250</v>
      </c>
      <c r="V73" s="64">
        <f t="shared" si="52"/>
        <v>15</v>
      </c>
      <c r="W73" s="25">
        <f t="shared" si="37"/>
        <v>25.156249999999996</v>
      </c>
      <c r="X73" s="68" t="str">
        <f>LOOKUP(W73,'Wire-Cables Ampacities'!$B$5:$B$35,'Wire-Cables Ampacities'!$C$5:$C$35)</f>
        <v>#10</v>
      </c>
      <c r="Y73" s="64">
        <f t="shared" si="53"/>
        <v>10</v>
      </c>
      <c r="Z73" s="25">
        <f t="shared" si="38"/>
        <v>288.46125000000012</v>
      </c>
      <c r="AA73" s="68" t="str">
        <f>LOOKUP(Z73,'Wire-Cables Ampacities'!$B$5:$B$35,'Wire-Cables Ampacities'!$C$5:$C$35)</f>
        <v>#4/0</v>
      </c>
      <c r="AB73" s="64">
        <f t="shared" si="54"/>
        <v>10</v>
      </c>
      <c r="AC73" s="25">
        <f t="shared" si="39"/>
        <v>192.50000000000003</v>
      </c>
      <c r="AD73" s="68" t="str">
        <f>LOOKUP(AC73,'Wire-Cables Ampacities'!$B$5:$B$35,'Wire-Cables Ampacities'!$C$5:$C$35)</f>
        <v>#1/0</v>
      </c>
      <c r="AE73" s="81">
        <f t="shared" si="55"/>
        <v>0.875</v>
      </c>
      <c r="AF73" s="56">
        <f t="shared" si="40"/>
        <v>2985.6242499999998</v>
      </c>
      <c r="AG73" s="72">
        <f t="shared" si="56"/>
        <v>40</v>
      </c>
      <c r="AH73" s="15">
        <f t="shared" si="56"/>
        <v>55</v>
      </c>
      <c r="AI73" s="64">
        <f t="shared" si="57"/>
        <v>20</v>
      </c>
      <c r="AJ73" s="56">
        <f t="shared" si="58"/>
        <v>123.2</v>
      </c>
      <c r="AK73" s="271">
        <f t="shared" si="41"/>
        <v>1.3688888888888888</v>
      </c>
      <c r="AL73" s="277">
        <f t="shared" si="42"/>
        <v>0.68444444444444441</v>
      </c>
      <c r="AM73" s="58">
        <v>450</v>
      </c>
      <c r="AN73" s="25">
        <v>24</v>
      </c>
      <c r="AO73" s="3">
        <v>30</v>
      </c>
      <c r="AP73" s="3">
        <v>16</v>
      </c>
      <c r="AQ73" s="281">
        <f t="shared" si="59"/>
        <v>19.333333333333332</v>
      </c>
      <c r="AR73" s="287">
        <f t="shared" si="60"/>
        <v>2623.1242499999998</v>
      </c>
      <c r="AS73" s="93"/>
      <c r="AT73" s="4"/>
    </row>
    <row r="74" spans="1:46">
      <c r="A74" s="72">
        <f t="shared" si="43"/>
        <v>12</v>
      </c>
      <c r="B74" s="61">
        <v>2.4500000000000002</v>
      </c>
      <c r="C74" s="301">
        <f t="shared" si="44"/>
        <v>29.400000000000002</v>
      </c>
      <c r="D74" s="68">
        <v>200</v>
      </c>
      <c r="E74" s="66">
        <f t="shared" si="31"/>
        <v>480</v>
      </c>
      <c r="F74" s="45">
        <f t="shared" si="45"/>
        <v>25</v>
      </c>
      <c r="G74" s="94">
        <f t="shared" si="46"/>
        <v>12</v>
      </c>
      <c r="H74" s="295">
        <f t="shared" si="47"/>
        <v>38.550080000000008</v>
      </c>
      <c r="I74" s="25"/>
      <c r="J74" s="52">
        <f t="shared" si="48"/>
        <v>35</v>
      </c>
      <c r="K74" s="25">
        <f t="shared" si="32"/>
        <v>299.70000000000005</v>
      </c>
      <c r="L74" s="427">
        <f t="shared" si="33"/>
        <v>12</v>
      </c>
      <c r="M74" s="64">
        <f t="shared" si="49"/>
        <v>35</v>
      </c>
      <c r="N74" s="838">
        <f t="shared" si="34"/>
        <v>33.75</v>
      </c>
      <c r="O74" s="68">
        <f>LOOKUP(N74,'Circuit Breakers'!$B$5:$B$38,'Circuit Breakers'!$C$5:$C$38)</f>
        <v>40</v>
      </c>
      <c r="P74" s="199">
        <f t="shared" si="35"/>
        <v>30</v>
      </c>
      <c r="Q74" s="1056">
        <f t="shared" si="50"/>
        <v>389.61000000000007</v>
      </c>
      <c r="R74" s="1064">
        <f>LOOKUP(Q74,'Circuit Breakers'!$B$5:$B$38,'Circuit Breakers'!$C$5:$C$38)</f>
        <v>400</v>
      </c>
      <c r="S74" s="64">
        <f t="shared" si="36"/>
        <v>30</v>
      </c>
      <c r="T74" s="25">
        <f t="shared" si="51"/>
        <v>260</v>
      </c>
      <c r="U74" s="158">
        <f>LOOKUP(T74,'Circuit Breakers'!$B$5:$B$38,'Circuit Breakers'!$C$5:$C$38)</f>
        <v>300</v>
      </c>
      <c r="V74" s="64">
        <f t="shared" si="52"/>
        <v>15</v>
      </c>
      <c r="W74" s="25">
        <f t="shared" si="37"/>
        <v>28.749999999999996</v>
      </c>
      <c r="X74" s="68" t="str">
        <f>LOOKUP(W74,'Wire-Cables Ampacities'!$B$5:$B$35,'Wire-Cables Ampacities'!$C$5:$C$35)</f>
        <v>#10</v>
      </c>
      <c r="Y74" s="64">
        <f t="shared" si="53"/>
        <v>10</v>
      </c>
      <c r="Z74" s="25">
        <f t="shared" si="38"/>
        <v>329.67000000000007</v>
      </c>
      <c r="AA74" s="68" t="str">
        <f>LOOKUP(Z74,'Wire-Cables Ampacities'!$B$5:$B$35,'Wire-Cables Ampacities'!$C$5:$C$35)</f>
        <v>250MCM</v>
      </c>
      <c r="AB74" s="64">
        <f t="shared" si="54"/>
        <v>10</v>
      </c>
      <c r="AC74" s="25">
        <f t="shared" si="39"/>
        <v>220.00000000000003</v>
      </c>
      <c r="AD74" s="68" t="str">
        <f>LOOKUP(AC74,'Wire-Cables Ampacities'!$B$5:$B$35,'Wire-Cables Ampacities'!$C$5:$C$35)</f>
        <v>#2/0</v>
      </c>
      <c r="AE74" s="81">
        <f t="shared" si="55"/>
        <v>1.0000000000000002</v>
      </c>
      <c r="AF74" s="56">
        <f t="shared" si="40"/>
        <v>3412.1420000000007</v>
      </c>
      <c r="AG74" s="72">
        <f t="shared" si="56"/>
        <v>40</v>
      </c>
      <c r="AH74" s="15">
        <f t="shared" si="56"/>
        <v>55</v>
      </c>
      <c r="AI74" s="64">
        <f t="shared" si="57"/>
        <v>20</v>
      </c>
      <c r="AJ74" s="56">
        <f t="shared" si="58"/>
        <v>140.80000000000001</v>
      </c>
      <c r="AK74" s="271">
        <f t="shared" si="41"/>
        <v>1.5644444444444445</v>
      </c>
      <c r="AL74" s="277">
        <f t="shared" si="42"/>
        <v>0.78222222222222226</v>
      </c>
      <c r="AM74" s="58">
        <v>450</v>
      </c>
      <c r="AN74" s="25">
        <v>24</v>
      </c>
      <c r="AO74" s="3">
        <v>30</v>
      </c>
      <c r="AP74" s="3">
        <v>16</v>
      </c>
      <c r="AQ74" s="281">
        <f t="shared" si="59"/>
        <v>19.333333333333332</v>
      </c>
      <c r="AR74" s="287">
        <f t="shared" si="60"/>
        <v>3049.6420000000007</v>
      </c>
      <c r="AS74" s="93"/>
      <c r="AT74" s="4"/>
    </row>
    <row r="75" spans="1:46">
      <c r="A75" s="98">
        <f t="shared" si="43"/>
        <v>12</v>
      </c>
      <c r="B75" s="304">
        <v>2.4500000000000002</v>
      </c>
      <c r="C75" s="307">
        <f t="shared" si="44"/>
        <v>29.400000000000002</v>
      </c>
      <c r="D75" s="101">
        <v>250</v>
      </c>
      <c r="E75" s="100">
        <f t="shared" si="31"/>
        <v>480</v>
      </c>
      <c r="F75" s="102">
        <f t="shared" si="45"/>
        <v>30.208333333333332</v>
      </c>
      <c r="G75" s="103">
        <f t="shared" si="46"/>
        <v>12</v>
      </c>
      <c r="H75" s="296">
        <f t="shared" si="47"/>
        <v>38.550080000000008</v>
      </c>
      <c r="I75" s="104"/>
      <c r="J75" s="180">
        <f t="shared" si="48"/>
        <v>35</v>
      </c>
      <c r="K75" s="104">
        <f t="shared" si="32"/>
        <v>374.62500000000006</v>
      </c>
      <c r="L75" s="428">
        <f t="shared" si="33"/>
        <v>14.5</v>
      </c>
      <c r="M75" s="106">
        <f t="shared" si="49"/>
        <v>35</v>
      </c>
      <c r="N75" s="1060">
        <f t="shared" si="34"/>
        <v>40.78125</v>
      </c>
      <c r="O75" s="101">
        <f>LOOKUP(N75,'Circuit Breakers'!$B$5:$B$38,'Circuit Breakers'!$C$5:$C$38)</f>
        <v>50</v>
      </c>
      <c r="P75" s="262">
        <f t="shared" si="35"/>
        <v>30</v>
      </c>
      <c r="Q75" s="1057">
        <f t="shared" si="50"/>
        <v>487.0125000000001</v>
      </c>
      <c r="R75" s="1065">
        <f>LOOKUP(Q75,'Circuit Breakers'!$B$5:$B$38,'Circuit Breakers'!$C$5:$C$38)</f>
        <v>500</v>
      </c>
      <c r="S75" s="106">
        <f t="shared" si="36"/>
        <v>30</v>
      </c>
      <c r="T75" s="104">
        <f t="shared" si="51"/>
        <v>325</v>
      </c>
      <c r="U75" s="477">
        <f>LOOKUP(T75,'Circuit Breakers'!$B$5:$B$38,'Circuit Breakers'!$C$5:$C$38)</f>
        <v>350</v>
      </c>
      <c r="V75" s="106">
        <f t="shared" si="52"/>
        <v>15</v>
      </c>
      <c r="W75" s="104">
        <f t="shared" si="37"/>
        <v>34.739583333333329</v>
      </c>
      <c r="X75" s="101" t="str">
        <f>LOOKUP(W75,'Wire-Cables Ampacities'!$B$5:$B$35,'Wire-Cables Ampacities'!$C$5:$C$35)</f>
        <v>#10</v>
      </c>
      <c r="Y75" s="106">
        <f t="shared" si="53"/>
        <v>10</v>
      </c>
      <c r="Z75" s="104">
        <f t="shared" si="38"/>
        <v>412.08750000000009</v>
      </c>
      <c r="AA75" s="101" t="str">
        <f>LOOKUP(Z75,'Wire-Cables Ampacities'!$B$5:$B$35,'Wire-Cables Ampacities'!$C$5:$C$35)</f>
        <v>#2/0 2x</v>
      </c>
      <c r="AB75" s="106">
        <f t="shared" si="54"/>
        <v>10</v>
      </c>
      <c r="AC75" s="104">
        <f t="shared" si="39"/>
        <v>275</v>
      </c>
      <c r="AD75" s="101" t="str">
        <f>LOOKUP(AC75,'Wire-Cables Ampacities'!$B$5:$B$35,'Wire-Cables Ampacities'!$C$5:$C$35)</f>
        <v>#4/0</v>
      </c>
      <c r="AE75" s="107">
        <f t="shared" si="55"/>
        <v>1.2250000000000001</v>
      </c>
      <c r="AF75" s="105">
        <f t="shared" si="40"/>
        <v>4179.8739500000001</v>
      </c>
      <c r="AG75" s="98">
        <f t="shared" si="56"/>
        <v>40</v>
      </c>
      <c r="AH75" s="99">
        <f t="shared" si="56"/>
        <v>55</v>
      </c>
      <c r="AI75" s="106">
        <f t="shared" si="57"/>
        <v>20</v>
      </c>
      <c r="AJ75" s="105">
        <f t="shared" si="58"/>
        <v>172.48</v>
      </c>
      <c r="AK75" s="272">
        <f t="shared" si="41"/>
        <v>1.9164444444444444</v>
      </c>
      <c r="AL75" s="278">
        <f t="shared" si="42"/>
        <v>0.9582222222222222</v>
      </c>
      <c r="AM75" s="109">
        <v>450</v>
      </c>
      <c r="AN75" s="104">
        <v>24</v>
      </c>
      <c r="AO75" s="110">
        <v>30</v>
      </c>
      <c r="AP75" s="110">
        <v>16</v>
      </c>
      <c r="AQ75" s="282">
        <f t="shared" si="59"/>
        <v>19.333333333333332</v>
      </c>
      <c r="AR75" s="288">
        <f t="shared" si="60"/>
        <v>3817.3739500000001</v>
      </c>
      <c r="AS75" s="93"/>
      <c r="AT75" s="4"/>
    </row>
    <row r="76" spans="1:46">
      <c r="A76" s="72">
        <f t="shared" si="43"/>
        <v>12</v>
      </c>
      <c r="B76" s="61">
        <v>2.4500000000000002</v>
      </c>
      <c r="C76" s="301">
        <f t="shared" si="44"/>
        <v>29.400000000000002</v>
      </c>
      <c r="D76" s="68">
        <v>300</v>
      </c>
      <c r="E76" s="66">
        <f t="shared" si="31"/>
        <v>480</v>
      </c>
      <c r="F76" s="45">
        <f t="shared" si="45"/>
        <v>36.458333333333336</v>
      </c>
      <c r="G76" s="94">
        <f t="shared" si="46"/>
        <v>12</v>
      </c>
      <c r="H76" s="295">
        <f t="shared" si="47"/>
        <v>38.550080000000008</v>
      </c>
      <c r="I76" s="25"/>
      <c r="J76" s="52">
        <f t="shared" si="48"/>
        <v>35</v>
      </c>
      <c r="K76" s="25">
        <f t="shared" si="32"/>
        <v>449.55</v>
      </c>
      <c r="L76" s="427">
        <f t="shared" si="33"/>
        <v>17.5</v>
      </c>
      <c r="M76" s="64">
        <f t="shared" si="49"/>
        <v>35</v>
      </c>
      <c r="N76" s="838">
        <f t="shared" si="34"/>
        <v>49.218750000000007</v>
      </c>
      <c r="O76" s="68">
        <f>LOOKUP(N76,'Circuit Breakers'!$B$5:$B$38,'Circuit Breakers'!$C$5:$C$38)</f>
        <v>50</v>
      </c>
      <c r="P76" s="199">
        <f t="shared" si="35"/>
        <v>30</v>
      </c>
      <c r="Q76" s="1056">
        <f t="shared" si="50"/>
        <v>584.41500000000008</v>
      </c>
      <c r="R76" s="1064">
        <f>LOOKUP(Q76,'Circuit Breakers'!$B$5:$B$38,'Circuit Breakers'!$C$5:$C$38)</f>
        <v>600</v>
      </c>
      <c r="S76" s="64">
        <f t="shared" si="36"/>
        <v>30</v>
      </c>
      <c r="T76" s="25">
        <f t="shared" si="51"/>
        <v>390</v>
      </c>
      <c r="U76" s="158">
        <f>LOOKUP(T76,'Circuit Breakers'!$B$5:$B$38,'Circuit Breakers'!$C$5:$C$38)</f>
        <v>400</v>
      </c>
      <c r="V76" s="64">
        <f t="shared" si="52"/>
        <v>15</v>
      </c>
      <c r="W76" s="25">
        <f t="shared" si="37"/>
        <v>41.927083333333336</v>
      </c>
      <c r="X76" s="68" t="str">
        <f>LOOKUP(W76,'Wire-Cables Ampacities'!$B$5:$B$35,'Wire-Cables Ampacities'!$C$5:$C$35)</f>
        <v>#8</v>
      </c>
      <c r="Y76" s="64">
        <f t="shared" si="53"/>
        <v>10</v>
      </c>
      <c r="Z76" s="25">
        <f t="shared" si="38"/>
        <v>494.50500000000005</v>
      </c>
      <c r="AA76" s="68" t="str">
        <f>LOOKUP(Z76,'Wire-Cables Ampacities'!$B$5:$B$35,'Wire-Cables Ampacities'!$C$5:$C$35)</f>
        <v>#3/0 2x</v>
      </c>
      <c r="AB76" s="64">
        <f t="shared" si="54"/>
        <v>10</v>
      </c>
      <c r="AC76" s="25">
        <f t="shared" si="39"/>
        <v>330</v>
      </c>
      <c r="AD76" s="68" t="str">
        <f>LOOKUP(AC76,'Wire-Cables Ampacities'!$B$5:$B$35,'Wire-Cables Ampacities'!$C$5:$C$35)</f>
        <v>250MCM</v>
      </c>
      <c r="AE76" s="81">
        <f t="shared" si="55"/>
        <v>1.4750000000000001</v>
      </c>
      <c r="AF76" s="56">
        <f t="shared" si="40"/>
        <v>5032.9094500000001</v>
      </c>
      <c r="AG76" s="72">
        <f t="shared" si="56"/>
        <v>40</v>
      </c>
      <c r="AH76" s="15">
        <f t="shared" si="56"/>
        <v>55</v>
      </c>
      <c r="AI76" s="64">
        <f t="shared" si="57"/>
        <v>20</v>
      </c>
      <c r="AJ76" s="56">
        <f t="shared" si="58"/>
        <v>207.67999999999998</v>
      </c>
      <c r="AK76" s="271">
        <f t="shared" si="41"/>
        <v>2.3075555555555551</v>
      </c>
      <c r="AL76" s="277">
        <f t="shared" si="42"/>
        <v>1.1537777777777776</v>
      </c>
      <c r="AM76" s="58">
        <v>450</v>
      </c>
      <c r="AN76" s="25">
        <v>24</v>
      </c>
      <c r="AO76" s="3">
        <v>30</v>
      </c>
      <c r="AP76" s="3">
        <v>16</v>
      </c>
      <c r="AQ76" s="281">
        <f t="shared" si="59"/>
        <v>19.333333333333332</v>
      </c>
      <c r="AR76" s="287">
        <f t="shared" si="60"/>
        <v>4670.4094500000001</v>
      </c>
      <c r="AS76" s="93"/>
      <c r="AT76" s="4"/>
    </row>
    <row r="77" spans="1:46">
      <c r="A77" s="72">
        <f t="shared" si="43"/>
        <v>12</v>
      </c>
      <c r="B77" s="61">
        <v>2.4500000000000002</v>
      </c>
      <c r="C77" s="301">
        <f t="shared" si="44"/>
        <v>29.400000000000002</v>
      </c>
      <c r="D77" s="68">
        <v>350</v>
      </c>
      <c r="E77" s="66">
        <f t="shared" si="31"/>
        <v>480</v>
      </c>
      <c r="F77" s="45">
        <f t="shared" si="45"/>
        <v>43.75</v>
      </c>
      <c r="G77" s="94">
        <f t="shared" si="46"/>
        <v>12</v>
      </c>
      <c r="H77" s="295">
        <f t="shared" si="47"/>
        <v>38.550080000000008</v>
      </c>
      <c r="I77" s="25"/>
      <c r="J77" s="52">
        <f t="shared" si="48"/>
        <v>35</v>
      </c>
      <c r="K77" s="25">
        <f t="shared" si="32"/>
        <v>524.47500000000014</v>
      </c>
      <c r="L77" s="427">
        <f t="shared" si="33"/>
        <v>21</v>
      </c>
      <c r="M77" s="64">
        <f t="shared" si="49"/>
        <v>35</v>
      </c>
      <c r="N77" s="838">
        <f t="shared" si="34"/>
        <v>59.062500000000007</v>
      </c>
      <c r="O77" s="68">
        <f>LOOKUP(N77,'Circuit Breakers'!$B$5:$B$38,'Circuit Breakers'!$C$5:$C$38)</f>
        <v>60</v>
      </c>
      <c r="P77" s="199">
        <f t="shared" si="35"/>
        <v>30</v>
      </c>
      <c r="Q77" s="1056">
        <f t="shared" si="50"/>
        <v>681.81750000000022</v>
      </c>
      <c r="R77" s="1064">
        <f>LOOKUP(Q77,'Circuit Breakers'!$B$5:$B$38,'Circuit Breakers'!$C$5:$C$38)</f>
        <v>700</v>
      </c>
      <c r="S77" s="64">
        <f t="shared" si="36"/>
        <v>30</v>
      </c>
      <c r="T77" s="25">
        <f t="shared" si="51"/>
        <v>455</v>
      </c>
      <c r="U77" s="158">
        <f>LOOKUP(T77,'Circuit Breakers'!$B$5:$B$38,'Circuit Breakers'!$C$5:$C$38)</f>
        <v>500</v>
      </c>
      <c r="V77" s="64">
        <f t="shared" si="52"/>
        <v>15</v>
      </c>
      <c r="W77" s="25">
        <f t="shared" si="37"/>
        <v>50.312499999999993</v>
      </c>
      <c r="X77" s="68" t="str">
        <f>LOOKUP(W77,'Wire-Cables Ampacities'!$B$5:$B$35,'Wire-Cables Ampacities'!$C$5:$C$35)</f>
        <v>#8</v>
      </c>
      <c r="Y77" s="64">
        <f t="shared" si="53"/>
        <v>10</v>
      </c>
      <c r="Z77" s="25">
        <f t="shared" si="38"/>
        <v>576.92250000000024</v>
      </c>
      <c r="AA77" s="68" t="str">
        <f>LOOKUP(Z77,'Wire-Cables Ampacities'!$B$5:$B$35,'Wire-Cables Ampacities'!$C$5:$C$35)</f>
        <v>#4/0 2x</v>
      </c>
      <c r="AB77" s="64">
        <f t="shared" si="54"/>
        <v>10</v>
      </c>
      <c r="AC77" s="25">
        <f t="shared" si="39"/>
        <v>385.00000000000006</v>
      </c>
      <c r="AD77" s="68" t="str">
        <f>LOOKUP(AC77,'Wire-Cables Ampacities'!$B$5:$B$35,'Wire-Cables Ampacities'!$C$5:$C$35)</f>
        <v>#2/0 2x</v>
      </c>
      <c r="AE77" s="81">
        <f t="shared" si="55"/>
        <v>1.75</v>
      </c>
      <c r="AF77" s="56">
        <f t="shared" si="40"/>
        <v>5971.2484999999997</v>
      </c>
      <c r="AG77" s="72">
        <f t="shared" si="56"/>
        <v>40</v>
      </c>
      <c r="AH77" s="15">
        <f t="shared" si="56"/>
        <v>55</v>
      </c>
      <c r="AI77" s="64">
        <f t="shared" si="57"/>
        <v>20</v>
      </c>
      <c r="AJ77" s="56">
        <f t="shared" si="58"/>
        <v>246.4</v>
      </c>
      <c r="AK77" s="271">
        <f t="shared" si="41"/>
        <v>2.7377777777777776</v>
      </c>
      <c r="AL77" s="277">
        <f t="shared" si="42"/>
        <v>1.3688888888888888</v>
      </c>
      <c r="AM77" s="58">
        <v>450</v>
      </c>
      <c r="AN77" s="25">
        <v>24</v>
      </c>
      <c r="AO77" s="3">
        <v>30</v>
      </c>
      <c r="AP77" s="3">
        <v>16</v>
      </c>
      <c r="AQ77" s="281">
        <f t="shared" si="59"/>
        <v>19.333333333333332</v>
      </c>
      <c r="AR77" s="287">
        <f t="shared" si="60"/>
        <v>5608.7484999999997</v>
      </c>
      <c r="AS77" s="93"/>
      <c r="AT77" s="4"/>
    </row>
    <row r="78" spans="1:46">
      <c r="A78" s="98">
        <f t="shared" si="43"/>
        <v>12</v>
      </c>
      <c r="B78" s="304">
        <v>2.4500000000000002</v>
      </c>
      <c r="C78" s="307">
        <f t="shared" si="44"/>
        <v>29.400000000000002</v>
      </c>
      <c r="D78" s="101">
        <v>400</v>
      </c>
      <c r="E78" s="100">
        <f t="shared" si="31"/>
        <v>480</v>
      </c>
      <c r="F78" s="102">
        <f t="shared" si="45"/>
        <v>50</v>
      </c>
      <c r="G78" s="103">
        <f t="shared" si="46"/>
        <v>12</v>
      </c>
      <c r="H78" s="296">
        <f t="shared" si="47"/>
        <v>38.550080000000008</v>
      </c>
      <c r="I78" s="104"/>
      <c r="J78" s="180">
        <f t="shared" si="48"/>
        <v>35</v>
      </c>
      <c r="K78" s="104">
        <f t="shared" si="32"/>
        <v>599.40000000000009</v>
      </c>
      <c r="L78" s="428">
        <f t="shared" si="33"/>
        <v>24</v>
      </c>
      <c r="M78" s="106">
        <f t="shared" si="49"/>
        <v>35</v>
      </c>
      <c r="N78" s="1060">
        <f t="shared" si="34"/>
        <v>67.5</v>
      </c>
      <c r="O78" s="101">
        <f>LOOKUP(N78,'Circuit Breakers'!$B$5:$B$38,'Circuit Breakers'!$C$5:$C$38)</f>
        <v>70</v>
      </c>
      <c r="P78" s="262">
        <f t="shared" si="35"/>
        <v>30</v>
      </c>
      <c r="Q78" s="1057">
        <f t="shared" si="50"/>
        <v>779.22000000000014</v>
      </c>
      <c r="R78" s="1065">
        <f>LOOKUP(Q78,'Circuit Breakers'!$B$5:$B$38,'Circuit Breakers'!$C$5:$C$38)</f>
        <v>800</v>
      </c>
      <c r="S78" s="106">
        <f t="shared" si="36"/>
        <v>30</v>
      </c>
      <c r="T78" s="104">
        <f t="shared" si="51"/>
        <v>520</v>
      </c>
      <c r="U78" s="477">
        <f>LOOKUP(T78,'Circuit Breakers'!$B$5:$B$38,'Circuit Breakers'!$C$5:$C$38)</f>
        <v>600</v>
      </c>
      <c r="V78" s="106">
        <f t="shared" si="52"/>
        <v>15</v>
      </c>
      <c r="W78" s="104">
        <f t="shared" si="37"/>
        <v>57.499999999999993</v>
      </c>
      <c r="X78" s="101" t="str">
        <f>LOOKUP(W78,'Wire-Cables Ampacities'!$B$5:$B$35,'Wire-Cables Ampacities'!$C$5:$C$35)</f>
        <v>#8</v>
      </c>
      <c r="Y78" s="106">
        <f t="shared" si="53"/>
        <v>10</v>
      </c>
      <c r="Z78" s="104">
        <f t="shared" si="38"/>
        <v>659.34000000000015</v>
      </c>
      <c r="AA78" s="101" t="str">
        <f>LOOKUP(Z78,'Wire-Cables Ampacities'!$B$5:$B$35,'Wire-Cables Ampacities'!$C$5:$C$35)</f>
        <v>300MCM 2x</v>
      </c>
      <c r="AB78" s="106">
        <f t="shared" si="54"/>
        <v>10</v>
      </c>
      <c r="AC78" s="104">
        <f t="shared" si="39"/>
        <v>440.00000000000006</v>
      </c>
      <c r="AD78" s="101" t="str">
        <f>LOOKUP(AC78,'Wire-Cables Ampacities'!$B$5:$B$35,'Wire-Cables Ampacities'!$C$5:$C$35)</f>
        <v>#3/0 2x</v>
      </c>
      <c r="AE78" s="107">
        <f t="shared" si="55"/>
        <v>2.0000000000000004</v>
      </c>
      <c r="AF78" s="105">
        <f t="shared" si="40"/>
        <v>6824.2840000000015</v>
      </c>
      <c r="AG78" s="98">
        <f t="shared" si="56"/>
        <v>40</v>
      </c>
      <c r="AH78" s="99">
        <f t="shared" si="56"/>
        <v>55</v>
      </c>
      <c r="AI78" s="106">
        <f t="shared" si="57"/>
        <v>20</v>
      </c>
      <c r="AJ78" s="105">
        <f t="shared" si="58"/>
        <v>281.60000000000002</v>
      </c>
      <c r="AK78" s="272">
        <f t="shared" si="41"/>
        <v>3.1288888888888891</v>
      </c>
      <c r="AL78" s="278">
        <f t="shared" si="42"/>
        <v>1.5644444444444445</v>
      </c>
      <c r="AM78" s="109">
        <v>450</v>
      </c>
      <c r="AN78" s="104">
        <v>24</v>
      </c>
      <c r="AO78" s="110">
        <v>30</v>
      </c>
      <c r="AP78" s="110">
        <v>16</v>
      </c>
      <c r="AQ78" s="282">
        <f t="shared" si="59"/>
        <v>19.333333333333332</v>
      </c>
      <c r="AR78" s="288">
        <f t="shared" si="60"/>
        <v>6461.7840000000015</v>
      </c>
      <c r="AS78" s="93"/>
      <c r="AT78" s="4"/>
    </row>
    <row r="79" spans="1:46">
      <c r="A79" s="72">
        <f t="shared" si="43"/>
        <v>12</v>
      </c>
      <c r="B79" s="61">
        <v>2.4500000000000002</v>
      </c>
      <c r="C79" s="301">
        <f t="shared" si="44"/>
        <v>29.400000000000002</v>
      </c>
      <c r="D79" s="68">
        <v>450</v>
      </c>
      <c r="E79" s="66">
        <f t="shared" si="31"/>
        <v>480</v>
      </c>
      <c r="F79" s="45">
        <f t="shared" si="45"/>
        <v>54.166666666666664</v>
      </c>
      <c r="G79" s="94">
        <f t="shared" si="46"/>
        <v>12</v>
      </c>
      <c r="H79" s="295">
        <f t="shared" si="47"/>
        <v>38.550080000000008</v>
      </c>
      <c r="I79" s="25"/>
      <c r="J79" s="52">
        <f t="shared" si="48"/>
        <v>35</v>
      </c>
      <c r="K79" s="25">
        <f t="shared" si="32"/>
        <v>674.32500000000005</v>
      </c>
      <c r="L79" s="427">
        <f t="shared" si="33"/>
        <v>26</v>
      </c>
      <c r="M79" s="64">
        <f t="shared" si="49"/>
        <v>35</v>
      </c>
      <c r="N79" s="838">
        <f t="shared" si="34"/>
        <v>73.125</v>
      </c>
      <c r="O79" s="68">
        <f>LOOKUP(N79,'Circuit Breakers'!$B$5:$B$38,'Circuit Breakers'!$C$5:$C$38)</f>
        <v>80</v>
      </c>
      <c r="P79" s="199">
        <f t="shared" si="35"/>
        <v>30</v>
      </c>
      <c r="Q79" s="1056">
        <f t="shared" si="50"/>
        <v>876.62250000000006</v>
      </c>
      <c r="R79" s="1064">
        <f>LOOKUP(Q79,'Circuit Breakers'!$B$5:$B$38,'Circuit Breakers'!$C$5:$C$38)</f>
        <v>900</v>
      </c>
      <c r="S79" s="64">
        <f t="shared" si="36"/>
        <v>30</v>
      </c>
      <c r="T79" s="25">
        <f t="shared" si="51"/>
        <v>585</v>
      </c>
      <c r="U79" s="158">
        <f>LOOKUP(T79,'Circuit Breakers'!$B$5:$B$38,'Circuit Breakers'!$C$5:$C$38)</f>
        <v>600</v>
      </c>
      <c r="V79" s="64">
        <f t="shared" si="52"/>
        <v>15</v>
      </c>
      <c r="W79" s="25">
        <f t="shared" si="37"/>
        <v>62.291666666666657</v>
      </c>
      <c r="X79" s="68" t="str">
        <f>LOOKUP(W79,'Wire-Cables Ampacities'!$B$5:$B$35,'Wire-Cables Ampacities'!$C$5:$C$35)</f>
        <v>#6</v>
      </c>
      <c r="Y79" s="64">
        <f t="shared" si="53"/>
        <v>10</v>
      </c>
      <c r="Z79" s="25">
        <f t="shared" si="38"/>
        <v>741.75750000000016</v>
      </c>
      <c r="AA79" s="68" t="str">
        <f>LOOKUP(Z79,'Wire-Cables Ampacities'!$B$5:$B$35,'Wire-Cables Ampacities'!$C$5:$C$35)</f>
        <v>Buss</v>
      </c>
      <c r="AB79" s="64">
        <f t="shared" si="54"/>
        <v>10</v>
      </c>
      <c r="AC79" s="25">
        <f t="shared" si="39"/>
        <v>495.00000000000006</v>
      </c>
      <c r="AD79" s="68" t="str">
        <f>LOOKUP(AC79,'Wire-Cables Ampacities'!$B$5:$B$35,'Wire-Cables Ampacities'!$C$5:$C$35)</f>
        <v>#3/0 2x</v>
      </c>
      <c r="AE79" s="81">
        <f t="shared" si="55"/>
        <v>2.2000000000000002</v>
      </c>
      <c r="AF79" s="56">
        <f t="shared" si="40"/>
        <v>7506.7124000000003</v>
      </c>
      <c r="AG79" s="72">
        <f t="shared" si="56"/>
        <v>40</v>
      </c>
      <c r="AH79" s="15">
        <f t="shared" si="56"/>
        <v>55</v>
      </c>
      <c r="AI79" s="64">
        <f t="shared" si="57"/>
        <v>20</v>
      </c>
      <c r="AJ79" s="56">
        <f t="shared" si="58"/>
        <v>309.76000000000005</v>
      </c>
      <c r="AK79" s="271">
        <f t="shared" si="41"/>
        <v>3.4417777777777783</v>
      </c>
      <c r="AL79" s="277">
        <f t="shared" si="42"/>
        <v>1.7208888888888891</v>
      </c>
      <c r="AM79" s="58">
        <v>450</v>
      </c>
      <c r="AN79" s="25">
        <v>24</v>
      </c>
      <c r="AO79" s="3">
        <v>30</v>
      </c>
      <c r="AP79" s="3">
        <v>16</v>
      </c>
      <c r="AQ79" s="281">
        <f t="shared" si="59"/>
        <v>19.333333333333332</v>
      </c>
      <c r="AR79" s="287">
        <f t="shared" si="60"/>
        <v>7144.2124000000003</v>
      </c>
      <c r="AS79" s="93"/>
      <c r="AT79" s="4"/>
    </row>
    <row r="80" spans="1:46">
      <c r="A80" s="72">
        <f t="shared" si="43"/>
        <v>12</v>
      </c>
      <c r="B80" s="61">
        <v>2.4500000000000002</v>
      </c>
      <c r="C80" s="301">
        <f t="shared" si="44"/>
        <v>29.400000000000002</v>
      </c>
      <c r="D80" s="68">
        <v>500</v>
      </c>
      <c r="E80" s="66">
        <f t="shared" si="31"/>
        <v>480</v>
      </c>
      <c r="F80" s="45">
        <f t="shared" si="45"/>
        <v>60.416666666666664</v>
      </c>
      <c r="G80" s="94">
        <f t="shared" si="46"/>
        <v>12</v>
      </c>
      <c r="H80" s="295">
        <f t="shared" si="47"/>
        <v>38.550080000000008</v>
      </c>
      <c r="I80" s="25"/>
      <c r="J80" s="52">
        <f t="shared" si="48"/>
        <v>35</v>
      </c>
      <c r="K80" s="25">
        <f t="shared" si="32"/>
        <v>749.25000000000011</v>
      </c>
      <c r="L80" s="427">
        <f t="shared" si="33"/>
        <v>29</v>
      </c>
      <c r="M80" s="64">
        <f t="shared" si="49"/>
        <v>35</v>
      </c>
      <c r="N80" s="838">
        <f t="shared" si="34"/>
        <v>81.5625</v>
      </c>
      <c r="O80" s="68">
        <f>LOOKUP(N80,'Circuit Breakers'!$B$5:$B$38,'Circuit Breakers'!$C$5:$C$38)</f>
        <v>90</v>
      </c>
      <c r="P80" s="199">
        <f t="shared" si="35"/>
        <v>30</v>
      </c>
      <c r="Q80" s="1056">
        <f t="shared" si="50"/>
        <v>974.0250000000002</v>
      </c>
      <c r="R80" s="1064">
        <f>LOOKUP(Q80,'Circuit Breakers'!$B$5:$B$38,'Circuit Breakers'!$C$5:$C$38)</f>
        <v>1000</v>
      </c>
      <c r="S80" s="64">
        <f t="shared" si="36"/>
        <v>30</v>
      </c>
      <c r="T80" s="25">
        <f t="shared" si="51"/>
        <v>650</v>
      </c>
      <c r="U80" s="158">
        <f>LOOKUP(T80,'Circuit Breakers'!$B$5:$B$38,'Circuit Breakers'!$C$5:$C$38)</f>
        <v>700</v>
      </c>
      <c r="V80" s="64">
        <f t="shared" si="52"/>
        <v>15</v>
      </c>
      <c r="W80" s="25">
        <f t="shared" si="37"/>
        <v>69.479166666666657</v>
      </c>
      <c r="X80" s="68" t="str">
        <f>LOOKUP(W80,'Wire-Cables Ampacities'!$B$5:$B$35,'Wire-Cables Ampacities'!$C$5:$C$35)</f>
        <v>#6</v>
      </c>
      <c r="Y80" s="64">
        <f t="shared" si="53"/>
        <v>10</v>
      </c>
      <c r="Z80" s="25">
        <f t="shared" si="38"/>
        <v>824.17500000000018</v>
      </c>
      <c r="AA80" s="68" t="str">
        <f>LOOKUP(Z80,'Wire-Cables Ampacities'!$B$5:$B$35,'Wire-Cables Ampacities'!$C$5:$C$35)</f>
        <v>Buss</v>
      </c>
      <c r="AB80" s="64">
        <f t="shared" si="54"/>
        <v>10</v>
      </c>
      <c r="AC80" s="25">
        <f t="shared" si="39"/>
        <v>550</v>
      </c>
      <c r="AD80" s="68" t="str">
        <f>LOOKUP(AC80,'Wire-Cables Ampacities'!$B$5:$B$35,'Wire-Cables Ampacities'!$C$5:$C$35)</f>
        <v>#4/0 2x</v>
      </c>
      <c r="AE80" s="81">
        <f t="shared" si="55"/>
        <v>2.4500000000000002</v>
      </c>
      <c r="AF80" s="56">
        <f t="shared" si="40"/>
        <v>8359.7479000000003</v>
      </c>
      <c r="AG80" s="72">
        <f t="shared" si="56"/>
        <v>40</v>
      </c>
      <c r="AH80" s="15">
        <f t="shared" si="56"/>
        <v>55</v>
      </c>
      <c r="AI80" s="64">
        <f t="shared" si="57"/>
        <v>20</v>
      </c>
      <c r="AJ80" s="56">
        <f t="shared" si="58"/>
        <v>344.96</v>
      </c>
      <c r="AK80" s="271">
        <f t="shared" si="41"/>
        <v>3.8328888888888888</v>
      </c>
      <c r="AL80" s="277">
        <f t="shared" si="42"/>
        <v>1.9164444444444444</v>
      </c>
      <c r="AM80" s="58">
        <v>450</v>
      </c>
      <c r="AN80" s="25">
        <v>24</v>
      </c>
      <c r="AO80" s="3">
        <v>30</v>
      </c>
      <c r="AP80" s="3">
        <v>16</v>
      </c>
      <c r="AQ80" s="281">
        <f t="shared" si="59"/>
        <v>19.333333333333332</v>
      </c>
      <c r="AR80" s="287">
        <f t="shared" si="60"/>
        <v>7997.2479000000003</v>
      </c>
      <c r="AS80" s="93"/>
      <c r="AT80" s="4"/>
    </row>
    <row r="81" spans="1:46">
      <c r="A81" s="98">
        <f t="shared" si="43"/>
        <v>12</v>
      </c>
      <c r="B81" s="304">
        <v>2.4500000000000002</v>
      </c>
      <c r="C81" s="307">
        <f t="shared" si="44"/>
        <v>29.400000000000002</v>
      </c>
      <c r="D81" s="101">
        <v>600</v>
      </c>
      <c r="E81" s="100">
        <f t="shared" si="31"/>
        <v>480</v>
      </c>
      <c r="F81" s="102">
        <f t="shared" si="45"/>
        <v>72.916666666666671</v>
      </c>
      <c r="G81" s="103">
        <f t="shared" si="46"/>
        <v>12</v>
      </c>
      <c r="H81" s="296">
        <f t="shared" si="47"/>
        <v>38.550080000000008</v>
      </c>
      <c r="I81" s="104"/>
      <c r="J81" s="180">
        <f t="shared" si="48"/>
        <v>35</v>
      </c>
      <c r="K81" s="104">
        <f t="shared" si="32"/>
        <v>899.1</v>
      </c>
      <c r="L81" s="428">
        <f t="shared" si="33"/>
        <v>35</v>
      </c>
      <c r="M81" s="106">
        <f t="shared" si="49"/>
        <v>35</v>
      </c>
      <c r="N81" s="1060">
        <f t="shared" si="34"/>
        <v>98.437500000000014</v>
      </c>
      <c r="O81" s="101">
        <f>LOOKUP(N81,'Circuit Breakers'!$B$5:$B$38,'Circuit Breakers'!$C$5:$C$38)</f>
        <v>100</v>
      </c>
      <c r="P81" s="262">
        <f t="shared" si="35"/>
        <v>30</v>
      </c>
      <c r="Q81" s="1057">
        <f t="shared" si="50"/>
        <v>1168.8300000000002</v>
      </c>
      <c r="R81" s="1065">
        <f>LOOKUP(Q81,'Circuit Breakers'!$B$5:$B$38,'Circuit Breakers'!$C$5:$C$38)</f>
        <v>1200</v>
      </c>
      <c r="S81" s="106">
        <f t="shared" si="36"/>
        <v>30</v>
      </c>
      <c r="T81" s="104">
        <f t="shared" si="51"/>
        <v>780</v>
      </c>
      <c r="U81" s="477">
        <f>LOOKUP(T81,'Circuit Breakers'!$B$5:$B$38,'Circuit Breakers'!$C$5:$C$38)</f>
        <v>800</v>
      </c>
      <c r="V81" s="106">
        <f t="shared" si="52"/>
        <v>15</v>
      </c>
      <c r="W81" s="104">
        <f t="shared" si="37"/>
        <v>83.854166666666671</v>
      </c>
      <c r="X81" s="101" t="str">
        <f>LOOKUP(W81,'Wire-Cables Ampacities'!$B$5:$B$35,'Wire-Cables Ampacities'!$C$5:$C$35)</f>
        <v>#4</v>
      </c>
      <c r="Y81" s="106">
        <f t="shared" si="53"/>
        <v>10</v>
      </c>
      <c r="Z81" s="104">
        <f t="shared" si="38"/>
        <v>989.0100000000001</v>
      </c>
      <c r="AA81" s="101" t="str">
        <f>LOOKUP(Z81,'Wire-Cables Ampacities'!$B$5:$B$35,'Wire-Cables Ampacities'!$C$5:$C$35)</f>
        <v>Buss</v>
      </c>
      <c r="AB81" s="106">
        <f t="shared" si="54"/>
        <v>10</v>
      </c>
      <c r="AC81" s="104">
        <f t="shared" si="39"/>
        <v>660</v>
      </c>
      <c r="AD81" s="101" t="str">
        <f>LOOKUP(AC81,'Wire-Cables Ampacities'!$B$5:$B$35,'Wire-Cables Ampacities'!$C$5:$C$35)</f>
        <v>300MCM 2x</v>
      </c>
      <c r="AE81" s="107">
        <f t="shared" si="55"/>
        <v>2.95</v>
      </c>
      <c r="AF81" s="105">
        <f t="shared" si="40"/>
        <v>10065.8189</v>
      </c>
      <c r="AG81" s="98">
        <f t="shared" si="56"/>
        <v>40</v>
      </c>
      <c r="AH81" s="99">
        <f t="shared" si="56"/>
        <v>55</v>
      </c>
      <c r="AI81" s="106">
        <f t="shared" si="57"/>
        <v>20</v>
      </c>
      <c r="AJ81" s="105">
        <f t="shared" si="58"/>
        <v>415.35999999999996</v>
      </c>
      <c r="AK81" s="272">
        <f t="shared" si="41"/>
        <v>4.6151111111111103</v>
      </c>
      <c r="AL81" s="278">
        <f t="shared" si="42"/>
        <v>2.3075555555555551</v>
      </c>
      <c r="AM81" s="109">
        <v>450</v>
      </c>
      <c r="AN81" s="104">
        <v>24</v>
      </c>
      <c r="AO81" s="110">
        <v>30</v>
      </c>
      <c r="AP81" s="110">
        <v>16</v>
      </c>
      <c r="AQ81" s="282">
        <f t="shared" si="59"/>
        <v>19.333333333333332</v>
      </c>
      <c r="AR81" s="288">
        <f t="shared" si="60"/>
        <v>9703.3189000000002</v>
      </c>
      <c r="AS81" s="93"/>
      <c r="AT81" s="4"/>
    </row>
    <row r="82" spans="1:46">
      <c r="A82" s="72">
        <f t="shared" si="43"/>
        <v>12</v>
      </c>
      <c r="B82" s="61">
        <v>2.4500000000000002</v>
      </c>
      <c r="C82" s="301">
        <f t="shared" si="44"/>
        <v>29.400000000000002</v>
      </c>
      <c r="D82" s="68">
        <v>700</v>
      </c>
      <c r="E82" s="66">
        <f t="shared" si="31"/>
        <v>480</v>
      </c>
      <c r="F82" s="45">
        <f t="shared" si="45"/>
        <v>85.416666666666671</v>
      </c>
      <c r="G82" s="94">
        <f t="shared" si="46"/>
        <v>12</v>
      </c>
      <c r="H82" s="295">
        <f t="shared" si="47"/>
        <v>38.550080000000008</v>
      </c>
      <c r="I82" s="25"/>
      <c r="J82" s="52">
        <f t="shared" si="48"/>
        <v>35</v>
      </c>
      <c r="K82" s="25">
        <f t="shared" si="32"/>
        <v>1048.9500000000003</v>
      </c>
      <c r="L82" s="427">
        <f t="shared" si="33"/>
        <v>41</v>
      </c>
      <c r="M82" s="64">
        <f t="shared" si="49"/>
        <v>35</v>
      </c>
      <c r="N82" s="838">
        <f t="shared" si="34"/>
        <v>115.31250000000001</v>
      </c>
      <c r="O82" s="68">
        <f>LOOKUP(N82,'Circuit Breakers'!$B$5:$B$38,'Circuit Breakers'!$C$5:$C$38)</f>
        <v>125</v>
      </c>
      <c r="P82" s="199">
        <f t="shared" si="35"/>
        <v>30</v>
      </c>
      <c r="Q82" s="1056">
        <f t="shared" si="50"/>
        <v>1363.6350000000004</v>
      </c>
      <c r="R82" s="1064" t="str">
        <f>LOOKUP(Q82,'Circuit Breakers'!$B$5:$B$38,'Circuit Breakers'!$C$5:$C$38)</f>
        <v>Check</v>
      </c>
      <c r="S82" s="64">
        <f t="shared" si="36"/>
        <v>30</v>
      </c>
      <c r="T82" s="25">
        <f t="shared" si="51"/>
        <v>910</v>
      </c>
      <c r="U82" s="158">
        <f>LOOKUP(T82,'Circuit Breakers'!$B$5:$B$38,'Circuit Breakers'!$C$5:$C$38)</f>
        <v>1000</v>
      </c>
      <c r="V82" s="64">
        <f t="shared" si="52"/>
        <v>15</v>
      </c>
      <c r="W82" s="25">
        <f t="shared" si="37"/>
        <v>98.229166666666671</v>
      </c>
      <c r="X82" s="68" t="str">
        <f>LOOKUP(W82,'Wire-Cables Ampacities'!$B$5:$B$35,'Wire-Cables Ampacities'!$C$5:$C$35)</f>
        <v>#4</v>
      </c>
      <c r="Y82" s="64">
        <f t="shared" si="53"/>
        <v>10</v>
      </c>
      <c r="Z82" s="25">
        <f t="shared" si="38"/>
        <v>1153.8450000000005</v>
      </c>
      <c r="AA82" s="68" t="str">
        <f>LOOKUP(Z82,'Wire-Cables Ampacities'!$B$5:$B$35,'Wire-Cables Ampacities'!$C$5:$C$35)</f>
        <v>Buss</v>
      </c>
      <c r="AB82" s="64">
        <f t="shared" si="54"/>
        <v>10</v>
      </c>
      <c r="AC82" s="25">
        <f t="shared" si="39"/>
        <v>770.00000000000011</v>
      </c>
      <c r="AD82" s="68" t="str">
        <f>LOOKUP(AC82,'Wire-Cables Ampacities'!$B$5:$B$35,'Wire-Cables Ampacities'!$C$5:$C$35)</f>
        <v>Buss</v>
      </c>
      <c r="AE82" s="81">
        <f t="shared" si="55"/>
        <v>3.4500000000000006</v>
      </c>
      <c r="AF82" s="56">
        <f t="shared" si="40"/>
        <v>11771.889900000002</v>
      </c>
      <c r="AG82" s="72">
        <f t="shared" si="56"/>
        <v>40</v>
      </c>
      <c r="AH82" s="15">
        <f t="shared" si="56"/>
        <v>55</v>
      </c>
      <c r="AI82" s="64">
        <f t="shared" si="57"/>
        <v>20</v>
      </c>
      <c r="AJ82" s="56">
        <f t="shared" si="58"/>
        <v>485.76000000000005</v>
      </c>
      <c r="AK82" s="271">
        <f t="shared" si="41"/>
        <v>5.397333333333334</v>
      </c>
      <c r="AL82" s="277">
        <f t="shared" si="42"/>
        <v>2.698666666666667</v>
      </c>
      <c r="AM82" s="58">
        <v>450</v>
      </c>
      <c r="AN82" s="25">
        <v>24</v>
      </c>
      <c r="AO82" s="3">
        <v>30</v>
      </c>
      <c r="AP82" s="3">
        <v>16</v>
      </c>
      <c r="AQ82" s="281">
        <f t="shared" si="59"/>
        <v>19.333333333333332</v>
      </c>
      <c r="AR82" s="287">
        <f t="shared" si="60"/>
        <v>11409.389900000002</v>
      </c>
      <c r="AS82" s="93"/>
      <c r="AT82" s="4"/>
    </row>
    <row r="83" spans="1:46">
      <c r="A83" s="72">
        <f t="shared" si="43"/>
        <v>12</v>
      </c>
      <c r="B83" s="61">
        <v>2.4500000000000002</v>
      </c>
      <c r="C83" s="301">
        <f t="shared" si="44"/>
        <v>29.400000000000002</v>
      </c>
      <c r="D83" s="68">
        <v>800</v>
      </c>
      <c r="E83" s="66">
        <f t="shared" si="31"/>
        <v>480</v>
      </c>
      <c r="F83" s="45">
        <f t="shared" si="45"/>
        <v>97.916666666666671</v>
      </c>
      <c r="G83" s="94">
        <f t="shared" si="46"/>
        <v>12</v>
      </c>
      <c r="H83" s="295">
        <f t="shared" si="47"/>
        <v>38.550080000000008</v>
      </c>
      <c r="I83" s="25"/>
      <c r="J83" s="52">
        <f t="shared" si="48"/>
        <v>35</v>
      </c>
      <c r="K83" s="25">
        <f t="shared" si="32"/>
        <v>1198.8000000000002</v>
      </c>
      <c r="L83" s="427">
        <f t="shared" si="33"/>
        <v>47</v>
      </c>
      <c r="M83" s="64">
        <f t="shared" si="49"/>
        <v>35</v>
      </c>
      <c r="N83" s="838">
        <f t="shared" si="34"/>
        <v>132.18750000000003</v>
      </c>
      <c r="O83" s="68">
        <f>LOOKUP(N83,'Circuit Breakers'!$B$5:$B$38,'Circuit Breakers'!$C$5:$C$38)</f>
        <v>150</v>
      </c>
      <c r="P83" s="199">
        <f t="shared" si="35"/>
        <v>30</v>
      </c>
      <c r="Q83" s="1056">
        <f t="shared" si="50"/>
        <v>1558.4400000000003</v>
      </c>
      <c r="R83" s="1064" t="str">
        <f>LOOKUP(Q83,'Circuit Breakers'!$B$5:$B$38,'Circuit Breakers'!$C$5:$C$38)</f>
        <v>Check</v>
      </c>
      <c r="S83" s="64">
        <f t="shared" si="36"/>
        <v>30</v>
      </c>
      <c r="T83" s="25">
        <f t="shared" si="51"/>
        <v>1040</v>
      </c>
      <c r="U83" s="158">
        <f>LOOKUP(T83,'Circuit Breakers'!$B$5:$B$38,'Circuit Breakers'!$C$5:$C$38)</f>
        <v>1200</v>
      </c>
      <c r="V83" s="64">
        <f t="shared" si="52"/>
        <v>15</v>
      </c>
      <c r="W83" s="25">
        <f t="shared" si="37"/>
        <v>112.60416666666666</v>
      </c>
      <c r="X83" s="68" t="str">
        <f>LOOKUP(W83,'Wire-Cables Ampacities'!$B$5:$B$35,'Wire-Cables Ampacities'!$C$5:$C$35)</f>
        <v>#3</v>
      </c>
      <c r="Y83" s="64">
        <f t="shared" si="53"/>
        <v>10</v>
      </c>
      <c r="Z83" s="25">
        <f t="shared" si="38"/>
        <v>1318.6800000000003</v>
      </c>
      <c r="AA83" s="68" t="str">
        <f>LOOKUP(Z83,'Wire-Cables Ampacities'!$B$5:$B$35,'Wire-Cables Ampacities'!$C$5:$C$35)</f>
        <v>Buss</v>
      </c>
      <c r="AB83" s="64">
        <f t="shared" si="54"/>
        <v>10</v>
      </c>
      <c r="AC83" s="25">
        <f t="shared" si="39"/>
        <v>880.00000000000011</v>
      </c>
      <c r="AD83" s="68" t="str">
        <f>LOOKUP(AC83,'Wire-Cables Ampacities'!$B$5:$B$35,'Wire-Cables Ampacities'!$C$5:$C$35)</f>
        <v>Buss</v>
      </c>
      <c r="AE83" s="81">
        <f t="shared" si="55"/>
        <v>3.95</v>
      </c>
      <c r="AF83" s="56">
        <f t="shared" si="40"/>
        <v>13477.9609</v>
      </c>
      <c r="AG83" s="72">
        <f t="shared" si="56"/>
        <v>40</v>
      </c>
      <c r="AH83" s="15">
        <f t="shared" si="56"/>
        <v>55</v>
      </c>
      <c r="AI83" s="64">
        <f t="shared" si="57"/>
        <v>20</v>
      </c>
      <c r="AJ83" s="56">
        <f t="shared" si="58"/>
        <v>556.16</v>
      </c>
      <c r="AK83" s="271">
        <f t="shared" si="41"/>
        <v>6.179555555555555</v>
      </c>
      <c r="AL83" s="277">
        <f t="shared" si="42"/>
        <v>3.0897777777777775</v>
      </c>
      <c r="AM83" s="58">
        <v>450</v>
      </c>
      <c r="AN83" s="25">
        <v>24</v>
      </c>
      <c r="AO83" s="3">
        <v>30</v>
      </c>
      <c r="AP83" s="3">
        <v>16</v>
      </c>
      <c r="AQ83" s="281">
        <f t="shared" si="59"/>
        <v>19.333333333333332</v>
      </c>
      <c r="AR83" s="287">
        <f t="shared" si="60"/>
        <v>13115.4609</v>
      </c>
      <c r="AS83" s="93"/>
      <c r="AT83" s="4"/>
    </row>
    <row r="84" spans="1:46">
      <c r="A84" s="98">
        <f t="shared" si="43"/>
        <v>12</v>
      </c>
      <c r="B84" s="304">
        <v>2.4500000000000002</v>
      </c>
      <c r="C84" s="307">
        <f t="shared" si="44"/>
        <v>29.400000000000002</v>
      </c>
      <c r="D84" s="101">
        <v>900</v>
      </c>
      <c r="E84" s="100">
        <f t="shared" si="31"/>
        <v>480</v>
      </c>
      <c r="F84" s="102">
        <f t="shared" si="45"/>
        <v>108.33333333333333</v>
      </c>
      <c r="G84" s="103">
        <f t="shared" si="46"/>
        <v>12</v>
      </c>
      <c r="H84" s="296">
        <f t="shared" si="47"/>
        <v>38.550080000000008</v>
      </c>
      <c r="I84" s="104"/>
      <c r="J84" s="180">
        <f t="shared" si="48"/>
        <v>35</v>
      </c>
      <c r="K84" s="104">
        <f t="shared" si="32"/>
        <v>1348.65</v>
      </c>
      <c r="L84" s="428">
        <f t="shared" si="33"/>
        <v>52</v>
      </c>
      <c r="M84" s="106">
        <f t="shared" si="49"/>
        <v>35</v>
      </c>
      <c r="N84" s="1060">
        <f t="shared" si="34"/>
        <v>146.25</v>
      </c>
      <c r="O84" s="101">
        <f>LOOKUP(N84,'Circuit Breakers'!$B$5:$B$38,'Circuit Breakers'!$C$5:$C$38)</f>
        <v>150</v>
      </c>
      <c r="P84" s="262">
        <f t="shared" si="35"/>
        <v>30</v>
      </c>
      <c r="Q84" s="1057">
        <f t="shared" si="50"/>
        <v>1753.2450000000001</v>
      </c>
      <c r="R84" s="1065" t="str">
        <f>LOOKUP(Q84,'Circuit Breakers'!$B$5:$B$38,'Circuit Breakers'!$C$5:$C$38)</f>
        <v>Check</v>
      </c>
      <c r="S84" s="106">
        <f t="shared" si="36"/>
        <v>30</v>
      </c>
      <c r="T84" s="104">
        <f t="shared" si="51"/>
        <v>1170</v>
      </c>
      <c r="U84" s="477">
        <f>LOOKUP(T84,'Circuit Breakers'!$B$5:$B$38,'Circuit Breakers'!$C$5:$C$38)</f>
        <v>1200</v>
      </c>
      <c r="V84" s="106">
        <f t="shared" si="52"/>
        <v>15</v>
      </c>
      <c r="W84" s="104">
        <f t="shared" si="37"/>
        <v>124.58333333333331</v>
      </c>
      <c r="X84" s="101" t="str">
        <f>LOOKUP(W84,'Wire-Cables Ampacities'!$B$5:$B$35,'Wire-Cables Ampacities'!$C$5:$C$35)</f>
        <v>#2</v>
      </c>
      <c r="Y84" s="106">
        <f t="shared" si="53"/>
        <v>10</v>
      </c>
      <c r="Z84" s="104">
        <f t="shared" si="38"/>
        <v>1483.5150000000003</v>
      </c>
      <c r="AA84" s="101" t="str">
        <f>LOOKUP(Z84,'Wire-Cables Ampacities'!$B$5:$B$35,'Wire-Cables Ampacities'!$C$5:$C$35)</f>
        <v>Buss</v>
      </c>
      <c r="AB84" s="106">
        <f t="shared" si="54"/>
        <v>10</v>
      </c>
      <c r="AC84" s="104">
        <f t="shared" si="39"/>
        <v>990.00000000000011</v>
      </c>
      <c r="AD84" s="101" t="str">
        <f>LOOKUP(AC84,'Wire-Cables Ampacities'!$B$5:$B$35,'Wire-Cables Ampacities'!$C$5:$C$35)</f>
        <v>Buss</v>
      </c>
      <c r="AE84" s="107">
        <f t="shared" si="55"/>
        <v>4.4000000000000004</v>
      </c>
      <c r="AF84" s="105">
        <f t="shared" si="40"/>
        <v>15013.424800000001</v>
      </c>
      <c r="AG84" s="98">
        <f t="shared" si="56"/>
        <v>40</v>
      </c>
      <c r="AH84" s="99">
        <f t="shared" si="56"/>
        <v>55</v>
      </c>
      <c r="AI84" s="106">
        <f t="shared" si="57"/>
        <v>20</v>
      </c>
      <c r="AJ84" s="105">
        <f t="shared" si="58"/>
        <v>619.5200000000001</v>
      </c>
      <c r="AK84" s="272">
        <f t="shared" si="41"/>
        <v>6.8835555555555565</v>
      </c>
      <c r="AL84" s="278">
        <f t="shared" si="42"/>
        <v>3.4417777777777783</v>
      </c>
      <c r="AM84" s="109">
        <v>450</v>
      </c>
      <c r="AN84" s="104">
        <v>24</v>
      </c>
      <c r="AO84" s="110">
        <v>30</v>
      </c>
      <c r="AP84" s="110">
        <v>16</v>
      </c>
      <c r="AQ84" s="282">
        <f t="shared" si="59"/>
        <v>19.333333333333332</v>
      </c>
      <c r="AR84" s="288">
        <f t="shared" si="60"/>
        <v>14650.924800000001</v>
      </c>
      <c r="AS84" s="93"/>
      <c r="AT84" s="4"/>
    </row>
    <row r="85" spans="1:46">
      <c r="A85" s="72">
        <f t="shared" si="43"/>
        <v>12</v>
      </c>
      <c r="B85" s="61">
        <v>2.4500000000000002</v>
      </c>
      <c r="C85" s="301">
        <f t="shared" si="44"/>
        <v>29.400000000000002</v>
      </c>
      <c r="D85" s="68">
        <v>1000</v>
      </c>
      <c r="E85" s="66">
        <f t="shared" si="31"/>
        <v>480</v>
      </c>
      <c r="F85" s="45">
        <f t="shared" si="45"/>
        <v>120.83333333333333</v>
      </c>
      <c r="G85" s="94">
        <f t="shared" si="46"/>
        <v>12</v>
      </c>
      <c r="H85" s="295">
        <f t="shared" si="47"/>
        <v>38.550080000000008</v>
      </c>
      <c r="I85" s="25"/>
      <c r="J85" s="52">
        <f t="shared" si="48"/>
        <v>35</v>
      </c>
      <c r="K85" s="25">
        <f t="shared" si="32"/>
        <v>1498.5000000000002</v>
      </c>
      <c r="L85" s="427">
        <f t="shared" si="33"/>
        <v>58</v>
      </c>
      <c r="M85" s="64">
        <f t="shared" si="49"/>
        <v>35</v>
      </c>
      <c r="N85" s="838">
        <f t="shared" si="34"/>
        <v>163.125</v>
      </c>
      <c r="O85" s="68">
        <f>LOOKUP(N85,'Circuit Breakers'!$B$5:$B$38,'Circuit Breakers'!$C$5:$C$38)</f>
        <v>175</v>
      </c>
      <c r="P85" s="199">
        <f t="shared" si="35"/>
        <v>30</v>
      </c>
      <c r="Q85" s="1056">
        <f t="shared" si="50"/>
        <v>1948.0500000000004</v>
      </c>
      <c r="R85" s="1064" t="str">
        <f>LOOKUP(Q85,'Circuit Breakers'!$B$5:$B$38,'Circuit Breakers'!$C$5:$C$38)</f>
        <v>Check</v>
      </c>
      <c r="S85" s="64">
        <f t="shared" si="36"/>
        <v>30</v>
      </c>
      <c r="T85" s="25">
        <f t="shared" si="51"/>
        <v>1300</v>
      </c>
      <c r="U85" s="158" t="str">
        <f>LOOKUP(T85,'Circuit Breakers'!$B$5:$B$38,'Circuit Breakers'!$C$5:$C$38)</f>
        <v>Check</v>
      </c>
      <c r="V85" s="64">
        <f t="shared" si="52"/>
        <v>15</v>
      </c>
      <c r="W85" s="25">
        <f t="shared" si="37"/>
        <v>138.95833333333331</v>
      </c>
      <c r="X85" s="68" t="str">
        <f>LOOKUP(W85,'Wire-Cables Ampacities'!$B$5:$B$35,'Wire-Cables Ampacities'!$C$5:$C$35)</f>
        <v>#2</v>
      </c>
      <c r="Y85" s="64">
        <f t="shared" si="53"/>
        <v>10</v>
      </c>
      <c r="Z85" s="25">
        <f t="shared" si="38"/>
        <v>1648.3500000000004</v>
      </c>
      <c r="AA85" s="68" t="str">
        <f>LOOKUP(Z85,'Wire-Cables Ampacities'!$B$5:$B$35,'Wire-Cables Ampacities'!$C$5:$C$35)</f>
        <v>Buss</v>
      </c>
      <c r="AB85" s="64">
        <f t="shared" si="54"/>
        <v>10</v>
      </c>
      <c r="AC85" s="25">
        <f t="shared" si="39"/>
        <v>1100</v>
      </c>
      <c r="AD85" s="68" t="str">
        <f>LOOKUP(AC85,'Wire-Cables Ampacities'!$B$5:$B$35,'Wire-Cables Ampacities'!$C$5:$C$35)</f>
        <v>Buss</v>
      </c>
      <c r="AE85" s="81">
        <f t="shared" si="55"/>
        <v>4.9000000000000004</v>
      </c>
      <c r="AF85" s="56">
        <f t="shared" si="40"/>
        <v>16719.495800000001</v>
      </c>
      <c r="AG85" s="72">
        <f t="shared" si="56"/>
        <v>40</v>
      </c>
      <c r="AH85" s="15">
        <f t="shared" si="56"/>
        <v>55</v>
      </c>
      <c r="AI85" s="64">
        <f t="shared" si="57"/>
        <v>20</v>
      </c>
      <c r="AJ85" s="56">
        <f t="shared" si="58"/>
        <v>689.92</v>
      </c>
      <c r="AK85" s="271">
        <f t="shared" si="41"/>
        <v>7.6657777777777776</v>
      </c>
      <c r="AL85" s="277">
        <f t="shared" si="42"/>
        <v>3.8328888888888888</v>
      </c>
      <c r="AM85" s="58">
        <v>450</v>
      </c>
      <c r="AN85" s="25">
        <v>24</v>
      </c>
      <c r="AO85" s="3">
        <v>30</v>
      </c>
      <c r="AP85" s="3">
        <v>16</v>
      </c>
      <c r="AQ85" s="281">
        <f t="shared" si="59"/>
        <v>19.333333333333332</v>
      </c>
      <c r="AR85" s="287">
        <f t="shared" si="60"/>
        <v>16356.995800000001</v>
      </c>
      <c r="AS85" s="93"/>
      <c r="AT85" s="4"/>
    </row>
    <row r="86" spans="1:46">
      <c r="A86" s="72">
        <f t="shared" si="43"/>
        <v>12</v>
      </c>
      <c r="B86" s="61">
        <v>2.4500000000000002</v>
      </c>
      <c r="C86" s="301">
        <f t="shared" si="44"/>
        <v>29.400000000000002</v>
      </c>
      <c r="D86" s="68">
        <v>1100</v>
      </c>
      <c r="E86" s="66">
        <f t="shared" si="31"/>
        <v>480</v>
      </c>
      <c r="F86" s="45">
        <f t="shared" si="45"/>
        <v>133.33333333333334</v>
      </c>
      <c r="G86" s="94">
        <f t="shared" si="46"/>
        <v>12</v>
      </c>
      <c r="H86" s="295">
        <f t="shared" si="47"/>
        <v>38.550080000000008</v>
      </c>
      <c r="I86" s="25"/>
      <c r="J86" s="52">
        <f t="shared" si="48"/>
        <v>35</v>
      </c>
      <c r="K86" s="25">
        <f t="shared" si="32"/>
        <v>1648.3500000000001</v>
      </c>
      <c r="L86" s="427">
        <f t="shared" si="33"/>
        <v>64</v>
      </c>
      <c r="M86" s="64">
        <f t="shared" si="49"/>
        <v>35</v>
      </c>
      <c r="N86" s="838">
        <f t="shared" si="34"/>
        <v>180.00000000000003</v>
      </c>
      <c r="O86" s="68">
        <f>LOOKUP(N86,'Circuit Breakers'!$B$5:$B$38,'Circuit Breakers'!$C$5:$C$38)</f>
        <v>200</v>
      </c>
      <c r="P86" s="199">
        <f t="shared" si="35"/>
        <v>30</v>
      </c>
      <c r="Q86" s="1056">
        <f t="shared" si="50"/>
        <v>2142.8550000000005</v>
      </c>
      <c r="R86" s="1064" t="str">
        <f>LOOKUP(Q86,'Circuit Breakers'!$B$5:$B$38,'Circuit Breakers'!$C$5:$C$38)</f>
        <v>Check</v>
      </c>
      <c r="S86" s="64">
        <f t="shared" si="36"/>
        <v>30</v>
      </c>
      <c r="T86" s="25">
        <f t="shared" si="51"/>
        <v>1430</v>
      </c>
      <c r="U86" s="158" t="str">
        <f>LOOKUP(T86,'Circuit Breakers'!$B$5:$B$38,'Circuit Breakers'!$C$5:$C$38)</f>
        <v>Check</v>
      </c>
      <c r="V86" s="64">
        <f t="shared" si="52"/>
        <v>15</v>
      </c>
      <c r="W86" s="25">
        <f t="shared" si="37"/>
        <v>153.33333333333334</v>
      </c>
      <c r="X86" s="68" t="str">
        <f>LOOKUP(W86,'Wire-Cables Ampacities'!$B$5:$B$35,'Wire-Cables Ampacities'!$C$5:$C$35)</f>
        <v>#1</v>
      </c>
      <c r="Y86" s="64">
        <f t="shared" si="53"/>
        <v>10</v>
      </c>
      <c r="Z86" s="25">
        <f t="shared" si="38"/>
        <v>1813.1850000000004</v>
      </c>
      <c r="AA86" s="68" t="str">
        <f>LOOKUP(Z86,'Wire-Cables Ampacities'!$B$5:$B$35,'Wire-Cables Ampacities'!$C$5:$C$35)</f>
        <v>Buss</v>
      </c>
      <c r="AB86" s="64">
        <f t="shared" si="54"/>
        <v>10</v>
      </c>
      <c r="AC86" s="25">
        <f t="shared" si="39"/>
        <v>1210</v>
      </c>
      <c r="AD86" s="68" t="str">
        <f>LOOKUP(AC86,'Wire-Cables Ampacities'!$B$5:$B$35,'Wire-Cables Ampacities'!$C$5:$C$35)</f>
        <v>Buss</v>
      </c>
      <c r="AE86" s="81">
        <f t="shared" si="55"/>
        <v>5.4</v>
      </c>
      <c r="AF86" s="56">
        <f t="shared" si="40"/>
        <v>18425.566799999997</v>
      </c>
      <c r="AG86" s="72">
        <f t="shared" si="56"/>
        <v>40</v>
      </c>
      <c r="AH86" s="15">
        <f>AH$56</f>
        <v>55</v>
      </c>
      <c r="AI86" s="64">
        <f t="shared" si="57"/>
        <v>20</v>
      </c>
      <c r="AJ86" s="56">
        <f t="shared" si="58"/>
        <v>760.32</v>
      </c>
      <c r="AK86" s="271">
        <f t="shared" si="41"/>
        <v>8.4480000000000004</v>
      </c>
      <c r="AL86" s="277">
        <f t="shared" si="42"/>
        <v>4.2240000000000002</v>
      </c>
      <c r="AM86" s="58">
        <v>450</v>
      </c>
      <c r="AN86" s="25">
        <v>24</v>
      </c>
      <c r="AO86" s="3">
        <v>30</v>
      </c>
      <c r="AP86" s="3">
        <v>16</v>
      </c>
      <c r="AQ86" s="281">
        <f t="shared" si="59"/>
        <v>19.333333333333332</v>
      </c>
      <c r="AR86" s="287">
        <f t="shared" si="60"/>
        <v>18063.066799999997</v>
      </c>
      <c r="AS86" s="93"/>
      <c r="AT86" s="4"/>
    </row>
    <row r="87" spans="1:46" ht="13.5" thickBot="1">
      <c r="A87" s="253">
        <f t="shared" si="43"/>
        <v>12</v>
      </c>
      <c r="B87" s="305">
        <v>2.4500000000000002</v>
      </c>
      <c r="C87" s="308">
        <f t="shared" si="44"/>
        <v>29.400000000000002</v>
      </c>
      <c r="D87" s="259">
        <v>1200</v>
      </c>
      <c r="E87" s="258">
        <f t="shared" si="31"/>
        <v>480</v>
      </c>
      <c r="F87" s="260">
        <f t="shared" si="45"/>
        <v>145.83333333333334</v>
      </c>
      <c r="G87" s="261">
        <f t="shared" si="46"/>
        <v>12</v>
      </c>
      <c r="H87" s="297">
        <f t="shared" si="47"/>
        <v>38.550080000000008</v>
      </c>
      <c r="I87" s="264"/>
      <c r="J87" s="265">
        <f t="shared" si="48"/>
        <v>35</v>
      </c>
      <c r="K87" s="264">
        <f t="shared" si="32"/>
        <v>1798.2</v>
      </c>
      <c r="L87" s="433">
        <f t="shared" si="33"/>
        <v>70</v>
      </c>
      <c r="M87" s="267">
        <f t="shared" si="49"/>
        <v>35</v>
      </c>
      <c r="N87" s="1061">
        <f t="shared" si="34"/>
        <v>196.87500000000003</v>
      </c>
      <c r="O87" s="259">
        <f>LOOKUP(N87,'Circuit Breakers'!$B$5:$B$38,'Circuit Breakers'!$C$5:$C$38)</f>
        <v>200</v>
      </c>
      <c r="P87" s="333">
        <f t="shared" si="35"/>
        <v>30</v>
      </c>
      <c r="Q87" s="1058">
        <f t="shared" si="50"/>
        <v>2337.6600000000003</v>
      </c>
      <c r="R87" s="1066" t="str">
        <f>LOOKUP(Q87,'Circuit Breakers'!$B$5:$B$38,'Circuit Breakers'!$C$5:$C$38)</f>
        <v>Check</v>
      </c>
      <c r="S87" s="267">
        <f t="shared" si="36"/>
        <v>30</v>
      </c>
      <c r="T87" s="264">
        <f t="shared" si="51"/>
        <v>1560</v>
      </c>
      <c r="U87" s="478" t="str">
        <f>LOOKUP(T87,'Circuit Breakers'!$B$5:$B$38,'Circuit Breakers'!$C$5:$C$38)</f>
        <v>Check</v>
      </c>
      <c r="V87" s="267">
        <f t="shared" si="52"/>
        <v>15</v>
      </c>
      <c r="W87" s="264">
        <f t="shared" si="37"/>
        <v>167.70833333333334</v>
      </c>
      <c r="X87" s="259" t="str">
        <f>LOOKUP(W87,'Wire-Cables Ampacities'!$B$5:$B$35,'Wire-Cables Ampacities'!$C$5:$C$35)</f>
        <v>#1/0</v>
      </c>
      <c r="Y87" s="267">
        <f t="shared" si="53"/>
        <v>10</v>
      </c>
      <c r="Z87" s="264">
        <f t="shared" si="38"/>
        <v>1978.0200000000002</v>
      </c>
      <c r="AA87" s="259" t="str">
        <f>LOOKUP(Z87,'Wire-Cables Ampacities'!$B$5:$B$35,'Wire-Cables Ampacities'!$C$5:$C$35)</f>
        <v>Buss</v>
      </c>
      <c r="AB87" s="267">
        <f t="shared" si="54"/>
        <v>10</v>
      </c>
      <c r="AC87" s="264">
        <f t="shared" si="39"/>
        <v>1320</v>
      </c>
      <c r="AD87" s="259" t="str">
        <f>LOOKUP(AC87,'Wire-Cables Ampacities'!$B$5:$B$35,'Wire-Cables Ampacities'!$C$5:$C$35)</f>
        <v>Buss</v>
      </c>
      <c r="AE87" s="270">
        <f t="shared" si="55"/>
        <v>5.9</v>
      </c>
      <c r="AF87" s="268">
        <f t="shared" si="40"/>
        <v>20131.6378</v>
      </c>
      <c r="AG87" s="253">
        <f t="shared" si="56"/>
        <v>40</v>
      </c>
      <c r="AH87" s="254">
        <f>AH$56</f>
        <v>55</v>
      </c>
      <c r="AI87" s="267">
        <f t="shared" si="57"/>
        <v>20</v>
      </c>
      <c r="AJ87" s="268">
        <f t="shared" si="58"/>
        <v>830.71999999999991</v>
      </c>
      <c r="AK87" s="273">
        <f t="shared" si="41"/>
        <v>9.2302222222222206</v>
      </c>
      <c r="AL87" s="279">
        <f t="shared" si="42"/>
        <v>4.6151111111111103</v>
      </c>
      <c r="AM87" s="275">
        <v>450</v>
      </c>
      <c r="AN87" s="264">
        <v>24</v>
      </c>
      <c r="AO87" s="276">
        <v>30</v>
      </c>
      <c r="AP87" s="276">
        <v>16</v>
      </c>
      <c r="AQ87" s="283">
        <f t="shared" si="59"/>
        <v>19.333333333333332</v>
      </c>
      <c r="AR87" s="289">
        <f t="shared" si="60"/>
        <v>19769.1378</v>
      </c>
      <c r="AS87" s="93"/>
      <c r="AT87" s="4"/>
    </row>
    <row r="89" spans="1:46" ht="13.5" thickBot="1"/>
    <row r="90" spans="1:46" ht="16.5" thickBot="1">
      <c r="A90" s="95" t="s">
        <v>77</v>
      </c>
      <c r="B90" s="96"/>
      <c r="C90" s="44"/>
      <c r="D90" s="86"/>
      <c r="E90" s="86"/>
      <c r="F90" s="86"/>
      <c r="G90" s="87"/>
      <c r="H90" s="290" t="s">
        <v>98</v>
      </c>
      <c r="I90" s="42"/>
      <c r="J90" s="51"/>
      <c r="K90" s="42"/>
      <c r="L90" s="40"/>
      <c r="M90" s="290" t="s">
        <v>83</v>
      </c>
      <c r="N90" s="42"/>
      <c r="O90" s="44"/>
      <c r="P90" s="44"/>
      <c r="Q90" s="44"/>
      <c r="R90" s="44"/>
      <c r="S90" s="44"/>
      <c r="T90" s="44"/>
      <c r="U90" s="6"/>
      <c r="V90" s="184" t="s">
        <v>84</v>
      </c>
      <c r="W90" s="44"/>
      <c r="X90" s="44"/>
      <c r="Y90" s="44"/>
      <c r="Z90" s="44"/>
      <c r="AA90" s="44"/>
      <c r="AB90" s="44"/>
      <c r="AC90" s="44"/>
      <c r="AD90" s="6"/>
      <c r="AE90" s="291" t="s">
        <v>62</v>
      </c>
      <c r="AF90" s="80"/>
      <c r="AG90" s="290" t="s">
        <v>90</v>
      </c>
      <c r="AH90" s="40"/>
      <c r="AI90" s="292" t="s">
        <v>87</v>
      </c>
      <c r="AJ90" s="90"/>
      <c r="AK90" s="90"/>
      <c r="AL90" s="49"/>
      <c r="AM90" s="189" t="s">
        <v>88</v>
      </c>
      <c r="AN90" s="90"/>
      <c r="AO90" s="90"/>
      <c r="AP90" s="90"/>
      <c r="AQ90" s="90"/>
      <c r="AR90" s="6"/>
      <c r="AS90" s="7"/>
    </row>
    <row r="91" spans="1:46" ht="13.5" thickBot="1">
      <c r="A91" s="97" t="s">
        <v>23</v>
      </c>
      <c r="B91" s="48"/>
      <c r="C91" s="189" t="s">
        <v>76</v>
      </c>
      <c r="D91" s="190"/>
      <c r="E91" s="189" t="s">
        <v>57</v>
      </c>
      <c r="F91" s="191"/>
      <c r="G91" s="192"/>
      <c r="H91" s="76"/>
      <c r="I91" s="90"/>
      <c r="J91" s="175"/>
      <c r="K91" s="90"/>
      <c r="L91" s="49"/>
      <c r="M91" s="47" t="s">
        <v>81</v>
      </c>
      <c r="N91" s="96"/>
      <c r="O91" s="49"/>
      <c r="P91" s="47" t="s">
        <v>82</v>
      </c>
      <c r="Q91" s="96"/>
      <c r="R91" s="49"/>
      <c r="S91" s="47" t="s">
        <v>80</v>
      </c>
      <c r="T91" s="96"/>
      <c r="U91" s="49"/>
      <c r="V91" s="76" t="s">
        <v>78</v>
      </c>
      <c r="W91" s="96"/>
      <c r="X91" s="48"/>
      <c r="Y91" s="76" t="s">
        <v>79</v>
      </c>
      <c r="Z91" s="96"/>
      <c r="AA91" s="48"/>
      <c r="AB91" s="47" t="s">
        <v>80</v>
      </c>
      <c r="AC91" s="96"/>
      <c r="AD91" s="48"/>
      <c r="AE91" s="176"/>
      <c r="AF91" s="177"/>
      <c r="AG91" s="205" t="s">
        <v>94</v>
      </c>
      <c r="AH91" s="179" t="s">
        <v>95</v>
      </c>
      <c r="AI91" s="178"/>
      <c r="AJ91" s="198"/>
      <c r="AK91" s="206" t="s">
        <v>66</v>
      </c>
      <c r="AL91" s="198" t="s">
        <v>66</v>
      </c>
      <c r="AM91" s="47" t="s">
        <v>68</v>
      </c>
      <c r="AN91" s="90"/>
      <c r="AO91" s="90"/>
      <c r="AP91" s="90"/>
      <c r="AQ91" s="49"/>
      <c r="AR91" s="80"/>
      <c r="AS91" s="7"/>
    </row>
    <row r="92" spans="1:46">
      <c r="A92" s="65">
        <v>36</v>
      </c>
      <c r="B92" s="67" t="s">
        <v>92</v>
      </c>
      <c r="C92" s="65" t="s">
        <v>93</v>
      </c>
      <c r="D92" s="67" t="s">
        <v>16</v>
      </c>
      <c r="E92" s="65" t="s">
        <v>99</v>
      </c>
      <c r="F92" s="18" t="s">
        <v>100</v>
      </c>
      <c r="G92" s="1130">
        <v>12</v>
      </c>
      <c r="H92" s="65" t="s">
        <v>27</v>
      </c>
      <c r="I92" s="18"/>
      <c r="J92" s="310">
        <v>35</v>
      </c>
      <c r="K92" s="18" t="s">
        <v>28</v>
      </c>
      <c r="L92" s="156" t="s">
        <v>29</v>
      </c>
      <c r="M92" s="310">
        <v>35</v>
      </c>
      <c r="N92" s="1049" t="s">
        <v>60</v>
      </c>
      <c r="O92" s="1062" t="s">
        <v>363</v>
      </c>
      <c r="P92" s="310">
        <v>30</v>
      </c>
      <c r="Q92" s="1049" t="s">
        <v>60</v>
      </c>
      <c r="R92" s="1062" t="s">
        <v>361</v>
      </c>
      <c r="S92" s="310">
        <v>30</v>
      </c>
      <c r="T92" s="1049" t="s">
        <v>60</v>
      </c>
      <c r="U92" s="1062" t="s">
        <v>361</v>
      </c>
      <c r="V92" s="310">
        <v>15</v>
      </c>
      <c r="W92" s="62" t="s">
        <v>60</v>
      </c>
      <c r="X92" s="1131" t="s">
        <v>85</v>
      </c>
      <c r="Y92" s="310">
        <v>10</v>
      </c>
      <c r="Z92" s="62" t="s">
        <v>60</v>
      </c>
      <c r="AA92" s="1131" t="s">
        <v>85</v>
      </c>
      <c r="AB92" s="310">
        <v>10</v>
      </c>
      <c r="AC92" s="62" t="s">
        <v>60</v>
      </c>
      <c r="AD92" s="1131" t="s">
        <v>85</v>
      </c>
      <c r="AE92" s="77"/>
      <c r="AF92" s="204"/>
      <c r="AG92" s="70">
        <v>40</v>
      </c>
      <c r="AH92" s="19">
        <v>55</v>
      </c>
      <c r="AI92" s="310">
        <v>20</v>
      </c>
      <c r="AJ92" s="71" t="s">
        <v>64</v>
      </c>
      <c r="AK92" s="79">
        <v>90</v>
      </c>
      <c r="AL92" s="19">
        <v>180</v>
      </c>
      <c r="AM92" s="284" t="s">
        <v>91</v>
      </c>
      <c r="AN92" s="18" t="s">
        <v>69</v>
      </c>
      <c r="AO92" s="18" t="s">
        <v>70</v>
      </c>
      <c r="AP92" s="18" t="s">
        <v>71</v>
      </c>
      <c r="AQ92" s="19" t="s">
        <v>73</v>
      </c>
      <c r="AR92" s="285" t="s">
        <v>64</v>
      </c>
      <c r="AS92" s="92"/>
    </row>
    <row r="93" spans="1:46" ht="13.5" thickBot="1">
      <c r="A93" s="187" t="s">
        <v>24</v>
      </c>
      <c r="B93" s="188" t="s">
        <v>53</v>
      </c>
      <c r="C93" s="187" t="s">
        <v>53</v>
      </c>
      <c r="D93" s="188" t="s">
        <v>22</v>
      </c>
      <c r="E93" s="187" t="s">
        <v>53</v>
      </c>
      <c r="F93" s="16" t="s">
        <v>22</v>
      </c>
      <c r="G93" s="1129" t="s">
        <v>55</v>
      </c>
      <c r="H93" s="187" t="s">
        <v>42</v>
      </c>
      <c r="I93" s="16"/>
      <c r="J93" s="1128" t="s">
        <v>59</v>
      </c>
      <c r="K93" s="16" t="s">
        <v>43</v>
      </c>
      <c r="L93" s="195" t="s">
        <v>44</v>
      </c>
      <c r="M93" s="1128" t="s">
        <v>59</v>
      </c>
      <c r="N93" s="1055" t="s">
        <v>22</v>
      </c>
      <c r="O93" s="188" t="s">
        <v>22</v>
      </c>
      <c r="P93" s="1128" t="s">
        <v>59</v>
      </c>
      <c r="Q93" s="1055" t="s">
        <v>22</v>
      </c>
      <c r="R93" s="188" t="s">
        <v>22</v>
      </c>
      <c r="S93" s="1128" t="s">
        <v>59</v>
      </c>
      <c r="T93" s="1055" t="s">
        <v>22</v>
      </c>
      <c r="U93" s="188" t="s">
        <v>22</v>
      </c>
      <c r="V93" s="1128" t="s">
        <v>59</v>
      </c>
      <c r="W93" s="16" t="s">
        <v>22</v>
      </c>
      <c r="X93" s="188" t="s">
        <v>86</v>
      </c>
      <c r="Y93" s="1128" t="s">
        <v>59</v>
      </c>
      <c r="Z93" s="16" t="s">
        <v>22</v>
      </c>
      <c r="AA93" s="188" t="s">
        <v>86</v>
      </c>
      <c r="AB93" s="1128" t="s">
        <v>59</v>
      </c>
      <c r="AC93" s="16" t="s">
        <v>22</v>
      </c>
      <c r="AD93" s="188" t="s">
        <v>86</v>
      </c>
      <c r="AE93" s="75" t="s">
        <v>63</v>
      </c>
      <c r="AF93" s="202" t="s">
        <v>67</v>
      </c>
      <c r="AG93" s="75" t="s">
        <v>61</v>
      </c>
      <c r="AH93" s="17" t="s">
        <v>61</v>
      </c>
      <c r="AI93" s="1128" t="s">
        <v>59</v>
      </c>
      <c r="AJ93" s="17" t="s">
        <v>65</v>
      </c>
      <c r="AK93" s="207" t="s">
        <v>89</v>
      </c>
      <c r="AL93" s="17" t="s">
        <v>89</v>
      </c>
      <c r="AM93" s="75" t="s">
        <v>72</v>
      </c>
      <c r="AN93" s="16" t="s">
        <v>74</v>
      </c>
      <c r="AO93" s="16" t="s">
        <v>74</v>
      </c>
      <c r="AP93" s="16" t="s">
        <v>74</v>
      </c>
      <c r="AQ93" s="17" t="s">
        <v>75</v>
      </c>
      <c r="AR93" s="200" t="s">
        <v>67</v>
      </c>
      <c r="AS93" s="46"/>
    </row>
    <row r="94" spans="1:46">
      <c r="A94" s="70"/>
      <c r="B94" s="19"/>
      <c r="C94" s="65"/>
      <c r="D94" s="67"/>
      <c r="E94" s="65"/>
      <c r="F94" s="18"/>
      <c r="G94" s="19"/>
      <c r="H94" s="65"/>
      <c r="I94" s="18"/>
      <c r="J94" s="73"/>
      <c r="K94" s="18"/>
      <c r="L94" s="156"/>
      <c r="M94" s="54"/>
      <c r="N94" s="1049"/>
      <c r="O94" s="67"/>
      <c r="P94" s="203"/>
      <c r="Q94" s="1049"/>
      <c r="R94" s="1063"/>
      <c r="S94" s="54"/>
      <c r="T94" s="1059"/>
      <c r="U94" s="67"/>
      <c r="V94" s="54"/>
      <c r="W94" s="269"/>
      <c r="X94" s="59"/>
      <c r="Y94" s="54"/>
      <c r="Z94" s="269"/>
      <c r="AA94" s="59"/>
      <c r="AB94" s="54"/>
      <c r="AC94" s="269"/>
      <c r="AD94" s="59"/>
      <c r="AE94" s="70"/>
      <c r="AF94" s="19"/>
      <c r="AG94" s="70"/>
      <c r="AH94" s="19"/>
      <c r="AI94" s="54"/>
      <c r="AJ94" s="19"/>
      <c r="AK94" s="70"/>
      <c r="AL94" s="197"/>
      <c r="AM94" s="70"/>
      <c r="AN94" s="18"/>
      <c r="AO94" s="18"/>
      <c r="AP94" s="18"/>
      <c r="AQ94" s="19"/>
      <c r="AR94" s="286"/>
      <c r="AS94" s="7"/>
    </row>
    <row r="95" spans="1:46">
      <c r="A95" s="72">
        <f>A$92/2</f>
        <v>18</v>
      </c>
      <c r="B95" s="61">
        <v>2.4500000000000002</v>
      </c>
      <c r="C95" s="66">
        <f>A95*B95</f>
        <v>44.1</v>
      </c>
      <c r="D95" s="68">
        <v>5</v>
      </c>
      <c r="E95" s="66">
        <f t="shared" ref="E95:E123" si="61">IF(L95/120*1000*1.5&lt;65,120,IF(L95/208*1000*1.5&lt;65,208,IF(L95/240*1000*1.5&lt;65,240,480)))</f>
        <v>120</v>
      </c>
      <c r="F95" s="45">
        <f>L95*1000/E95</f>
        <v>4.166666666666667</v>
      </c>
      <c r="G95" s="94">
        <f>G$92</f>
        <v>12</v>
      </c>
      <c r="H95" s="295">
        <f>1.11*(1+G95/100)*C95+2</f>
        <v>56.825120000000013</v>
      </c>
      <c r="I95" s="25"/>
      <c r="J95" s="52">
        <f>J$92</f>
        <v>35</v>
      </c>
      <c r="K95" s="25">
        <f t="shared" ref="K95:K123" si="62">(1+J95/100)*D95*1.11</f>
        <v>7.4925000000000006</v>
      </c>
      <c r="L95" s="427">
        <f t="shared" ref="L95:L123" si="63">IF(CEILING(H95*K95/1000,0.25)&lt;10,CEILING(H95*K95/1000,0.25),IF(CEILING(H95*K95/1000,0.25)&lt;20,CEILING(H95*K95/1000,0.5),CEILING(H95*K95/1000,1)))</f>
        <v>0.5</v>
      </c>
      <c r="M95" s="55">
        <f>M$92</f>
        <v>35</v>
      </c>
      <c r="N95" s="838">
        <f t="shared" ref="N95:N123" si="64">(1+M95/100)*F95</f>
        <v>5.6250000000000009</v>
      </c>
      <c r="O95" s="68">
        <f>LOOKUP(N95,'Circuit Breakers'!$B$5:$B$38,'Circuit Breakers'!$C$5:$C$38)</f>
        <v>10</v>
      </c>
      <c r="P95" s="199">
        <f t="shared" ref="P95:P123" si="65">P$92</f>
        <v>30</v>
      </c>
      <c r="Q95" s="1056">
        <f>(1+P95/100)*K95</f>
        <v>9.7402500000000014</v>
      </c>
      <c r="R95" s="1064">
        <f>LOOKUP(Q95,'Circuit Breakers'!$B$5:$B$38,'Circuit Breakers'!$C$5:$C$38)</f>
        <v>10</v>
      </c>
      <c r="S95" s="64">
        <f t="shared" ref="S95:S123" si="66">S$92</f>
        <v>30</v>
      </c>
      <c r="T95" s="25">
        <f>(1+S95/100)*D95</f>
        <v>6.5</v>
      </c>
      <c r="U95" s="158">
        <f>LOOKUP(T95,'Circuit Breakers'!$B$5:$B$38,'Circuit Breakers'!$C$5:$C$38)</f>
        <v>10</v>
      </c>
      <c r="V95" s="64">
        <f>V$92</f>
        <v>15</v>
      </c>
      <c r="W95" s="25">
        <f t="shared" ref="W95:W123" si="67">(1+V95/100)*F95</f>
        <v>4.791666666666667</v>
      </c>
      <c r="X95" s="68" t="str">
        <f>LOOKUP(W95,'Wire-Cables Ampacities'!$B$5:$B$35,'Wire-Cables Ampacities'!$C$5:$C$35)</f>
        <v>#10</v>
      </c>
      <c r="Y95" s="64">
        <f>Y$92</f>
        <v>10</v>
      </c>
      <c r="Z95" s="25">
        <f t="shared" ref="Z95:Z123" si="68">(1+Y95/100)*K95</f>
        <v>8.2417500000000015</v>
      </c>
      <c r="AA95" s="68" t="str">
        <f>LOOKUP(Z95,'Wire-Cables Ampacities'!$B$5:$B$35,'Wire-Cables Ampacities'!$C$5:$C$35)</f>
        <v>#10</v>
      </c>
      <c r="AB95" s="64">
        <f>AB$92</f>
        <v>10</v>
      </c>
      <c r="AC95" s="25">
        <f t="shared" ref="AC95:AC123" si="69">(1+AB95/100)*D95</f>
        <v>5.5</v>
      </c>
      <c r="AD95" s="68" t="str">
        <f>LOOKUP(AC95,'Wire-Cables Ampacities'!$B$5:$B$35,'Wire-Cables Ampacities'!$C$5:$C$35)</f>
        <v>#10</v>
      </c>
      <c r="AE95" s="81">
        <f>(2*D95+0.05*L95*1000)/1000</f>
        <v>3.5000000000000003E-2</v>
      </c>
      <c r="AF95" s="56">
        <f t="shared" ref="AF95:AF111" si="70">AE95*3.412142*1000</f>
        <v>119.42497</v>
      </c>
      <c r="AG95" s="72">
        <v>40</v>
      </c>
      <c r="AH95" s="15">
        <v>55</v>
      </c>
      <c r="AI95" s="64">
        <f>AI$92</f>
        <v>20</v>
      </c>
      <c r="AJ95" s="56">
        <f>1760*AE95/(AH95-AG95)*(1+AI95/100)</f>
        <v>4.9280000000000008</v>
      </c>
      <c r="AK95" s="271">
        <f t="shared" ref="AK95:AK123" si="71">AJ95/AK$20</f>
        <v>5.4755555555555564E-2</v>
      </c>
      <c r="AL95" s="277">
        <f t="shared" ref="AL95:AL123" si="72">AJ95/AL$20</f>
        <v>2.7377777777777782E-2</v>
      </c>
      <c r="AM95" s="58">
        <v>450</v>
      </c>
      <c r="AN95" s="25">
        <v>24</v>
      </c>
      <c r="AO95" s="3">
        <v>30</v>
      </c>
      <c r="AP95" s="3">
        <v>16</v>
      </c>
      <c r="AQ95" s="281">
        <f>((2*AO95*AN95)+2*(AO95*AP95)+(AN95*AP95))/144</f>
        <v>19.333333333333332</v>
      </c>
      <c r="AR95" s="287">
        <f t="shared" ref="AR95:AR111" si="73">AF95+(1.25*AQ95*(AG95-AH95))</f>
        <v>-243.07502999999994</v>
      </c>
      <c r="AS95" s="93"/>
      <c r="AT95" s="4"/>
    </row>
    <row r="96" spans="1:46">
      <c r="A96" s="98">
        <f t="shared" ref="A96:A123" si="74">A$92/2</f>
        <v>18</v>
      </c>
      <c r="B96" s="304">
        <v>2.4500000000000002</v>
      </c>
      <c r="C96" s="100">
        <f t="shared" ref="C96:C123" si="75">A96*B96</f>
        <v>44.1</v>
      </c>
      <c r="D96" s="101">
        <v>10</v>
      </c>
      <c r="E96" s="100">
        <f t="shared" si="61"/>
        <v>120</v>
      </c>
      <c r="F96" s="102">
        <f t="shared" ref="F96:F123" si="76">L96*1000/E96</f>
        <v>8.3333333333333339</v>
      </c>
      <c r="G96" s="103">
        <f t="shared" ref="G96:G123" si="77">G$92</f>
        <v>12</v>
      </c>
      <c r="H96" s="296">
        <f t="shared" ref="H96:H123" si="78">1.11*(1+G96/100)*C96+2</f>
        <v>56.825120000000013</v>
      </c>
      <c r="I96" s="104"/>
      <c r="J96" s="180">
        <f t="shared" ref="J96:J123" si="79">J$92</f>
        <v>35</v>
      </c>
      <c r="K96" s="104">
        <f t="shared" si="62"/>
        <v>14.985000000000001</v>
      </c>
      <c r="L96" s="428">
        <f t="shared" si="63"/>
        <v>1</v>
      </c>
      <c r="M96" s="106">
        <f t="shared" ref="M96:M123" si="80">M$92</f>
        <v>35</v>
      </c>
      <c r="N96" s="1060">
        <f t="shared" si="64"/>
        <v>11.250000000000002</v>
      </c>
      <c r="O96" s="101">
        <f>LOOKUP(N96,'Circuit Breakers'!$B$5:$B$38,'Circuit Breakers'!$C$5:$C$38)</f>
        <v>15</v>
      </c>
      <c r="P96" s="262">
        <f t="shared" si="65"/>
        <v>30</v>
      </c>
      <c r="Q96" s="1057">
        <f t="shared" ref="Q96:Q123" si="81">(1+P96/100)*K96</f>
        <v>19.480500000000003</v>
      </c>
      <c r="R96" s="1065">
        <f>LOOKUP(Q96,'Circuit Breakers'!$B$5:$B$38,'Circuit Breakers'!$C$5:$C$38)</f>
        <v>20</v>
      </c>
      <c r="S96" s="106">
        <f t="shared" si="66"/>
        <v>30</v>
      </c>
      <c r="T96" s="104">
        <f t="shared" ref="T96:T123" si="82">(1+S96/100)*D96</f>
        <v>13</v>
      </c>
      <c r="U96" s="477">
        <f>LOOKUP(T96,'Circuit Breakers'!$B$5:$B$38,'Circuit Breakers'!$C$5:$C$38)</f>
        <v>15</v>
      </c>
      <c r="V96" s="106">
        <f t="shared" ref="V96:V123" si="83">V$92</f>
        <v>15</v>
      </c>
      <c r="W96" s="104">
        <f t="shared" si="67"/>
        <v>9.5833333333333339</v>
      </c>
      <c r="X96" s="101" t="str">
        <f>LOOKUP(W96,'Wire-Cables Ampacities'!$B$5:$B$35,'Wire-Cables Ampacities'!$C$5:$C$35)</f>
        <v>#10</v>
      </c>
      <c r="Y96" s="106">
        <f t="shared" ref="Y96:Y123" si="84">Y$92</f>
        <v>10</v>
      </c>
      <c r="Z96" s="104">
        <f t="shared" si="68"/>
        <v>16.483500000000003</v>
      </c>
      <c r="AA96" s="101" t="str">
        <f>LOOKUP(Z96,'Wire-Cables Ampacities'!$B$5:$B$35,'Wire-Cables Ampacities'!$C$5:$C$35)</f>
        <v>#10</v>
      </c>
      <c r="AB96" s="106">
        <f t="shared" ref="AB96:AB123" si="85">AB$92</f>
        <v>10</v>
      </c>
      <c r="AC96" s="104">
        <f t="shared" si="69"/>
        <v>11</v>
      </c>
      <c r="AD96" s="101" t="str">
        <f>LOOKUP(AC96,'Wire-Cables Ampacities'!$B$5:$B$35,'Wire-Cables Ampacities'!$C$5:$C$35)</f>
        <v>#10</v>
      </c>
      <c r="AE96" s="107">
        <f t="shared" ref="AE96:AE123" si="86">(2*D96+0.05*L96*1000)/1000</f>
        <v>7.0000000000000007E-2</v>
      </c>
      <c r="AF96" s="105">
        <f t="shared" si="70"/>
        <v>238.84994</v>
      </c>
      <c r="AG96" s="98">
        <v>40</v>
      </c>
      <c r="AH96" s="99">
        <v>55</v>
      </c>
      <c r="AI96" s="106">
        <f t="shared" ref="AI96:AI123" si="87">AI$92</f>
        <v>20</v>
      </c>
      <c r="AJ96" s="105">
        <f t="shared" ref="AJ96:AJ123" si="88">1760*AE96/(AH96-AG96)*(1+AI96/100)</f>
        <v>9.8560000000000016</v>
      </c>
      <c r="AK96" s="272">
        <f t="shared" si="71"/>
        <v>0.10951111111111113</v>
      </c>
      <c r="AL96" s="278">
        <f t="shared" si="72"/>
        <v>5.4755555555555564E-2</v>
      </c>
      <c r="AM96" s="109">
        <v>450</v>
      </c>
      <c r="AN96" s="104">
        <v>24</v>
      </c>
      <c r="AO96" s="110">
        <v>30</v>
      </c>
      <c r="AP96" s="110">
        <v>16</v>
      </c>
      <c r="AQ96" s="282">
        <f t="shared" ref="AQ96:AQ123" si="89">((2*AO96*AN96)+2*(AO96*AP96)+(AN96*AP96))/144</f>
        <v>19.333333333333332</v>
      </c>
      <c r="AR96" s="288">
        <f t="shared" si="73"/>
        <v>-123.65005999999994</v>
      </c>
      <c r="AS96" s="93"/>
      <c r="AT96" s="4"/>
    </row>
    <row r="97" spans="1:46">
      <c r="A97" s="72">
        <f t="shared" si="74"/>
        <v>18</v>
      </c>
      <c r="B97" s="61">
        <v>2.4500000000000002</v>
      </c>
      <c r="C97" s="66">
        <f t="shared" si="75"/>
        <v>44.1</v>
      </c>
      <c r="D97" s="68">
        <v>15</v>
      </c>
      <c r="E97" s="66">
        <f t="shared" si="61"/>
        <v>120</v>
      </c>
      <c r="F97" s="45">
        <f t="shared" si="76"/>
        <v>12.5</v>
      </c>
      <c r="G97" s="94">
        <f t="shared" si="77"/>
        <v>12</v>
      </c>
      <c r="H97" s="295">
        <f t="shared" si="78"/>
        <v>56.825120000000013</v>
      </c>
      <c r="I97" s="25"/>
      <c r="J97" s="52">
        <f t="shared" si="79"/>
        <v>35</v>
      </c>
      <c r="K97" s="25">
        <f t="shared" si="62"/>
        <v>22.477500000000003</v>
      </c>
      <c r="L97" s="427">
        <f t="shared" si="63"/>
        <v>1.5</v>
      </c>
      <c r="M97" s="64">
        <f t="shared" si="80"/>
        <v>35</v>
      </c>
      <c r="N97" s="838">
        <f t="shared" si="64"/>
        <v>16.875</v>
      </c>
      <c r="O97" s="68">
        <f>LOOKUP(N97,'Circuit Breakers'!$B$5:$B$38,'Circuit Breakers'!$C$5:$C$38)</f>
        <v>20</v>
      </c>
      <c r="P97" s="199">
        <f t="shared" si="65"/>
        <v>30</v>
      </c>
      <c r="Q97" s="1056">
        <f t="shared" si="81"/>
        <v>29.220750000000006</v>
      </c>
      <c r="R97" s="1064">
        <f>LOOKUP(Q97,'Circuit Breakers'!$B$5:$B$38,'Circuit Breakers'!$C$5:$C$38)</f>
        <v>30</v>
      </c>
      <c r="S97" s="64">
        <f t="shared" si="66"/>
        <v>30</v>
      </c>
      <c r="T97" s="25">
        <f t="shared" si="82"/>
        <v>19.5</v>
      </c>
      <c r="U97" s="158">
        <f>LOOKUP(T97,'Circuit Breakers'!$B$5:$B$38,'Circuit Breakers'!$C$5:$C$38)</f>
        <v>20</v>
      </c>
      <c r="V97" s="64">
        <f t="shared" si="83"/>
        <v>15</v>
      </c>
      <c r="W97" s="25">
        <f t="shared" si="67"/>
        <v>14.374999999999998</v>
      </c>
      <c r="X97" s="68" t="str">
        <f>LOOKUP(W97,'Wire-Cables Ampacities'!$B$5:$B$35,'Wire-Cables Ampacities'!$C$5:$C$35)</f>
        <v>#10</v>
      </c>
      <c r="Y97" s="64">
        <f t="shared" si="84"/>
        <v>10</v>
      </c>
      <c r="Z97" s="25">
        <f t="shared" si="68"/>
        <v>24.725250000000006</v>
      </c>
      <c r="AA97" s="68" t="str">
        <f>LOOKUP(Z97,'Wire-Cables Ampacities'!$B$5:$B$35,'Wire-Cables Ampacities'!$C$5:$C$35)</f>
        <v>#10</v>
      </c>
      <c r="AB97" s="64">
        <f t="shared" si="85"/>
        <v>10</v>
      </c>
      <c r="AC97" s="25">
        <f t="shared" si="69"/>
        <v>16.5</v>
      </c>
      <c r="AD97" s="68" t="str">
        <f>LOOKUP(AC97,'Wire-Cables Ampacities'!$B$5:$B$35,'Wire-Cables Ampacities'!$C$5:$C$35)</f>
        <v>#10</v>
      </c>
      <c r="AE97" s="81">
        <f t="shared" si="86"/>
        <v>0.10500000000000001</v>
      </c>
      <c r="AF97" s="56">
        <f t="shared" si="70"/>
        <v>358.27490999999998</v>
      </c>
      <c r="AG97" s="72">
        <v>40</v>
      </c>
      <c r="AH97" s="15">
        <v>55</v>
      </c>
      <c r="AI97" s="64">
        <f t="shared" si="87"/>
        <v>20</v>
      </c>
      <c r="AJ97" s="56">
        <f t="shared" si="88"/>
        <v>14.783999999999999</v>
      </c>
      <c r="AK97" s="271">
        <f t="shared" si="71"/>
        <v>0.16426666666666664</v>
      </c>
      <c r="AL97" s="277">
        <f t="shared" si="72"/>
        <v>8.2133333333333322E-2</v>
      </c>
      <c r="AM97" s="58">
        <v>600</v>
      </c>
      <c r="AN97" s="25">
        <v>24</v>
      </c>
      <c r="AO97" s="3">
        <v>48</v>
      </c>
      <c r="AP97" s="3">
        <v>16</v>
      </c>
      <c r="AQ97" s="281">
        <f t="shared" si="89"/>
        <v>29.333333333333332</v>
      </c>
      <c r="AR97" s="287">
        <f t="shared" si="73"/>
        <v>-191.72509000000002</v>
      </c>
      <c r="AS97" s="93"/>
      <c r="AT97" s="4"/>
    </row>
    <row r="98" spans="1:46">
      <c r="A98" s="72">
        <f t="shared" si="74"/>
        <v>18</v>
      </c>
      <c r="B98" s="61">
        <v>2.4500000000000002</v>
      </c>
      <c r="C98" s="66">
        <f t="shared" si="75"/>
        <v>44.1</v>
      </c>
      <c r="D98" s="68">
        <v>20</v>
      </c>
      <c r="E98" s="66">
        <f t="shared" si="61"/>
        <v>120</v>
      </c>
      <c r="F98" s="45">
        <f t="shared" si="76"/>
        <v>14.583333333333334</v>
      </c>
      <c r="G98" s="94">
        <f t="shared" si="77"/>
        <v>12</v>
      </c>
      <c r="H98" s="295">
        <f t="shared" si="78"/>
        <v>56.825120000000013</v>
      </c>
      <c r="I98" s="25"/>
      <c r="J98" s="52">
        <f t="shared" si="79"/>
        <v>35</v>
      </c>
      <c r="K98" s="25">
        <f t="shared" si="62"/>
        <v>29.970000000000002</v>
      </c>
      <c r="L98" s="427">
        <f t="shared" si="63"/>
        <v>1.75</v>
      </c>
      <c r="M98" s="55">
        <f t="shared" si="80"/>
        <v>35</v>
      </c>
      <c r="N98" s="838">
        <f t="shared" si="64"/>
        <v>19.687500000000004</v>
      </c>
      <c r="O98" s="68">
        <f>LOOKUP(N98,'Circuit Breakers'!$B$5:$B$38,'Circuit Breakers'!$C$5:$C$38)</f>
        <v>20</v>
      </c>
      <c r="P98" s="199">
        <f t="shared" si="65"/>
        <v>30</v>
      </c>
      <c r="Q98" s="1056">
        <f t="shared" si="81"/>
        <v>38.961000000000006</v>
      </c>
      <c r="R98" s="1064">
        <f>LOOKUP(Q98,'Circuit Breakers'!$B$5:$B$38,'Circuit Breakers'!$C$5:$C$38)</f>
        <v>40</v>
      </c>
      <c r="S98" s="64">
        <f t="shared" si="66"/>
        <v>30</v>
      </c>
      <c r="T98" s="25">
        <f t="shared" si="82"/>
        <v>26</v>
      </c>
      <c r="U98" s="158">
        <f>LOOKUP(T98,'Circuit Breakers'!$B$5:$B$38,'Circuit Breakers'!$C$5:$C$38)</f>
        <v>30</v>
      </c>
      <c r="V98" s="64">
        <f t="shared" si="83"/>
        <v>15</v>
      </c>
      <c r="W98" s="25">
        <f t="shared" si="67"/>
        <v>16.770833333333332</v>
      </c>
      <c r="X98" s="68" t="str">
        <f>LOOKUP(W98,'Wire-Cables Ampacities'!$B$5:$B$35,'Wire-Cables Ampacities'!$C$5:$C$35)</f>
        <v>#10</v>
      </c>
      <c r="Y98" s="64">
        <f t="shared" si="84"/>
        <v>10</v>
      </c>
      <c r="Z98" s="25">
        <f t="shared" si="68"/>
        <v>32.967000000000006</v>
      </c>
      <c r="AA98" s="68" t="str">
        <f>LOOKUP(Z98,'Wire-Cables Ampacities'!$B$5:$B$35,'Wire-Cables Ampacities'!$C$5:$C$35)</f>
        <v>#10</v>
      </c>
      <c r="AB98" s="64">
        <f t="shared" si="85"/>
        <v>10</v>
      </c>
      <c r="AC98" s="25">
        <f t="shared" si="69"/>
        <v>22</v>
      </c>
      <c r="AD98" s="68" t="str">
        <f>LOOKUP(AC98,'Wire-Cables Ampacities'!$B$5:$B$35,'Wire-Cables Ampacities'!$C$5:$C$35)</f>
        <v>#10</v>
      </c>
      <c r="AE98" s="81">
        <f t="shared" si="86"/>
        <v>0.1275</v>
      </c>
      <c r="AF98" s="56">
        <f t="shared" si="70"/>
        <v>435.04810499999996</v>
      </c>
      <c r="AG98" s="72">
        <v>40</v>
      </c>
      <c r="AH98" s="15">
        <v>55</v>
      </c>
      <c r="AI98" s="64">
        <f t="shared" si="87"/>
        <v>20</v>
      </c>
      <c r="AJ98" s="56">
        <f t="shared" si="88"/>
        <v>17.952000000000002</v>
      </c>
      <c r="AK98" s="271">
        <f t="shared" si="71"/>
        <v>0.19946666666666668</v>
      </c>
      <c r="AL98" s="277">
        <f t="shared" si="72"/>
        <v>9.973333333333334E-2</v>
      </c>
      <c r="AM98" s="58">
        <v>600</v>
      </c>
      <c r="AN98" s="25">
        <v>24</v>
      </c>
      <c r="AO98" s="3">
        <v>48</v>
      </c>
      <c r="AP98" s="3">
        <v>16</v>
      </c>
      <c r="AQ98" s="281">
        <f t="shared" si="89"/>
        <v>29.333333333333332</v>
      </c>
      <c r="AR98" s="287">
        <f t="shared" si="73"/>
        <v>-114.95189500000004</v>
      </c>
      <c r="AS98" s="93"/>
      <c r="AT98" s="4"/>
    </row>
    <row r="99" spans="1:46">
      <c r="A99" s="98">
        <f t="shared" si="74"/>
        <v>18</v>
      </c>
      <c r="B99" s="304">
        <v>2.4500000000000002</v>
      </c>
      <c r="C99" s="100">
        <f t="shared" si="75"/>
        <v>44.1</v>
      </c>
      <c r="D99" s="101">
        <v>25</v>
      </c>
      <c r="E99" s="100">
        <f t="shared" si="61"/>
        <v>120</v>
      </c>
      <c r="F99" s="102">
        <f t="shared" si="76"/>
        <v>18.75</v>
      </c>
      <c r="G99" s="103">
        <f t="shared" si="77"/>
        <v>12</v>
      </c>
      <c r="H99" s="296">
        <f t="shared" si="78"/>
        <v>56.825120000000013</v>
      </c>
      <c r="I99" s="104"/>
      <c r="J99" s="180">
        <f t="shared" si="79"/>
        <v>35</v>
      </c>
      <c r="K99" s="104">
        <f t="shared" si="62"/>
        <v>37.462500000000006</v>
      </c>
      <c r="L99" s="428">
        <f t="shared" si="63"/>
        <v>2.25</v>
      </c>
      <c r="M99" s="106">
        <f t="shared" si="80"/>
        <v>35</v>
      </c>
      <c r="N99" s="1060">
        <f t="shared" si="64"/>
        <v>25.3125</v>
      </c>
      <c r="O99" s="101">
        <f>LOOKUP(N99,'Circuit Breakers'!$B$5:$B$38,'Circuit Breakers'!$C$5:$C$38)</f>
        <v>30</v>
      </c>
      <c r="P99" s="262">
        <f t="shared" si="65"/>
        <v>30</v>
      </c>
      <c r="Q99" s="1057">
        <f t="shared" si="81"/>
        <v>48.701250000000009</v>
      </c>
      <c r="R99" s="1065">
        <f>LOOKUP(Q99,'Circuit Breakers'!$B$5:$B$38,'Circuit Breakers'!$C$5:$C$38)</f>
        <v>50</v>
      </c>
      <c r="S99" s="106">
        <f t="shared" si="66"/>
        <v>30</v>
      </c>
      <c r="T99" s="104">
        <f t="shared" si="82"/>
        <v>32.5</v>
      </c>
      <c r="U99" s="477">
        <f>LOOKUP(T99,'Circuit Breakers'!$B$5:$B$38,'Circuit Breakers'!$C$5:$C$38)</f>
        <v>40</v>
      </c>
      <c r="V99" s="106">
        <f t="shared" si="83"/>
        <v>15</v>
      </c>
      <c r="W99" s="104">
        <f t="shared" si="67"/>
        <v>21.5625</v>
      </c>
      <c r="X99" s="101" t="str">
        <f>LOOKUP(W99,'Wire-Cables Ampacities'!$B$5:$B$35,'Wire-Cables Ampacities'!$C$5:$C$35)</f>
        <v>#10</v>
      </c>
      <c r="Y99" s="106">
        <f t="shared" si="84"/>
        <v>10</v>
      </c>
      <c r="Z99" s="104">
        <f t="shared" si="68"/>
        <v>41.208750000000009</v>
      </c>
      <c r="AA99" s="101" t="str">
        <f>LOOKUP(Z99,'Wire-Cables Ampacities'!$B$5:$B$35,'Wire-Cables Ampacities'!$C$5:$C$35)</f>
        <v>#8</v>
      </c>
      <c r="AB99" s="106">
        <f t="shared" si="85"/>
        <v>10</v>
      </c>
      <c r="AC99" s="104">
        <f t="shared" si="69"/>
        <v>27.500000000000004</v>
      </c>
      <c r="AD99" s="101" t="str">
        <f>LOOKUP(AC99,'Wire-Cables Ampacities'!$B$5:$B$35,'Wire-Cables Ampacities'!$C$5:$C$35)</f>
        <v>#10</v>
      </c>
      <c r="AE99" s="107">
        <f t="shared" si="86"/>
        <v>0.16250000000000001</v>
      </c>
      <c r="AF99" s="105">
        <f t="shared" si="70"/>
        <v>554.47307499999999</v>
      </c>
      <c r="AG99" s="98">
        <v>40</v>
      </c>
      <c r="AH99" s="99">
        <v>55</v>
      </c>
      <c r="AI99" s="106">
        <f t="shared" si="87"/>
        <v>20</v>
      </c>
      <c r="AJ99" s="105">
        <f t="shared" si="88"/>
        <v>22.88</v>
      </c>
      <c r="AK99" s="272">
        <f t="shared" si="71"/>
        <v>0.25422222222222224</v>
      </c>
      <c r="AL99" s="278">
        <f t="shared" si="72"/>
        <v>0.12711111111111112</v>
      </c>
      <c r="AM99" s="109">
        <v>600</v>
      </c>
      <c r="AN99" s="104">
        <v>24</v>
      </c>
      <c r="AO99" s="110">
        <v>48</v>
      </c>
      <c r="AP99" s="110">
        <v>16</v>
      </c>
      <c r="AQ99" s="282">
        <f t="shared" si="89"/>
        <v>29.333333333333332</v>
      </c>
      <c r="AR99" s="288">
        <f t="shared" si="73"/>
        <v>4.4730749999999944</v>
      </c>
      <c r="AS99" s="93"/>
      <c r="AT99" s="4"/>
    </row>
    <row r="100" spans="1:46">
      <c r="A100" s="72">
        <f t="shared" si="74"/>
        <v>18</v>
      </c>
      <c r="B100" s="61">
        <v>2.4500000000000002</v>
      </c>
      <c r="C100" s="66">
        <f t="shared" si="75"/>
        <v>44.1</v>
      </c>
      <c r="D100" s="68">
        <v>30</v>
      </c>
      <c r="E100" s="66">
        <f t="shared" si="61"/>
        <v>120</v>
      </c>
      <c r="F100" s="45">
        <f t="shared" si="76"/>
        <v>22.916666666666668</v>
      </c>
      <c r="G100" s="94">
        <f t="shared" si="77"/>
        <v>12</v>
      </c>
      <c r="H100" s="295">
        <f t="shared" si="78"/>
        <v>56.825120000000013</v>
      </c>
      <c r="I100" s="25"/>
      <c r="J100" s="52">
        <f t="shared" si="79"/>
        <v>35</v>
      </c>
      <c r="K100" s="25">
        <f t="shared" si="62"/>
        <v>44.955000000000005</v>
      </c>
      <c r="L100" s="427">
        <f t="shared" si="63"/>
        <v>2.75</v>
      </c>
      <c r="M100" s="64">
        <f t="shared" si="80"/>
        <v>35</v>
      </c>
      <c r="N100" s="838">
        <f t="shared" si="64"/>
        <v>30.937500000000004</v>
      </c>
      <c r="O100" s="68">
        <f>LOOKUP(N100,'Circuit Breakers'!$B$5:$B$38,'Circuit Breakers'!$C$5:$C$38)</f>
        <v>40</v>
      </c>
      <c r="P100" s="199">
        <f t="shared" si="65"/>
        <v>30</v>
      </c>
      <c r="Q100" s="1056">
        <f t="shared" si="81"/>
        <v>58.441500000000012</v>
      </c>
      <c r="R100" s="1064">
        <f>LOOKUP(Q100,'Circuit Breakers'!$B$5:$B$38,'Circuit Breakers'!$C$5:$C$38)</f>
        <v>60</v>
      </c>
      <c r="S100" s="64">
        <f t="shared" si="66"/>
        <v>30</v>
      </c>
      <c r="T100" s="25">
        <f t="shared" si="82"/>
        <v>39</v>
      </c>
      <c r="U100" s="158">
        <f>LOOKUP(T100,'Circuit Breakers'!$B$5:$B$38,'Circuit Breakers'!$C$5:$C$38)</f>
        <v>40</v>
      </c>
      <c r="V100" s="64">
        <f t="shared" si="83"/>
        <v>15</v>
      </c>
      <c r="W100" s="25">
        <f t="shared" si="67"/>
        <v>26.354166666666664</v>
      </c>
      <c r="X100" s="68" t="str">
        <f>LOOKUP(W100,'Wire-Cables Ampacities'!$B$5:$B$35,'Wire-Cables Ampacities'!$C$5:$C$35)</f>
        <v>#10</v>
      </c>
      <c r="Y100" s="64">
        <f t="shared" si="84"/>
        <v>10</v>
      </c>
      <c r="Z100" s="25">
        <f t="shared" si="68"/>
        <v>49.450500000000012</v>
      </c>
      <c r="AA100" s="68" t="str">
        <f>LOOKUP(Z100,'Wire-Cables Ampacities'!$B$5:$B$35,'Wire-Cables Ampacities'!$C$5:$C$35)</f>
        <v>#8</v>
      </c>
      <c r="AB100" s="64">
        <f t="shared" si="85"/>
        <v>10</v>
      </c>
      <c r="AC100" s="25">
        <f t="shared" si="69"/>
        <v>33</v>
      </c>
      <c r="AD100" s="68" t="str">
        <f>LOOKUP(AC100,'Wire-Cables Ampacities'!$B$5:$B$35,'Wire-Cables Ampacities'!$C$5:$C$35)</f>
        <v>#10</v>
      </c>
      <c r="AE100" s="81">
        <f t="shared" si="86"/>
        <v>0.19750000000000001</v>
      </c>
      <c r="AF100" s="56">
        <f t="shared" si="70"/>
        <v>673.89804499999991</v>
      </c>
      <c r="AG100" s="72">
        <v>40</v>
      </c>
      <c r="AH100" s="15">
        <v>55</v>
      </c>
      <c r="AI100" s="64">
        <f t="shared" si="87"/>
        <v>20</v>
      </c>
      <c r="AJ100" s="56">
        <f t="shared" si="88"/>
        <v>27.808000000000003</v>
      </c>
      <c r="AK100" s="271">
        <f t="shared" si="71"/>
        <v>0.3089777777777778</v>
      </c>
      <c r="AL100" s="277">
        <f t="shared" si="72"/>
        <v>0.1544888888888889</v>
      </c>
      <c r="AM100" s="58">
        <v>600</v>
      </c>
      <c r="AN100" s="25">
        <v>24</v>
      </c>
      <c r="AO100" s="3">
        <v>48</v>
      </c>
      <c r="AP100" s="3">
        <v>16</v>
      </c>
      <c r="AQ100" s="281">
        <f t="shared" si="89"/>
        <v>29.333333333333332</v>
      </c>
      <c r="AR100" s="287">
        <f t="shared" si="73"/>
        <v>123.89804499999991</v>
      </c>
      <c r="AS100" s="93"/>
      <c r="AT100" s="4"/>
    </row>
    <row r="101" spans="1:46">
      <c r="A101" s="72">
        <f t="shared" si="74"/>
        <v>18</v>
      </c>
      <c r="B101" s="61">
        <v>2.4500000000000002</v>
      </c>
      <c r="C101" s="66">
        <f t="shared" si="75"/>
        <v>44.1</v>
      </c>
      <c r="D101" s="68">
        <v>35</v>
      </c>
      <c r="E101" s="66">
        <f t="shared" si="61"/>
        <v>120</v>
      </c>
      <c r="F101" s="45">
        <f t="shared" si="76"/>
        <v>25</v>
      </c>
      <c r="G101" s="94">
        <f t="shared" si="77"/>
        <v>12</v>
      </c>
      <c r="H101" s="295">
        <f t="shared" si="78"/>
        <v>56.825120000000013</v>
      </c>
      <c r="I101" s="25"/>
      <c r="J101" s="52">
        <f t="shared" si="79"/>
        <v>35</v>
      </c>
      <c r="K101" s="25">
        <f t="shared" si="62"/>
        <v>52.447500000000005</v>
      </c>
      <c r="L101" s="427">
        <f t="shared" si="63"/>
        <v>3</v>
      </c>
      <c r="M101" s="64">
        <f t="shared" si="80"/>
        <v>35</v>
      </c>
      <c r="N101" s="838">
        <f t="shared" si="64"/>
        <v>33.75</v>
      </c>
      <c r="O101" s="68">
        <f>LOOKUP(N101,'Circuit Breakers'!$B$5:$B$38,'Circuit Breakers'!$C$5:$C$38)</f>
        <v>40</v>
      </c>
      <c r="P101" s="199">
        <f t="shared" si="65"/>
        <v>30</v>
      </c>
      <c r="Q101" s="1056">
        <f t="shared" si="81"/>
        <v>68.181750000000008</v>
      </c>
      <c r="R101" s="1064">
        <f>LOOKUP(Q101,'Circuit Breakers'!$B$5:$B$38,'Circuit Breakers'!$C$5:$C$38)</f>
        <v>70</v>
      </c>
      <c r="S101" s="64">
        <f t="shared" si="66"/>
        <v>30</v>
      </c>
      <c r="T101" s="25">
        <f t="shared" si="82"/>
        <v>45.5</v>
      </c>
      <c r="U101" s="158">
        <f>LOOKUP(T101,'Circuit Breakers'!$B$5:$B$38,'Circuit Breakers'!$C$5:$C$38)</f>
        <v>50</v>
      </c>
      <c r="V101" s="64">
        <f t="shared" si="83"/>
        <v>15</v>
      </c>
      <c r="W101" s="25">
        <f t="shared" si="67"/>
        <v>28.749999999999996</v>
      </c>
      <c r="X101" s="68" t="str">
        <f>LOOKUP(W101,'Wire-Cables Ampacities'!$B$5:$B$35,'Wire-Cables Ampacities'!$C$5:$C$35)</f>
        <v>#10</v>
      </c>
      <c r="Y101" s="64">
        <f t="shared" si="84"/>
        <v>10</v>
      </c>
      <c r="Z101" s="25">
        <f t="shared" si="68"/>
        <v>57.692250000000008</v>
      </c>
      <c r="AA101" s="68" t="str">
        <f>LOOKUP(Z101,'Wire-Cables Ampacities'!$B$5:$B$35,'Wire-Cables Ampacities'!$C$5:$C$35)</f>
        <v>#8</v>
      </c>
      <c r="AB101" s="64">
        <f t="shared" si="85"/>
        <v>10</v>
      </c>
      <c r="AC101" s="25">
        <f t="shared" si="69"/>
        <v>38.5</v>
      </c>
      <c r="AD101" s="68" t="str">
        <f>LOOKUP(AC101,'Wire-Cables Ampacities'!$B$5:$B$35,'Wire-Cables Ampacities'!$C$5:$C$35)</f>
        <v>#10</v>
      </c>
      <c r="AE101" s="81">
        <f t="shared" si="86"/>
        <v>0.22000000000000003</v>
      </c>
      <c r="AF101" s="56">
        <f t="shared" si="70"/>
        <v>750.67124000000013</v>
      </c>
      <c r="AG101" s="72">
        <v>40</v>
      </c>
      <c r="AH101" s="15">
        <v>55</v>
      </c>
      <c r="AI101" s="64">
        <f t="shared" si="87"/>
        <v>20</v>
      </c>
      <c r="AJ101" s="56">
        <f t="shared" si="88"/>
        <v>30.976000000000003</v>
      </c>
      <c r="AK101" s="271">
        <f t="shared" si="71"/>
        <v>0.3441777777777778</v>
      </c>
      <c r="AL101" s="277">
        <f t="shared" si="72"/>
        <v>0.1720888888888889</v>
      </c>
      <c r="AM101" s="58">
        <v>600</v>
      </c>
      <c r="AN101" s="25">
        <v>24</v>
      </c>
      <c r="AO101" s="3">
        <v>48</v>
      </c>
      <c r="AP101" s="3">
        <v>16</v>
      </c>
      <c r="AQ101" s="281">
        <f t="shared" si="89"/>
        <v>29.333333333333332</v>
      </c>
      <c r="AR101" s="287">
        <f t="shared" si="73"/>
        <v>200.67124000000013</v>
      </c>
      <c r="AS101" s="93"/>
      <c r="AT101" s="4"/>
    </row>
    <row r="102" spans="1:46">
      <c r="A102" s="98">
        <f t="shared" si="74"/>
        <v>18</v>
      </c>
      <c r="B102" s="304">
        <v>2.4500000000000002</v>
      </c>
      <c r="C102" s="100">
        <f t="shared" si="75"/>
        <v>44.1</v>
      </c>
      <c r="D102" s="101">
        <v>40</v>
      </c>
      <c r="E102" s="100">
        <f t="shared" si="61"/>
        <v>120</v>
      </c>
      <c r="F102" s="102">
        <f t="shared" si="76"/>
        <v>29.166666666666668</v>
      </c>
      <c r="G102" s="103">
        <f t="shared" si="77"/>
        <v>12</v>
      </c>
      <c r="H102" s="296">
        <f t="shared" si="78"/>
        <v>56.825120000000013</v>
      </c>
      <c r="I102" s="104"/>
      <c r="J102" s="180">
        <f t="shared" si="79"/>
        <v>35</v>
      </c>
      <c r="K102" s="104">
        <f t="shared" si="62"/>
        <v>59.940000000000005</v>
      </c>
      <c r="L102" s="428">
        <f t="shared" si="63"/>
        <v>3.5</v>
      </c>
      <c r="M102" s="106">
        <f t="shared" si="80"/>
        <v>35</v>
      </c>
      <c r="N102" s="1060">
        <f t="shared" si="64"/>
        <v>39.375000000000007</v>
      </c>
      <c r="O102" s="101">
        <f>LOOKUP(N102,'Circuit Breakers'!$B$5:$B$38,'Circuit Breakers'!$C$5:$C$38)</f>
        <v>40</v>
      </c>
      <c r="P102" s="262">
        <f t="shared" si="65"/>
        <v>30</v>
      </c>
      <c r="Q102" s="1057">
        <f t="shared" si="81"/>
        <v>77.922000000000011</v>
      </c>
      <c r="R102" s="1065">
        <f>LOOKUP(Q102,'Circuit Breakers'!$B$5:$B$38,'Circuit Breakers'!$C$5:$C$38)</f>
        <v>80</v>
      </c>
      <c r="S102" s="106">
        <f t="shared" si="66"/>
        <v>30</v>
      </c>
      <c r="T102" s="104">
        <f t="shared" si="82"/>
        <v>52</v>
      </c>
      <c r="U102" s="477">
        <f>LOOKUP(T102,'Circuit Breakers'!$B$5:$B$38,'Circuit Breakers'!$C$5:$C$38)</f>
        <v>60</v>
      </c>
      <c r="V102" s="106">
        <f t="shared" si="83"/>
        <v>15</v>
      </c>
      <c r="W102" s="104">
        <f t="shared" si="67"/>
        <v>33.541666666666664</v>
      </c>
      <c r="X102" s="101" t="str">
        <f>LOOKUP(W102,'Wire-Cables Ampacities'!$B$5:$B$35,'Wire-Cables Ampacities'!$C$5:$C$35)</f>
        <v>#10</v>
      </c>
      <c r="Y102" s="106">
        <f t="shared" si="84"/>
        <v>10</v>
      </c>
      <c r="Z102" s="104">
        <f t="shared" si="68"/>
        <v>65.934000000000012</v>
      </c>
      <c r="AA102" s="101" t="str">
        <f>LOOKUP(Z102,'Wire-Cables Ampacities'!$B$5:$B$35,'Wire-Cables Ampacities'!$C$5:$C$35)</f>
        <v>#6</v>
      </c>
      <c r="AB102" s="106">
        <f t="shared" si="85"/>
        <v>10</v>
      </c>
      <c r="AC102" s="104">
        <f t="shared" si="69"/>
        <v>44</v>
      </c>
      <c r="AD102" s="101" t="str">
        <f>LOOKUP(AC102,'Wire-Cables Ampacities'!$B$5:$B$35,'Wire-Cables Ampacities'!$C$5:$C$35)</f>
        <v>#8</v>
      </c>
      <c r="AE102" s="107">
        <f t="shared" si="86"/>
        <v>0.255</v>
      </c>
      <c r="AF102" s="105">
        <f t="shared" si="70"/>
        <v>870.09620999999993</v>
      </c>
      <c r="AG102" s="98">
        <v>40</v>
      </c>
      <c r="AH102" s="99">
        <v>55</v>
      </c>
      <c r="AI102" s="106">
        <f t="shared" si="87"/>
        <v>20</v>
      </c>
      <c r="AJ102" s="105">
        <f t="shared" si="88"/>
        <v>35.904000000000003</v>
      </c>
      <c r="AK102" s="272">
        <f t="shared" si="71"/>
        <v>0.39893333333333336</v>
      </c>
      <c r="AL102" s="278">
        <f t="shared" si="72"/>
        <v>0.19946666666666668</v>
      </c>
      <c r="AM102" s="109">
        <v>600</v>
      </c>
      <c r="AN102" s="104">
        <v>24</v>
      </c>
      <c r="AO102" s="110">
        <v>48</v>
      </c>
      <c r="AP102" s="110">
        <v>16</v>
      </c>
      <c r="AQ102" s="282">
        <f t="shared" si="89"/>
        <v>29.333333333333332</v>
      </c>
      <c r="AR102" s="288">
        <f t="shared" si="73"/>
        <v>320.09620999999993</v>
      </c>
      <c r="AS102" s="93"/>
      <c r="AT102" s="4"/>
    </row>
    <row r="103" spans="1:46">
      <c r="A103" s="72">
        <f t="shared" si="74"/>
        <v>18</v>
      </c>
      <c r="B103" s="61">
        <v>2.4500000000000002</v>
      </c>
      <c r="C103" s="66">
        <f t="shared" si="75"/>
        <v>44.1</v>
      </c>
      <c r="D103" s="68">
        <v>50</v>
      </c>
      <c r="E103" s="66">
        <f t="shared" si="61"/>
        <v>120</v>
      </c>
      <c r="F103" s="45">
        <f t="shared" si="76"/>
        <v>37.5</v>
      </c>
      <c r="G103" s="94">
        <f t="shared" si="77"/>
        <v>12</v>
      </c>
      <c r="H103" s="295">
        <f t="shared" si="78"/>
        <v>56.825120000000013</v>
      </c>
      <c r="I103" s="25"/>
      <c r="J103" s="52">
        <f t="shared" si="79"/>
        <v>35</v>
      </c>
      <c r="K103" s="25">
        <f t="shared" si="62"/>
        <v>74.925000000000011</v>
      </c>
      <c r="L103" s="427">
        <f t="shared" si="63"/>
        <v>4.5</v>
      </c>
      <c r="M103" s="64">
        <f t="shared" si="80"/>
        <v>35</v>
      </c>
      <c r="N103" s="838">
        <f t="shared" si="64"/>
        <v>50.625</v>
      </c>
      <c r="O103" s="68">
        <f>LOOKUP(N103,'Circuit Breakers'!$B$5:$B$38,'Circuit Breakers'!$C$5:$C$38)</f>
        <v>60</v>
      </c>
      <c r="P103" s="199">
        <f t="shared" si="65"/>
        <v>30</v>
      </c>
      <c r="Q103" s="1056">
        <f t="shared" si="81"/>
        <v>97.402500000000018</v>
      </c>
      <c r="R103" s="1064">
        <f>LOOKUP(Q103,'Circuit Breakers'!$B$5:$B$38,'Circuit Breakers'!$C$5:$C$38)</f>
        <v>100</v>
      </c>
      <c r="S103" s="64">
        <f t="shared" si="66"/>
        <v>30</v>
      </c>
      <c r="T103" s="25">
        <f t="shared" si="82"/>
        <v>65</v>
      </c>
      <c r="U103" s="158">
        <f>LOOKUP(T103,'Circuit Breakers'!$B$5:$B$38,'Circuit Breakers'!$C$5:$C$38)</f>
        <v>70</v>
      </c>
      <c r="V103" s="64">
        <f t="shared" si="83"/>
        <v>15</v>
      </c>
      <c r="W103" s="25">
        <f t="shared" si="67"/>
        <v>43.125</v>
      </c>
      <c r="X103" s="68" t="str">
        <f>LOOKUP(W103,'Wire-Cables Ampacities'!$B$5:$B$35,'Wire-Cables Ampacities'!$C$5:$C$35)</f>
        <v>#8</v>
      </c>
      <c r="Y103" s="64">
        <f t="shared" si="84"/>
        <v>10</v>
      </c>
      <c r="Z103" s="25">
        <f t="shared" si="68"/>
        <v>82.417500000000018</v>
      </c>
      <c r="AA103" s="68" t="str">
        <f>LOOKUP(Z103,'Wire-Cables Ampacities'!$B$5:$B$35,'Wire-Cables Ampacities'!$C$5:$C$35)</f>
        <v>#4</v>
      </c>
      <c r="AB103" s="64">
        <f t="shared" si="85"/>
        <v>10</v>
      </c>
      <c r="AC103" s="25">
        <f t="shared" si="69"/>
        <v>55.000000000000007</v>
      </c>
      <c r="AD103" s="68" t="str">
        <f>LOOKUP(AC103,'Wire-Cables Ampacities'!$B$5:$B$35,'Wire-Cables Ampacities'!$C$5:$C$35)</f>
        <v>#8</v>
      </c>
      <c r="AE103" s="81">
        <f t="shared" si="86"/>
        <v>0.32500000000000001</v>
      </c>
      <c r="AF103" s="56">
        <f t="shared" si="70"/>
        <v>1108.94615</v>
      </c>
      <c r="AG103" s="72">
        <v>40</v>
      </c>
      <c r="AH103" s="15">
        <v>55</v>
      </c>
      <c r="AI103" s="64">
        <f t="shared" si="87"/>
        <v>20</v>
      </c>
      <c r="AJ103" s="56">
        <f t="shared" si="88"/>
        <v>45.76</v>
      </c>
      <c r="AK103" s="271">
        <f t="shared" si="71"/>
        <v>0.50844444444444448</v>
      </c>
      <c r="AL103" s="277">
        <f t="shared" si="72"/>
        <v>0.25422222222222224</v>
      </c>
      <c r="AM103" s="58">
        <v>800</v>
      </c>
      <c r="AN103" s="25">
        <v>34</v>
      </c>
      <c r="AO103" s="3">
        <v>48</v>
      </c>
      <c r="AP103" s="3">
        <v>28</v>
      </c>
      <c r="AQ103" s="281">
        <f t="shared" si="89"/>
        <v>47.944444444444443</v>
      </c>
      <c r="AR103" s="287">
        <f t="shared" si="73"/>
        <v>209.98781666666662</v>
      </c>
      <c r="AS103" s="93"/>
      <c r="AT103" s="4"/>
    </row>
    <row r="104" spans="1:46">
      <c r="A104" s="72">
        <f t="shared" si="74"/>
        <v>18</v>
      </c>
      <c r="B104" s="61">
        <v>2.4500000000000002</v>
      </c>
      <c r="C104" s="66">
        <f t="shared" si="75"/>
        <v>44.1</v>
      </c>
      <c r="D104" s="68">
        <v>60</v>
      </c>
      <c r="E104" s="66">
        <f t="shared" si="61"/>
        <v>208</v>
      </c>
      <c r="F104" s="45">
        <f t="shared" si="76"/>
        <v>25.240384615384617</v>
      </c>
      <c r="G104" s="94">
        <f t="shared" si="77"/>
        <v>12</v>
      </c>
      <c r="H104" s="295">
        <f t="shared" si="78"/>
        <v>56.825120000000013</v>
      </c>
      <c r="I104" s="25"/>
      <c r="J104" s="52">
        <f t="shared" si="79"/>
        <v>35</v>
      </c>
      <c r="K104" s="25">
        <f t="shared" si="62"/>
        <v>89.910000000000011</v>
      </c>
      <c r="L104" s="427">
        <f t="shared" si="63"/>
        <v>5.25</v>
      </c>
      <c r="M104" s="64">
        <f t="shared" si="80"/>
        <v>35</v>
      </c>
      <c r="N104" s="838">
        <f t="shared" si="64"/>
        <v>34.074519230769234</v>
      </c>
      <c r="O104" s="68">
        <f>LOOKUP(N104,'Circuit Breakers'!$B$5:$B$38,'Circuit Breakers'!$C$5:$C$38)</f>
        <v>40</v>
      </c>
      <c r="P104" s="199">
        <f t="shared" si="65"/>
        <v>30</v>
      </c>
      <c r="Q104" s="1056">
        <f t="shared" si="81"/>
        <v>116.88300000000002</v>
      </c>
      <c r="R104" s="1064">
        <f>LOOKUP(Q104,'Circuit Breakers'!$B$5:$B$38,'Circuit Breakers'!$C$5:$C$38)</f>
        <v>125</v>
      </c>
      <c r="S104" s="64">
        <f t="shared" si="66"/>
        <v>30</v>
      </c>
      <c r="T104" s="25">
        <f t="shared" si="82"/>
        <v>78</v>
      </c>
      <c r="U104" s="158">
        <f>LOOKUP(T104,'Circuit Breakers'!$B$5:$B$38,'Circuit Breakers'!$C$5:$C$38)</f>
        <v>80</v>
      </c>
      <c r="V104" s="64">
        <f t="shared" si="83"/>
        <v>15</v>
      </c>
      <c r="W104" s="25">
        <f t="shared" si="67"/>
        <v>29.026442307692307</v>
      </c>
      <c r="X104" s="68" t="str">
        <f>LOOKUP(W104,'Wire-Cables Ampacities'!$B$5:$B$35,'Wire-Cables Ampacities'!$C$5:$C$35)</f>
        <v>#10</v>
      </c>
      <c r="Y104" s="64">
        <f t="shared" si="84"/>
        <v>10</v>
      </c>
      <c r="Z104" s="25">
        <f t="shared" si="68"/>
        <v>98.901000000000025</v>
      </c>
      <c r="AA104" s="68" t="str">
        <f>LOOKUP(Z104,'Wire-Cables Ampacities'!$B$5:$B$35,'Wire-Cables Ampacities'!$C$5:$C$35)</f>
        <v>#4</v>
      </c>
      <c r="AB104" s="64">
        <f t="shared" si="85"/>
        <v>10</v>
      </c>
      <c r="AC104" s="25">
        <f t="shared" si="69"/>
        <v>66</v>
      </c>
      <c r="AD104" s="68" t="str">
        <f>LOOKUP(AC104,'Wire-Cables Ampacities'!$B$5:$B$35,'Wire-Cables Ampacities'!$C$5:$C$35)</f>
        <v>#6</v>
      </c>
      <c r="AE104" s="81">
        <f t="shared" si="86"/>
        <v>0.38250000000000001</v>
      </c>
      <c r="AF104" s="56">
        <f t="shared" si="70"/>
        <v>1305.144315</v>
      </c>
      <c r="AG104" s="72">
        <v>40</v>
      </c>
      <c r="AH104" s="15">
        <v>55</v>
      </c>
      <c r="AI104" s="64">
        <f t="shared" si="87"/>
        <v>20</v>
      </c>
      <c r="AJ104" s="56">
        <f t="shared" si="88"/>
        <v>53.856000000000002</v>
      </c>
      <c r="AK104" s="271">
        <f t="shared" si="71"/>
        <v>0.59840000000000004</v>
      </c>
      <c r="AL104" s="277">
        <f t="shared" si="72"/>
        <v>0.29920000000000002</v>
      </c>
      <c r="AM104" s="58">
        <v>800</v>
      </c>
      <c r="AN104" s="25">
        <v>34</v>
      </c>
      <c r="AO104" s="3">
        <v>48</v>
      </c>
      <c r="AP104" s="3">
        <v>28</v>
      </c>
      <c r="AQ104" s="281">
        <f t="shared" si="89"/>
        <v>47.944444444444443</v>
      </c>
      <c r="AR104" s="287">
        <f t="shared" si="73"/>
        <v>406.18598166666663</v>
      </c>
      <c r="AS104" s="93"/>
      <c r="AT104" s="4"/>
    </row>
    <row r="105" spans="1:46">
      <c r="A105" s="98">
        <f t="shared" si="74"/>
        <v>18</v>
      </c>
      <c r="B105" s="304">
        <v>2.4500000000000002</v>
      </c>
      <c r="C105" s="100">
        <f t="shared" si="75"/>
        <v>44.1</v>
      </c>
      <c r="D105" s="101">
        <v>75</v>
      </c>
      <c r="E105" s="100">
        <f t="shared" si="61"/>
        <v>208</v>
      </c>
      <c r="F105" s="102">
        <f t="shared" si="76"/>
        <v>31.25</v>
      </c>
      <c r="G105" s="103">
        <f t="shared" si="77"/>
        <v>12</v>
      </c>
      <c r="H105" s="296">
        <f t="shared" si="78"/>
        <v>56.825120000000013</v>
      </c>
      <c r="I105" s="104"/>
      <c r="J105" s="180">
        <f t="shared" si="79"/>
        <v>35</v>
      </c>
      <c r="K105" s="104">
        <f t="shared" si="62"/>
        <v>112.3875</v>
      </c>
      <c r="L105" s="428">
        <f t="shared" si="63"/>
        <v>6.5</v>
      </c>
      <c r="M105" s="106">
        <f t="shared" si="80"/>
        <v>35</v>
      </c>
      <c r="N105" s="1060">
        <f t="shared" si="64"/>
        <v>42.1875</v>
      </c>
      <c r="O105" s="101">
        <f>LOOKUP(N105,'Circuit Breakers'!$B$5:$B$38,'Circuit Breakers'!$C$5:$C$38)</f>
        <v>50</v>
      </c>
      <c r="P105" s="262">
        <f t="shared" si="65"/>
        <v>30</v>
      </c>
      <c r="Q105" s="1057">
        <f t="shared" si="81"/>
        <v>146.10375000000002</v>
      </c>
      <c r="R105" s="1065">
        <f>LOOKUP(Q105,'Circuit Breakers'!$B$5:$B$38,'Circuit Breakers'!$C$5:$C$38)</f>
        <v>150</v>
      </c>
      <c r="S105" s="106">
        <f t="shared" si="66"/>
        <v>30</v>
      </c>
      <c r="T105" s="104">
        <f t="shared" si="82"/>
        <v>97.5</v>
      </c>
      <c r="U105" s="477">
        <f>LOOKUP(T105,'Circuit Breakers'!$B$5:$B$38,'Circuit Breakers'!$C$5:$C$38)</f>
        <v>100</v>
      </c>
      <c r="V105" s="106">
        <f t="shared" si="83"/>
        <v>15</v>
      </c>
      <c r="W105" s="104">
        <f t="shared" si="67"/>
        <v>35.9375</v>
      </c>
      <c r="X105" s="101" t="str">
        <f>LOOKUP(W105,'Wire-Cables Ampacities'!$B$5:$B$35,'Wire-Cables Ampacities'!$C$5:$C$35)</f>
        <v>#10</v>
      </c>
      <c r="Y105" s="106">
        <f t="shared" si="84"/>
        <v>10</v>
      </c>
      <c r="Z105" s="104">
        <f t="shared" si="68"/>
        <v>123.62625000000001</v>
      </c>
      <c r="AA105" s="101" t="str">
        <f>LOOKUP(Z105,'Wire-Cables Ampacities'!$B$5:$B$35,'Wire-Cables Ampacities'!$C$5:$C$35)</f>
        <v>#2</v>
      </c>
      <c r="AB105" s="106">
        <f t="shared" si="85"/>
        <v>10</v>
      </c>
      <c r="AC105" s="104">
        <f t="shared" si="69"/>
        <v>82.5</v>
      </c>
      <c r="AD105" s="101" t="str">
        <f>LOOKUP(AC105,'Wire-Cables Ampacities'!$B$5:$B$35,'Wire-Cables Ampacities'!$C$5:$C$35)</f>
        <v>#4</v>
      </c>
      <c r="AE105" s="107">
        <f t="shared" si="86"/>
        <v>0.47499999999999998</v>
      </c>
      <c r="AF105" s="105">
        <f t="shared" si="70"/>
        <v>1620.7674499999998</v>
      </c>
      <c r="AG105" s="98">
        <v>40</v>
      </c>
      <c r="AH105" s="99">
        <v>55</v>
      </c>
      <c r="AI105" s="106">
        <f t="shared" si="87"/>
        <v>20</v>
      </c>
      <c r="AJ105" s="105">
        <f t="shared" si="88"/>
        <v>66.88</v>
      </c>
      <c r="AK105" s="272">
        <f t="shared" si="71"/>
        <v>0.74311111111111106</v>
      </c>
      <c r="AL105" s="278">
        <f t="shared" si="72"/>
        <v>0.37155555555555553</v>
      </c>
      <c r="AM105" s="109">
        <v>800</v>
      </c>
      <c r="AN105" s="104">
        <v>34</v>
      </c>
      <c r="AO105" s="110">
        <v>48</v>
      </c>
      <c r="AP105" s="110">
        <v>28</v>
      </c>
      <c r="AQ105" s="282">
        <f t="shared" si="89"/>
        <v>47.944444444444443</v>
      </c>
      <c r="AR105" s="288">
        <f t="shared" si="73"/>
        <v>721.80911666666645</v>
      </c>
      <c r="AS105" s="93"/>
      <c r="AT105" s="4"/>
    </row>
    <row r="106" spans="1:46">
      <c r="A106" s="72">
        <f t="shared" si="74"/>
        <v>18</v>
      </c>
      <c r="B106" s="61">
        <v>2.4500000000000002</v>
      </c>
      <c r="C106" s="66">
        <f t="shared" si="75"/>
        <v>44.1</v>
      </c>
      <c r="D106" s="68">
        <v>100</v>
      </c>
      <c r="E106" s="66">
        <f t="shared" si="61"/>
        <v>208</v>
      </c>
      <c r="F106" s="45">
        <f t="shared" si="76"/>
        <v>42.067307692307693</v>
      </c>
      <c r="G106" s="94">
        <f t="shared" si="77"/>
        <v>12</v>
      </c>
      <c r="H106" s="295">
        <f t="shared" si="78"/>
        <v>56.825120000000013</v>
      </c>
      <c r="I106" s="25"/>
      <c r="J106" s="52">
        <f t="shared" si="79"/>
        <v>35</v>
      </c>
      <c r="K106" s="25">
        <f t="shared" si="62"/>
        <v>149.85000000000002</v>
      </c>
      <c r="L106" s="427">
        <f t="shared" si="63"/>
        <v>8.75</v>
      </c>
      <c r="M106" s="64">
        <f t="shared" si="80"/>
        <v>35</v>
      </c>
      <c r="N106" s="838">
        <f t="shared" si="64"/>
        <v>56.790865384615387</v>
      </c>
      <c r="O106" s="68">
        <f>LOOKUP(N106,'Circuit Breakers'!$B$5:$B$38,'Circuit Breakers'!$C$5:$C$38)</f>
        <v>60</v>
      </c>
      <c r="P106" s="199">
        <f t="shared" si="65"/>
        <v>30</v>
      </c>
      <c r="Q106" s="1056">
        <f t="shared" si="81"/>
        <v>194.80500000000004</v>
      </c>
      <c r="R106" s="1064">
        <f>LOOKUP(Q106,'Circuit Breakers'!$B$5:$B$38,'Circuit Breakers'!$C$5:$C$38)</f>
        <v>200</v>
      </c>
      <c r="S106" s="64">
        <f t="shared" si="66"/>
        <v>30</v>
      </c>
      <c r="T106" s="25">
        <f t="shared" si="82"/>
        <v>130</v>
      </c>
      <c r="U106" s="158">
        <f>LOOKUP(T106,'Circuit Breakers'!$B$5:$B$38,'Circuit Breakers'!$C$5:$C$38)</f>
        <v>150</v>
      </c>
      <c r="V106" s="64">
        <f t="shared" si="83"/>
        <v>15</v>
      </c>
      <c r="W106" s="25">
        <f t="shared" si="67"/>
        <v>48.377403846153847</v>
      </c>
      <c r="X106" s="68" t="str">
        <f>LOOKUP(W106,'Wire-Cables Ampacities'!$B$5:$B$35,'Wire-Cables Ampacities'!$C$5:$C$35)</f>
        <v>#8</v>
      </c>
      <c r="Y106" s="64">
        <f t="shared" si="84"/>
        <v>10</v>
      </c>
      <c r="Z106" s="25">
        <f t="shared" si="68"/>
        <v>164.83500000000004</v>
      </c>
      <c r="AA106" s="68" t="str">
        <f>LOOKUP(Z106,'Wire-Cables Ampacities'!$B$5:$B$35,'Wire-Cables Ampacities'!$C$5:$C$35)</f>
        <v>#1</v>
      </c>
      <c r="AB106" s="64">
        <f t="shared" si="85"/>
        <v>10</v>
      </c>
      <c r="AC106" s="25">
        <f t="shared" si="69"/>
        <v>110.00000000000001</v>
      </c>
      <c r="AD106" s="68" t="str">
        <f>LOOKUP(AC106,'Wire-Cables Ampacities'!$B$5:$B$35,'Wire-Cables Ampacities'!$C$5:$C$35)</f>
        <v>#3</v>
      </c>
      <c r="AE106" s="81">
        <f t="shared" si="86"/>
        <v>0.63749999999999996</v>
      </c>
      <c r="AF106" s="56">
        <f t="shared" si="70"/>
        <v>2175.2405249999997</v>
      </c>
      <c r="AG106" s="72">
        <v>40</v>
      </c>
      <c r="AH106" s="15">
        <v>55</v>
      </c>
      <c r="AI106" s="64">
        <f t="shared" si="87"/>
        <v>20</v>
      </c>
      <c r="AJ106" s="56">
        <f t="shared" si="88"/>
        <v>89.759999999999991</v>
      </c>
      <c r="AK106" s="271">
        <f t="shared" si="71"/>
        <v>0.99733333333333318</v>
      </c>
      <c r="AL106" s="277">
        <f t="shared" si="72"/>
        <v>0.49866666666666659</v>
      </c>
      <c r="AM106" s="58">
        <v>800</v>
      </c>
      <c r="AN106" s="25">
        <v>34</v>
      </c>
      <c r="AO106" s="3">
        <v>48</v>
      </c>
      <c r="AP106" s="3">
        <v>28</v>
      </c>
      <c r="AQ106" s="281">
        <f t="shared" si="89"/>
        <v>47.944444444444443</v>
      </c>
      <c r="AR106" s="287">
        <f t="shared" si="73"/>
        <v>1276.2821916666662</v>
      </c>
      <c r="AS106" s="93"/>
      <c r="AT106" s="4"/>
    </row>
    <row r="107" spans="1:46">
      <c r="A107" s="72">
        <f t="shared" si="74"/>
        <v>18</v>
      </c>
      <c r="B107" s="61">
        <v>2.4500000000000002</v>
      </c>
      <c r="C107" s="66">
        <f t="shared" si="75"/>
        <v>44.1</v>
      </c>
      <c r="D107" s="68">
        <v>125</v>
      </c>
      <c r="E107" s="66">
        <f t="shared" si="61"/>
        <v>480</v>
      </c>
      <c r="F107" s="45">
        <f t="shared" si="76"/>
        <v>22.916666666666668</v>
      </c>
      <c r="G107" s="94">
        <f t="shared" si="77"/>
        <v>12</v>
      </c>
      <c r="H107" s="295">
        <f t="shared" si="78"/>
        <v>56.825120000000013</v>
      </c>
      <c r="I107" s="25"/>
      <c r="J107" s="52">
        <f t="shared" si="79"/>
        <v>35</v>
      </c>
      <c r="K107" s="25">
        <f t="shared" si="62"/>
        <v>187.31250000000003</v>
      </c>
      <c r="L107" s="427">
        <f t="shared" si="63"/>
        <v>11</v>
      </c>
      <c r="M107" s="64">
        <f t="shared" si="80"/>
        <v>35</v>
      </c>
      <c r="N107" s="838">
        <f t="shared" si="64"/>
        <v>30.937500000000004</v>
      </c>
      <c r="O107" s="68">
        <f>LOOKUP(N107,'Circuit Breakers'!$B$5:$B$38,'Circuit Breakers'!$C$5:$C$38)</f>
        <v>40</v>
      </c>
      <c r="P107" s="199">
        <f t="shared" si="65"/>
        <v>30</v>
      </c>
      <c r="Q107" s="1056">
        <f t="shared" si="81"/>
        <v>243.50625000000005</v>
      </c>
      <c r="R107" s="1064">
        <f>LOOKUP(Q107,'Circuit Breakers'!$B$5:$B$38,'Circuit Breakers'!$C$5:$C$38)</f>
        <v>250</v>
      </c>
      <c r="S107" s="64">
        <f t="shared" si="66"/>
        <v>30</v>
      </c>
      <c r="T107" s="25">
        <f t="shared" si="82"/>
        <v>162.5</v>
      </c>
      <c r="U107" s="158">
        <f>LOOKUP(T107,'Circuit Breakers'!$B$5:$B$38,'Circuit Breakers'!$C$5:$C$38)</f>
        <v>175</v>
      </c>
      <c r="V107" s="64">
        <f t="shared" si="83"/>
        <v>15</v>
      </c>
      <c r="W107" s="25">
        <f t="shared" si="67"/>
        <v>26.354166666666664</v>
      </c>
      <c r="X107" s="68" t="str">
        <f>LOOKUP(W107,'Wire-Cables Ampacities'!$B$5:$B$35,'Wire-Cables Ampacities'!$C$5:$C$35)</f>
        <v>#10</v>
      </c>
      <c r="Y107" s="64">
        <f t="shared" si="84"/>
        <v>10</v>
      </c>
      <c r="Z107" s="25">
        <f t="shared" si="68"/>
        <v>206.04375000000005</v>
      </c>
      <c r="AA107" s="68" t="str">
        <f>LOOKUP(Z107,'Wire-Cables Ampacities'!$B$5:$B$35,'Wire-Cables Ampacities'!$C$5:$C$35)</f>
        <v>#2/0</v>
      </c>
      <c r="AB107" s="64">
        <f t="shared" si="85"/>
        <v>10</v>
      </c>
      <c r="AC107" s="25">
        <f t="shared" si="69"/>
        <v>137.5</v>
      </c>
      <c r="AD107" s="68" t="str">
        <f>LOOKUP(AC107,'Wire-Cables Ampacities'!$B$5:$B$35,'Wire-Cables Ampacities'!$C$5:$C$35)</f>
        <v>#2</v>
      </c>
      <c r="AE107" s="81">
        <f t="shared" si="86"/>
        <v>0.8</v>
      </c>
      <c r="AF107" s="56">
        <f t="shared" si="70"/>
        <v>2729.7136</v>
      </c>
      <c r="AG107" s="72">
        <v>40</v>
      </c>
      <c r="AH107" s="15">
        <v>55</v>
      </c>
      <c r="AI107" s="64">
        <f t="shared" si="87"/>
        <v>20</v>
      </c>
      <c r="AJ107" s="56">
        <f t="shared" si="88"/>
        <v>112.63999999999999</v>
      </c>
      <c r="AK107" s="271">
        <f t="shared" si="71"/>
        <v>1.2515555555555553</v>
      </c>
      <c r="AL107" s="277">
        <f t="shared" si="72"/>
        <v>0.62577777777777766</v>
      </c>
      <c r="AM107" s="58">
        <v>800</v>
      </c>
      <c r="AN107" s="25">
        <v>34</v>
      </c>
      <c r="AO107" s="3">
        <v>48</v>
      </c>
      <c r="AP107" s="3">
        <v>28</v>
      </c>
      <c r="AQ107" s="281">
        <f t="shared" si="89"/>
        <v>47.944444444444443</v>
      </c>
      <c r="AR107" s="287">
        <f t="shared" si="73"/>
        <v>1830.7552666666666</v>
      </c>
      <c r="AS107" s="93"/>
      <c r="AT107" s="4"/>
    </row>
    <row r="108" spans="1:46">
      <c r="A108" s="98">
        <f t="shared" si="74"/>
        <v>18</v>
      </c>
      <c r="B108" s="304">
        <v>2.4500000000000002</v>
      </c>
      <c r="C108" s="100">
        <f t="shared" si="75"/>
        <v>44.1</v>
      </c>
      <c r="D108" s="101">
        <v>150</v>
      </c>
      <c r="E108" s="100">
        <f t="shared" si="61"/>
        <v>480</v>
      </c>
      <c r="F108" s="102">
        <f t="shared" si="76"/>
        <v>27.083333333333332</v>
      </c>
      <c r="G108" s="103">
        <f t="shared" si="77"/>
        <v>12</v>
      </c>
      <c r="H108" s="296">
        <f t="shared" si="78"/>
        <v>56.825120000000013</v>
      </c>
      <c r="I108" s="104"/>
      <c r="J108" s="180">
        <f t="shared" si="79"/>
        <v>35</v>
      </c>
      <c r="K108" s="104">
        <f t="shared" si="62"/>
        <v>224.77500000000001</v>
      </c>
      <c r="L108" s="428">
        <f t="shared" si="63"/>
        <v>13</v>
      </c>
      <c r="M108" s="106">
        <f t="shared" si="80"/>
        <v>35</v>
      </c>
      <c r="N108" s="1060">
        <f t="shared" si="64"/>
        <v>36.5625</v>
      </c>
      <c r="O108" s="101">
        <f>LOOKUP(N108,'Circuit Breakers'!$B$5:$B$38,'Circuit Breakers'!$C$5:$C$38)</f>
        <v>40</v>
      </c>
      <c r="P108" s="262">
        <f t="shared" si="65"/>
        <v>30</v>
      </c>
      <c r="Q108" s="1057">
        <f t="shared" si="81"/>
        <v>292.20750000000004</v>
      </c>
      <c r="R108" s="1065">
        <f>LOOKUP(Q108,'Circuit Breakers'!$B$5:$B$38,'Circuit Breakers'!$C$5:$C$38)</f>
        <v>300</v>
      </c>
      <c r="S108" s="106">
        <f t="shared" si="66"/>
        <v>30</v>
      </c>
      <c r="T108" s="104">
        <f t="shared" si="82"/>
        <v>195</v>
      </c>
      <c r="U108" s="477">
        <f>LOOKUP(T108,'Circuit Breakers'!$B$5:$B$38,'Circuit Breakers'!$C$5:$C$38)</f>
        <v>200</v>
      </c>
      <c r="V108" s="106">
        <f t="shared" si="83"/>
        <v>15</v>
      </c>
      <c r="W108" s="104">
        <f t="shared" si="67"/>
        <v>31.145833333333329</v>
      </c>
      <c r="X108" s="101" t="str">
        <f>LOOKUP(W108,'Wire-Cables Ampacities'!$B$5:$B$35,'Wire-Cables Ampacities'!$C$5:$C$35)</f>
        <v>#10</v>
      </c>
      <c r="Y108" s="106">
        <f t="shared" si="84"/>
        <v>10</v>
      </c>
      <c r="Z108" s="104">
        <f t="shared" si="68"/>
        <v>247.25250000000003</v>
      </c>
      <c r="AA108" s="101" t="str">
        <f>LOOKUP(Z108,'Wire-Cables Ampacities'!$B$5:$B$35,'Wire-Cables Ampacities'!$C$5:$C$35)</f>
        <v>#3/0</v>
      </c>
      <c r="AB108" s="106">
        <f t="shared" si="85"/>
        <v>10</v>
      </c>
      <c r="AC108" s="104">
        <f t="shared" si="69"/>
        <v>165</v>
      </c>
      <c r="AD108" s="101" t="str">
        <f>LOOKUP(AC108,'Wire-Cables Ampacities'!$B$5:$B$35,'Wire-Cables Ampacities'!$C$5:$C$35)</f>
        <v>#1</v>
      </c>
      <c r="AE108" s="107">
        <f t="shared" si="86"/>
        <v>0.95</v>
      </c>
      <c r="AF108" s="105">
        <f t="shared" si="70"/>
        <v>3241.5348999999997</v>
      </c>
      <c r="AG108" s="98">
        <v>40</v>
      </c>
      <c r="AH108" s="99">
        <v>55</v>
      </c>
      <c r="AI108" s="106">
        <f t="shared" si="87"/>
        <v>20</v>
      </c>
      <c r="AJ108" s="105">
        <f t="shared" si="88"/>
        <v>133.76</v>
      </c>
      <c r="AK108" s="272">
        <f t="shared" si="71"/>
        <v>1.4862222222222221</v>
      </c>
      <c r="AL108" s="278">
        <f t="shared" si="72"/>
        <v>0.74311111111111106</v>
      </c>
      <c r="AM108" s="109">
        <v>800</v>
      </c>
      <c r="AN108" s="104">
        <v>34</v>
      </c>
      <c r="AO108" s="110">
        <v>48</v>
      </c>
      <c r="AP108" s="110">
        <v>28</v>
      </c>
      <c r="AQ108" s="282">
        <f t="shared" si="89"/>
        <v>47.944444444444443</v>
      </c>
      <c r="AR108" s="288">
        <f t="shared" si="73"/>
        <v>2342.5765666666662</v>
      </c>
      <c r="AS108" s="93"/>
      <c r="AT108" s="4"/>
    </row>
    <row r="109" spans="1:46">
      <c r="A109" s="72">
        <f t="shared" si="74"/>
        <v>18</v>
      </c>
      <c r="B109" s="61">
        <v>2.4500000000000002</v>
      </c>
      <c r="C109" s="66">
        <f t="shared" si="75"/>
        <v>44.1</v>
      </c>
      <c r="D109" s="68">
        <v>175</v>
      </c>
      <c r="E109" s="66">
        <f t="shared" si="61"/>
        <v>480</v>
      </c>
      <c r="F109" s="45">
        <f t="shared" si="76"/>
        <v>31.25</v>
      </c>
      <c r="G109" s="94">
        <f t="shared" si="77"/>
        <v>12</v>
      </c>
      <c r="H109" s="295">
        <f t="shared" si="78"/>
        <v>56.825120000000013</v>
      </c>
      <c r="I109" s="25"/>
      <c r="J109" s="52">
        <f t="shared" si="79"/>
        <v>35</v>
      </c>
      <c r="K109" s="25">
        <f t="shared" si="62"/>
        <v>262.23750000000007</v>
      </c>
      <c r="L109" s="427">
        <f t="shared" si="63"/>
        <v>15</v>
      </c>
      <c r="M109" s="64">
        <f t="shared" si="80"/>
        <v>35</v>
      </c>
      <c r="N109" s="838">
        <f t="shared" si="64"/>
        <v>42.1875</v>
      </c>
      <c r="O109" s="68">
        <f>LOOKUP(N109,'Circuit Breakers'!$B$5:$B$38,'Circuit Breakers'!$C$5:$C$38)</f>
        <v>50</v>
      </c>
      <c r="P109" s="199">
        <f t="shared" si="65"/>
        <v>30</v>
      </c>
      <c r="Q109" s="1056">
        <f t="shared" si="81"/>
        <v>340.90875000000011</v>
      </c>
      <c r="R109" s="1064">
        <f>LOOKUP(Q109,'Circuit Breakers'!$B$5:$B$38,'Circuit Breakers'!$C$5:$C$38)</f>
        <v>350</v>
      </c>
      <c r="S109" s="64">
        <f t="shared" si="66"/>
        <v>30</v>
      </c>
      <c r="T109" s="25">
        <f t="shared" si="82"/>
        <v>227.5</v>
      </c>
      <c r="U109" s="158">
        <f>LOOKUP(T109,'Circuit Breakers'!$B$5:$B$38,'Circuit Breakers'!$C$5:$C$38)</f>
        <v>250</v>
      </c>
      <c r="V109" s="64">
        <f t="shared" si="83"/>
        <v>15</v>
      </c>
      <c r="W109" s="25">
        <f t="shared" si="67"/>
        <v>35.9375</v>
      </c>
      <c r="X109" s="68" t="str">
        <f>LOOKUP(W109,'Wire-Cables Ampacities'!$B$5:$B$35,'Wire-Cables Ampacities'!$C$5:$C$35)</f>
        <v>#10</v>
      </c>
      <c r="Y109" s="64">
        <f t="shared" si="84"/>
        <v>10</v>
      </c>
      <c r="Z109" s="25">
        <f t="shared" si="68"/>
        <v>288.46125000000012</v>
      </c>
      <c r="AA109" s="68" t="str">
        <f>LOOKUP(Z109,'Wire-Cables Ampacities'!$B$5:$B$35,'Wire-Cables Ampacities'!$C$5:$C$35)</f>
        <v>#4/0</v>
      </c>
      <c r="AB109" s="64">
        <f t="shared" si="85"/>
        <v>10</v>
      </c>
      <c r="AC109" s="25">
        <f t="shared" si="69"/>
        <v>192.50000000000003</v>
      </c>
      <c r="AD109" s="68" t="str">
        <f>LOOKUP(AC109,'Wire-Cables Ampacities'!$B$5:$B$35,'Wire-Cables Ampacities'!$C$5:$C$35)</f>
        <v>#1/0</v>
      </c>
      <c r="AE109" s="81">
        <f t="shared" si="86"/>
        <v>1.1000000000000001</v>
      </c>
      <c r="AF109" s="56">
        <f t="shared" si="70"/>
        <v>3753.3562000000002</v>
      </c>
      <c r="AG109" s="72">
        <v>40</v>
      </c>
      <c r="AH109" s="15">
        <v>55</v>
      </c>
      <c r="AI109" s="64">
        <f t="shared" si="87"/>
        <v>20</v>
      </c>
      <c r="AJ109" s="56">
        <f t="shared" si="88"/>
        <v>154.88000000000002</v>
      </c>
      <c r="AK109" s="271">
        <f t="shared" si="71"/>
        <v>1.7208888888888891</v>
      </c>
      <c r="AL109" s="277">
        <f t="shared" si="72"/>
        <v>0.86044444444444457</v>
      </c>
      <c r="AM109" s="58">
        <v>1200</v>
      </c>
      <c r="AN109" s="25">
        <v>38</v>
      </c>
      <c r="AO109" s="3">
        <v>70</v>
      </c>
      <c r="AP109" s="3">
        <v>28</v>
      </c>
      <c r="AQ109" s="281">
        <f t="shared" si="89"/>
        <v>71.555555555555557</v>
      </c>
      <c r="AR109" s="287">
        <f t="shared" si="73"/>
        <v>2411.6895333333332</v>
      </c>
      <c r="AS109" s="93"/>
      <c r="AT109" s="4"/>
    </row>
    <row r="110" spans="1:46">
      <c r="A110" s="72">
        <f t="shared" si="74"/>
        <v>18</v>
      </c>
      <c r="B110" s="61">
        <v>2.4500000000000002</v>
      </c>
      <c r="C110" s="66">
        <f t="shared" si="75"/>
        <v>44.1</v>
      </c>
      <c r="D110" s="68">
        <v>200</v>
      </c>
      <c r="E110" s="66">
        <f t="shared" si="61"/>
        <v>480</v>
      </c>
      <c r="F110" s="45">
        <f t="shared" si="76"/>
        <v>36.458333333333336</v>
      </c>
      <c r="G110" s="94">
        <f t="shared" si="77"/>
        <v>12</v>
      </c>
      <c r="H110" s="295">
        <f t="shared" si="78"/>
        <v>56.825120000000013</v>
      </c>
      <c r="I110" s="25"/>
      <c r="J110" s="52">
        <f t="shared" si="79"/>
        <v>35</v>
      </c>
      <c r="K110" s="25">
        <f t="shared" si="62"/>
        <v>299.70000000000005</v>
      </c>
      <c r="L110" s="427">
        <f t="shared" si="63"/>
        <v>17.5</v>
      </c>
      <c r="M110" s="64">
        <f t="shared" si="80"/>
        <v>35</v>
      </c>
      <c r="N110" s="838">
        <f t="shared" si="64"/>
        <v>49.218750000000007</v>
      </c>
      <c r="O110" s="68">
        <f>LOOKUP(N110,'Circuit Breakers'!$B$5:$B$38,'Circuit Breakers'!$C$5:$C$38)</f>
        <v>50</v>
      </c>
      <c r="P110" s="199">
        <f t="shared" si="65"/>
        <v>30</v>
      </c>
      <c r="Q110" s="1056">
        <f t="shared" si="81"/>
        <v>389.61000000000007</v>
      </c>
      <c r="R110" s="1064">
        <f>LOOKUP(Q110,'Circuit Breakers'!$B$5:$B$38,'Circuit Breakers'!$C$5:$C$38)</f>
        <v>400</v>
      </c>
      <c r="S110" s="64">
        <f t="shared" si="66"/>
        <v>30</v>
      </c>
      <c r="T110" s="25">
        <f t="shared" si="82"/>
        <v>260</v>
      </c>
      <c r="U110" s="158">
        <f>LOOKUP(T110,'Circuit Breakers'!$B$5:$B$38,'Circuit Breakers'!$C$5:$C$38)</f>
        <v>300</v>
      </c>
      <c r="V110" s="64">
        <f t="shared" si="83"/>
        <v>15</v>
      </c>
      <c r="W110" s="25">
        <f t="shared" si="67"/>
        <v>41.927083333333336</v>
      </c>
      <c r="X110" s="68" t="str">
        <f>LOOKUP(W110,'Wire-Cables Ampacities'!$B$5:$B$35,'Wire-Cables Ampacities'!$C$5:$C$35)</f>
        <v>#8</v>
      </c>
      <c r="Y110" s="64">
        <f t="shared" si="84"/>
        <v>10</v>
      </c>
      <c r="Z110" s="25">
        <f t="shared" si="68"/>
        <v>329.67000000000007</v>
      </c>
      <c r="AA110" s="68" t="str">
        <f>LOOKUP(Z110,'Wire-Cables Ampacities'!$B$5:$B$35,'Wire-Cables Ampacities'!$C$5:$C$35)</f>
        <v>250MCM</v>
      </c>
      <c r="AB110" s="64">
        <f t="shared" si="85"/>
        <v>10</v>
      </c>
      <c r="AC110" s="25">
        <f t="shared" si="69"/>
        <v>220.00000000000003</v>
      </c>
      <c r="AD110" s="68" t="str">
        <f>LOOKUP(AC110,'Wire-Cables Ampacities'!$B$5:$B$35,'Wire-Cables Ampacities'!$C$5:$C$35)</f>
        <v>#2/0</v>
      </c>
      <c r="AE110" s="81">
        <f t="shared" si="86"/>
        <v>1.2749999999999999</v>
      </c>
      <c r="AF110" s="56">
        <f t="shared" si="70"/>
        <v>4350.4810499999994</v>
      </c>
      <c r="AG110" s="72">
        <v>40</v>
      </c>
      <c r="AH110" s="15">
        <v>55</v>
      </c>
      <c r="AI110" s="64">
        <f t="shared" si="87"/>
        <v>20</v>
      </c>
      <c r="AJ110" s="56">
        <f t="shared" si="88"/>
        <v>179.51999999999998</v>
      </c>
      <c r="AK110" s="271">
        <f t="shared" si="71"/>
        <v>1.9946666666666664</v>
      </c>
      <c r="AL110" s="277">
        <f t="shared" si="72"/>
        <v>0.99733333333333318</v>
      </c>
      <c r="AM110" s="58">
        <v>1200</v>
      </c>
      <c r="AN110" s="25">
        <v>38</v>
      </c>
      <c r="AO110" s="3">
        <v>70</v>
      </c>
      <c r="AP110" s="3">
        <v>28</v>
      </c>
      <c r="AQ110" s="281">
        <f t="shared" si="89"/>
        <v>71.555555555555557</v>
      </c>
      <c r="AR110" s="287">
        <f t="shared" si="73"/>
        <v>3008.8143833333324</v>
      </c>
      <c r="AS110" s="93"/>
      <c r="AT110" s="4"/>
    </row>
    <row r="111" spans="1:46">
      <c r="A111" s="98">
        <f t="shared" si="74"/>
        <v>18</v>
      </c>
      <c r="B111" s="304">
        <v>2.4500000000000002</v>
      </c>
      <c r="C111" s="100">
        <f t="shared" si="75"/>
        <v>44.1</v>
      </c>
      <c r="D111" s="101">
        <v>250</v>
      </c>
      <c r="E111" s="100">
        <f t="shared" si="61"/>
        <v>480</v>
      </c>
      <c r="F111" s="102">
        <f t="shared" si="76"/>
        <v>45.833333333333336</v>
      </c>
      <c r="G111" s="103">
        <f t="shared" si="77"/>
        <v>12</v>
      </c>
      <c r="H111" s="296">
        <f t="shared" si="78"/>
        <v>56.825120000000013</v>
      </c>
      <c r="I111" s="104"/>
      <c r="J111" s="180">
        <f t="shared" si="79"/>
        <v>35</v>
      </c>
      <c r="K111" s="104">
        <f t="shared" si="62"/>
        <v>374.62500000000006</v>
      </c>
      <c r="L111" s="428">
        <f t="shared" si="63"/>
        <v>22</v>
      </c>
      <c r="M111" s="106">
        <f t="shared" si="80"/>
        <v>35</v>
      </c>
      <c r="N111" s="1060">
        <f t="shared" si="64"/>
        <v>61.875000000000007</v>
      </c>
      <c r="O111" s="101">
        <f>LOOKUP(N111,'Circuit Breakers'!$B$5:$B$38,'Circuit Breakers'!$C$5:$C$38)</f>
        <v>60</v>
      </c>
      <c r="P111" s="262">
        <f t="shared" si="65"/>
        <v>30</v>
      </c>
      <c r="Q111" s="1057">
        <f t="shared" si="81"/>
        <v>487.0125000000001</v>
      </c>
      <c r="R111" s="1065">
        <f>LOOKUP(Q111,'Circuit Breakers'!$B$5:$B$38,'Circuit Breakers'!$C$5:$C$38)</f>
        <v>500</v>
      </c>
      <c r="S111" s="106">
        <f t="shared" si="66"/>
        <v>30</v>
      </c>
      <c r="T111" s="104">
        <f t="shared" si="82"/>
        <v>325</v>
      </c>
      <c r="U111" s="477">
        <f>LOOKUP(T111,'Circuit Breakers'!$B$5:$B$38,'Circuit Breakers'!$C$5:$C$38)</f>
        <v>350</v>
      </c>
      <c r="V111" s="106">
        <f t="shared" si="83"/>
        <v>15</v>
      </c>
      <c r="W111" s="104">
        <f t="shared" si="67"/>
        <v>52.708333333333329</v>
      </c>
      <c r="X111" s="101" t="str">
        <f>LOOKUP(W111,'Wire-Cables Ampacities'!$B$5:$B$35,'Wire-Cables Ampacities'!$C$5:$C$35)</f>
        <v>#8</v>
      </c>
      <c r="Y111" s="106">
        <f t="shared" si="84"/>
        <v>10</v>
      </c>
      <c r="Z111" s="104">
        <f t="shared" si="68"/>
        <v>412.08750000000009</v>
      </c>
      <c r="AA111" s="101" t="str">
        <f>LOOKUP(Z111,'Wire-Cables Ampacities'!$B$5:$B$35,'Wire-Cables Ampacities'!$C$5:$C$35)</f>
        <v>#2/0 2x</v>
      </c>
      <c r="AB111" s="106">
        <f t="shared" si="85"/>
        <v>10</v>
      </c>
      <c r="AC111" s="104">
        <f t="shared" si="69"/>
        <v>275</v>
      </c>
      <c r="AD111" s="101" t="str">
        <f>LOOKUP(AC111,'Wire-Cables Ampacities'!$B$5:$B$35,'Wire-Cables Ampacities'!$C$5:$C$35)</f>
        <v>#4/0</v>
      </c>
      <c r="AE111" s="107">
        <f t="shared" si="86"/>
        <v>1.6</v>
      </c>
      <c r="AF111" s="105">
        <f t="shared" si="70"/>
        <v>5459.4272000000001</v>
      </c>
      <c r="AG111" s="98">
        <v>40</v>
      </c>
      <c r="AH111" s="99">
        <v>55</v>
      </c>
      <c r="AI111" s="106">
        <f t="shared" si="87"/>
        <v>20</v>
      </c>
      <c r="AJ111" s="105">
        <f t="shared" si="88"/>
        <v>225.27999999999997</v>
      </c>
      <c r="AK111" s="272">
        <f t="shared" si="71"/>
        <v>2.5031111111111106</v>
      </c>
      <c r="AL111" s="278">
        <f t="shared" si="72"/>
        <v>1.2515555555555553</v>
      </c>
      <c r="AM111" s="109">
        <v>1200</v>
      </c>
      <c r="AN111" s="104">
        <v>38</v>
      </c>
      <c r="AO111" s="110">
        <v>70</v>
      </c>
      <c r="AP111" s="110">
        <v>28</v>
      </c>
      <c r="AQ111" s="282">
        <f t="shared" si="89"/>
        <v>71.555555555555557</v>
      </c>
      <c r="AR111" s="288">
        <f t="shared" si="73"/>
        <v>4117.7605333333331</v>
      </c>
      <c r="AS111" s="93"/>
      <c r="AT111" s="4"/>
    </row>
    <row r="112" spans="1:46">
      <c r="A112" s="72">
        <f t="shared" si="74"/>
        <v>18</v>
      </c>
      <c r="B112" s="61">
        <v>2.4500000000000002</v>
      </c>
      <c r="C112" s="66">
        <f t="shared" si="75"/>
        <v>44.1</v>
      </c>
      <c r="D112" s="68">
        <v>300</v>
      </c>
      <c r="E112" s="66">
        <f t="shared" si="61"/>
        <v>480</v>
      </c>
      <c r="F112" s="45">
        <f t="shared" si="76"/>
        <v>54.166666666666664</v>
      </c>
      <c r="G112" s="94">
        <f t="shared" si="77"/>
        <v>12</v>
      </c>
      <c r="H112" s="295">
        <f t="shared" si="78"/>
        <v>56.825120000000013</v>
      </c>
      <c r="I112" s="25"/>
      <c r="J112" s="52">
        <f t="shared" si="79"/>
        <v>35</v>
      </c>
      <c r="K112" s="25">
        <f t="shared" si="62"/>
        <v>449.55</v>
      </c>
      <c r="L112" s="427">
        <f t="shared" si="63"/>
        <v>26</v>
      </c>
      <c r="M112" s="64">
        <f t="shared" si="80"/>
        <v>35</v>
      </c>
      <c r="N112" s="838">
        <f t="shared" si="64"/>
        <v>73.125</v>
      </c>
      <c r="O112" s="68">
        <f>LOOKUP(N112,'Circuit Breakers'!$B$5:$B$38,'Circuit Breakers'!$C$5:$C$38)</f>
        <v>80</v>
      </c>
      <c r="P112" s="199">
        <f t="shared" si="65"/>
        <v>30</v>
      </c>
      <c r="Q112" s="1056">
        <f t="shared" si="81"/>
        <v>584.41500000000008</v>
      </c>
      <c r="R112" s="1064">
        <f>LOOKUP(Q112,'Circuit Breakers'!$B$5:$B$38,'Circuit Breakers'!$C$5:$C$38)</f>
        <v>600</v>
      </c>
      <c r="S112" s="64">
        <f t="shared" si="66"/>
        <v>30</v>
      </c>
      <c r="T112" s="25">
        <f t="shared" si="82"/>
        <v>390</v>
      </c>
      <c r="U112" s="158">
        <f>LOOKUP(T112,'Circuit Breakers'!$B$5:$B$38,'Circuit Breakers'!$C$5:$C$38)</f>
        <v>400</v>
      </c>
      <c r="V112" s="64">
        <f t="shared" si="83"/>
        <v>15</v>
      </c>
      <c r="W112" s="25">
        <f t="shared" si="67"/>
        <v>62.291666666666657</v>
      </c>
      <c r="X112" s="68" t="str">
        <f>LOOKUP(W112,'Wire-Cables Ampacities'!$B$5:$B$35,'Wire-Cables Ampacities'!$C$5:$C$35)</f>
        <v>#6</v>
      </c>
      <c r="Y112" s="64">
        <f t="shared" si="84"/>
        <v>10</v>
      </c>
      <c r="Z112" s="25">
        <f t="shared" si="68"/>
        <v>494.50500000000005</v>
      </c>
      <c r="AA112" s="68" t="str">
        <f>LOOKUP(Z112,'Wire-Cables Ampacities'!$B$5:$B$35,'Wire-Cables Ampacities'!$C$5:$C$35)</f>
        <v>#3/0 2x</v>
      </c>
      <c r="AB112" s="64">
        <f t="shared" si="85"/>
        <v>10</v>
      </c>
      <c r="AC112" s="25">
        <f t="shared" si="69"/>
        <v>330</v>
      </c>
      <c r="AD112" s="68" t="str">
        <f>LOOKUP(AC112,'Wire-Cables Ampacities'!$B$5:$B$35,'Wire-Cables Ampacities'!$C$5:$C$35)</f>
        <v>250MCM</v>
      </c>
      <c r="AE112" s="81">
        <f t="shared" si="86"/>
        <v>1.9</v>
      </c>
      <c r="AF112" s="56">
        <f t="shared" ref="AF112:AF123" si="90">AE112*3.412142*1000</f>
        <v>6483.0697999999993</v>
      </c>
      <c r="AG112" s="72">
        <v>40</v>
      </c>
      <c r="AH112" s="15">
        <v>55</v>
      </c>
      <c r="AI112" s="64">
        <f t="shared" si="87"/>
        <v>20</v>
      </c>
      <c r="AJ112" s="56">
        <f t="shared" si="88"/>
        <v>267.52</v>
      </c>
      <c r="AK112" s="271">
        <f t="shared" si="71"/>
        <v>2.9724444444444442</v>
      </c>
      <c r="AL112" s="277">
        <f t="shared" si="72"/>
        <v>1.4862222222222221</v>
      </c>
      <c r="AM112" s="58">
        <v>1200</v>
      </c>
      <c r="AN112" s="25">
        <v>38</v>
      </c>
      <c r="AO112" s="3">
        <v>70</v>
      </c>
      <c r="AP112" s="3">
        <v>28</v>
      </c>
      <c r="AQ112" s="281">
        <f t="shared" si="89"/>
        <v>71.555555555555557</v>
      </c>
      <c r="AR112" s="287">
        <f t="shared" ref="AR112:AR123" si="91">AF112+(1.25*AQ112*(AG112-AH112))</f>
        <v>5141.4031333333323</v>
      </c>
      <c r="AS112" s="93"/>
      <c r="AT112" s="4"/>
    </row>
    <row r="113" spans="1:46">
      <c r="A113" s="72">
        <f t="shared" si="74"/>
        <v>18</v>
      </c>
      <c r="B113" s="61">
        <v>2.4500000000000002</v>
      </c>
      <c r="C113" s="66">
        <f t="shared" si="75"/>
        <v>44.1</v>
      </c>
      <c r="D113" s="68">
        <v>350</v>
      </c>
      <c r="E113" s="66">
        <f t="shared" si="61"/>
        <v>480</v>
      </c>
      <c r="F113" s="45">
        <f t="shared" si="76"/>
        <v>62.5</v>
      </c>
      <c r="G113" s="94">
        <f t="shared" si="77"/>
        <v>12</v>
      </c>
      <c r="H113" s="295">
        <f t="shared" si="78"/>
        <v>56.825120000000013</v>
      </c>
      <c r="I113" s="25"/>
      <c r="J113" s="52">
        <f t="shared" si="79"/>
        <v>35</v>
      </c>
      <c r="K113" s="25">
        <f t="shared" si="62"/>
        <v>524.47500000000014</v>
      </c>
      <c r="L113" s="427">
        <f t="shared" si="63"/>
        <v>30</v>
      </c>
      <c r="M113" s="64">
        <f t="shared" si="80"/>
        <v>35</v>
      </c>
      <c r="N113" s="838">
        <f t="shared" si="64"/>
        <v>84.375</v>
      </c>
      <c r="O113" s="68">
        <f>LOOKUP(N113,'Circuit Breakers'!$B$5:$B$38,'Circuit Breakers'!$C$5:$C$38)</f>
        <v>90</v>
      </c>
      <c r="P113" s="199">
        <f t="shared" si="65"/>
        <v>30</v>
      </c>
      <c r="Q113" s="1056">
        <f t="shared" si="81"/>
        <v>681.81750000000022</v>
      </c>
      <c r="R113" s="1064">
        <f>LOOKUP(Q113,'Circuit Breakers'!$B$5:$B$38,'Circuit Breakers'!$C$5:$C$38)</f>
        <v>700</v>
      </c>
      <c r="S113" s="64">
        <f t="shared" si="66"/>
        <v>30</v>
      </c>
      <c r="T113" s="25">
        <f t="shared" si="82"/>
        <v>455</v>
      </c>
      <c r="U113" s="158">
        <f>LOOKUP(T113,'Circuit Breakers'!$B$5:$B$38,'Circuit Breakers'!$C$5:$C$38)</f>
        <v>500</v>
      </c>
      <c r="V113" s="64">
        <f t="shared" si="83"/>
        <v>15</v>
      </c>
      <c r="W113" s="25">
        <f t="shared" si="67"/>
        <v>71.875</v>
      </c>
      <c r="X113" s="68" t="str">
        <f>LOOKUP(W113,'Wire-Cables Ampacities'!$B$5:$B$35,'Wire-Cables Ampacities'!$C$5:$C$35)</f>
        <v>#6</v>
      </c>
      <c r="Y113" s="64">
        <f t="shared" si="84"/>
        <v>10</v>
      </c>
      <c r="Z113" s="25">
        <f t="shared" si="68"/>
        <v>576.92250000000024</v>
      </c>
      <c r="AA113" s="68" t="str">
        <f>LOOKUP(Z113,'Wire-Cables Ampacities'!$B$5:$B$35,'Wire-Cables Ampacities'!$C$5:$C$35)</f>
        <v>#4/0 2x</v>
      </c>
      <c r="AB113" s="64">
        <f t="shared" si="85"/>
        <v>10</v>
      </c>
      <c r="AC113" s="25">
        <f t="shared" si="69"/>
        <v>385.00000000000006</v>
      </c>
      <c r="AD113" s="68" t="str">
        <f>LOOKUP(AC113,'Wire-Cables Ampacities'!$B$5:$B$35,'Wire-Cables Ampacities'!$C$5:$C$35)</f>
        <v>#2/0 2x</v>
      </c>
      <c r="AE113" s="81">
        <f t="shared" si="86"/>
        <v>2.2000000000000002</v>
      </c>
      <c r="AF113" s="56">
        <f t="shared" si="90"/>
        <v>7506.7124000000003</v>
      </c>
      <c r="AG113" s="72">
        <v>40</v>
      </c>
      <c r="AH113" s="15">
        <v>55</v>
      </c>
      <c r="AI113" s="64">
        <f t="shared" si="87"/>
        <v>20</v>
      </c>
      <c r="AJ113" s="56">
        <f t="shared" si="88"/>
        <v>309.76000000000005</v>
      </c>
      <c r="AK113" s="271">
        <f t="shared" si="71"/>
        <v>3.4417777777777783</v>
      </c>
      <c r="AL113" s="277">
        <f t="shared" si="72"/>
        <v>1.7208888888888891</v>
      </c>
      <c r="AM113" s="58">
        <v>1200</v>
      </c>
      <c r="AN113" s="25">
        <v>38</v>
      </c>
      <c r="AO113" s="3">
        <v>70</v>
      </c>
      <c r="AP113" s="3">
        <v>28</v>
      </c>
      <c r="AQ113" s="281">
        <f t="shared" si="89"/>
        <v>71.555555555555557</v>
      </c>
      <c r="AR113" s="287">
        <f t="shared" si="91"/>
        <v>6165.0457333333334</v>
      </c>
      <c r="AS113" s="93"/>
      <c r="AT113" s="4"/>
    </row>
    <row r="114" spans="1:46">
      <c r="A114" s="98">
        <f t="shared" si="74"/>
        <v>18</v>
      </c>
      <c r="B114" s="304">
        <v>2.4500000000000002</v>
      </c>
      <c r="C114" s="100">
        <f t="shared" si="75"/>
        <v>44.1</v>
      </c>
      <c r="D114" s="101">
        <v>400</v>
      </c>
      <c r="E114" s="100">
        <f t="shared" si="61"/>
        <v>480</v>
      </c>
      <c r="F114" s="102">
        <f t="shared" si="76"/>
        <v>72.916666666666671</v>
      </c>
      <c r="G114" s="103">
        <f t="shared" si="77"/>
        <v>12</v>
      </c>
      <c r="H114" s="296">
        <f t="shared" si="78"/>
        <v>56.825120000000013</v>
      </c>
      <c r="I114" s="104"/>
      <c r="J114" s="180">
        <f t="shared" si="79"/>
        <v>35</v>
      </c>
      <c r="K114" s="104">
        <f t="shared" si="62"/>
        <v>599.40000000000009</v>
      </c>
      <c r="L114" s="428">
        <f t="shared" si="63"/>
        <v>35</v>
      </c>
      <c r="M114" s="106">
        <f t="shared" si="80"/>
        <v>35</v>
      </c>
      <c r="N114" s="1060">
        <f t="shared" si="64"/>
        <v>98.437500000000014</v>
      </c>
      <c r="O114" s="101">
        <f>LOOKUP(N114,'Circuit Breakers'!$B$5:$B$38,'Circuit Breakers'!$C$5:$C$38)</f>
        <v>100</v>
      </c>
      <c r="P114" s="262">
        <f t="shared" si="65"/>
        <v>30</v>
      </c>
      <c r="Q114" s="1057">
        <f t="shared" si="81"/>
        <v>779.22000000000014</v>
      </c>
      <c r="R114" s="1065">
        <f>LOOKUP(Q114,'Circuit Breakers'!$B$5:$B$38,'Circuit Breakers'!$C$5:$C$38)</f>
        <v>800</v>
      </c>
      <c r="S114" s="106">
        <f t="shared" si="66"/>
        <v>30</v>
      </c>
      <c r="T114" s="104">
        <f t="shared" si="82"/>
        <v>520</v>
      </c>
      <c r="U114" s="477">
        <f>LOOKUP(T114,'Circuit Breakers'!$B$5:$B$38,'Circuit Breakers'!$C$5:$C$38)</f>
        <v>600</v>
      </c>
      <c r="V114" s="106">
        <f t="shared" si="83"/>
        <v>15</v>
      </c>
      <c r="W114" s="104">
        <f t="shared" si="67"/>
        <v>83.854166666666671</v>
      </c>
      <c r="X114" s="101" t="str">
        <f>LOOKUP(W114,'Wire-Cables Ampacities'!$B$5:$B$35,'Wire-Cables Ampacities'!$C$5:$C$35)</f>
        <v>#4</v>
      </c>
      <c r="Y114" s="106">
        <f t="shared" si="84"/>
        <v>10</v>
      </c>
      <c r="Z114" s="104">
        <f t="shared" si="68"/>
        <v>659.34000000000015</v>
      </c>
      <c r="AA114" s="101" t="str">
        <f>LOOKUP(Z114,'Wire-Cables Ampacities'!$B$5:$B$35,'Wire-Cables Ampacities'!$C$5:$C$35)</f>
        <v>300MCM 2x</v>
      </c>
      <c r="AB114" s="106">
        <f t="shared" si="85"/>
        <v>10</v>
      </c>
      <c r="AC114" s="104">
        <f t="shared" si="69"/>
        <v>440.00000000000006</v>
      </c>
      <c r="AD114" s="101" t="str">
        <f>LOOKUP(AC114,'Wire-Cables Ampacities'!$B$5:$B$35,'Wire-Cables Ampacities'!$C$5:$C$35)</f>
        <v>#3/0 2x</v>
      </c>
      <c r="AE114" s="107">
        <f t="shared" si="86"/>
        <v>2.5499999999999998</v>
      </c>
      <c r="AF114" s="105">
        <f t="shared" si="90"/>
        <v>8700.9620999999988</v>
      </c>
      <c r="AG114" s="98">
        <v>40</v>
      </c>
      <c r="AH114" s="99">
        <v>55</v>
      </c>
      <c r="AI114" s="106">
        <f t="shared" si="87"/>
        <v>20</v>
      </c>
      <c r="AJ114" s="105">
        <f t="shared" si="88"/>
        <v>359.03999999999996</v>
      </c>
      <c r="AK114" s="272">
        <f t="shared" si="71"/>
        <v>3.9893333333333327</v>
      </c>
      <c r="AL114" s="278">
        <f t="shared" si="72"/>
        <v>1.9946666666666664</v>
      </c>
      <c r="AM114" s="109">
        <v>1200</v>
      </c>
      <c r="AN114" s="104">
        <v>38</v>
      </c>
      <c r="AO114" s="110">
        <v>70</v>
      </c>
      <c r="AP114" s="110">
        <v>28</v>
      </c>
      <c r="AQ114" s="282">
        <f t="shared" si="89"/>
        <v>71.555555555555557</v>
      </c>
      <c r="AR114" s="288">
        <f t="shared" si="91"/>
        <v>7359.2954333333319</v>
      </c>
      <c r="AS114" s="93"/>
      <c r="AT114" s="4"/>
    </row>
    <row r="115" spans="1:46">
      <c r="A115" s="72">
        <f t="shared" si="74"/>
        <v>18</v>
      </c>
      <c r="B115" s="61">
        <v>2.4500000000000002</v>
      </c>
      <c r="C115" s="66">
        <f t="shared" si="75"/>
        <v>44.1</v>
      </c>
      <c r="D115" s="68">
        <v>450</v>
      </c>
      <c r="E115" s="66">
        <f t="shared" si="61"/>
        <v>480</v>
      </c>
      <c r="F115" s="45">
        <f t="shared" si="76"/>
        <v>81.25</v>
      </c>
      <c r="G115" s="94">
        <f t="shared" si="77"/>
        <v>12</v>
      </c>
      <c r="H115" s="295">
        <f t="shared" si="78"/>
        <v>56.825120000000013</v>
      </c>
      <c r="I115" s="25"/>
      <c r="J115" s="52">
        <f t="shared" si="79"/>
        <v>35</v>
      </c>
      <c r="K115" s="25">
        <f t="shared" si="62"/>
        <v>674.32500000000005</v>
      </c>
      <c r="L115" s="427">
        <f t="shared" si="63"/>
        <v>39</v>
      </c>
      <c r="M115" s="64">
        <f t="shared" si="80"/>
        <v>35</v>
      </c>
      <c r="N115" s="838">
        <f t="shared" si="64"/>
        <v>109.68750000000001</v>
      </c>
      <c r="O115" s="68">
        <f>LOOKUP(N115,'Circuit Breakers'!$B$5:$B$38,'Circuit Breakers'!$C$5:$C$38)</f>
        <v>110</v>
      </c>
      <c r="P115" s="199">
        <f t="shared" si="65"/>
        <v>30</v>
      </c>
      <c r="Q115" s="1056">
        <f t="shared" si="81"/>
        <v>876.62250000000006</v>
      </c>
      <c r="R115" s="1064">
        <f>LOOKUP(Q115,'Circuit Breakers'!$B$5:$B$38,'Circuit Breakers'!$C$5:$C$38)</f>
        <v>900</v>
      </c>
      <c r="S115" s="64">
        <f t="shared" si="66"/>
        <v>30</v>
      </c>
      <c r="T115" s="25">
        <f t="shared" si="82"/>
        <v>585</v>
      </c>
      <c r="U115" s="158">
        <f>LOOKUP(T115,'Circuit Breakers'!$B$5:$B$38,'Circuit Breakers'!$C$5:$C$38)</f>
        <v>600</v>
      </c>
      <c r="V115" s="64">
        <f t="shared" si="83"/>
        <v>15</v>
      </c>
      <c r="W115" s="25">
        <f t="shared" si="67"/>
        <v>93.437499999999986</v>
      </c>
      <c r="X115" s="68" t="str">
        <f>LOOKUP(W115,'Wire-Cables Ampacities'!$B$5:$B$35,'Wire-Cables Ampacities'!$C$5:$C$35)</f>
        <v>#4</v>
      </c>
      <c r="Y115" s="64">
        <f t="shared" si="84"/>
        <v>10</v>
      </c>
      <c r="Z115" s="25">
        <f t="shared" si="68"/>
        <v>741.75750000000016</v>
      </c>
      <c r="AA115" s="68" t="str">
        <f>LOOKUP(Z115,'Wire-Cables Ampacities'!$B$5:$B$35,'Wire-Cables Ampacities'!$C$5:$C$35)</f>
        <v>Buss</v>
      </c>
      <c r="AB115" s="64">
        <f t="shared" si="85"/>
        <v>10</v>
      </c>
      <c r="AC115" s="25">
        <f t="shared" si="69"/>
        <v>495.00000000000006</v>
      </c>
      <c r="AD115" s="68" t="str">
        <f>LOOKUP(AC115,'Wire-Cables Ampacities'!$B$5:$B$35,'Wire-Cables Ampacities'!$C$5:$C$35)</f>
        <v>#3/0 2x</v>
      </c>
      <c r="AE115" s="81">
        <f t="shared" si="86"/>
        <v>2.85</v>
      </c>
      <c r="AF115" s="56">
        <f t="shared" si="90"/>
        <v>9724.6046999999999</v>
      </c>
      <c r="AG115" s="72">
        <v>40</v>
      </c>
      <c r="AH115" s="15">
        <v>55</v>
      </c>
      <c r="AI115" s="64">
        <f t="shared" si="87"/>
        <v>20</v>
      </c>
      <c r="AJ115" s="56">
        <f t="shared" si="88"/>
        <v>401.28</v>
      </c>
      <c r="AK115" s="271">
        <f t="shared" si="71"/>
        <v>4.4586666666666668</v>
      </c>
      <c r="AL115" s="277">
        <f t="shared" si="72"/>
        <v>2.2293333333333334</v>
      </c>
      <c r="AM115" s="58">
        <v>1200</v>
      </c>
      <c r="AN115" s="25">
        <v>38</v>
      </c>
      <c r="AO115" s="3">
        <v>70</v>
      </c>
      <c r="AP115" s="3">
        <v>28</v>
      </c>
      <c r="AQ115" s="281">
        <f t="shared" si="89"/>
        <v>71.555555555555557</v>
      </c>
      <c r="AR115" s="287">
        <f t="shared" si="91"/>
        <v>8382.9380333333338</v>
      </c>
      <c r="AS115" s="93"/>
      <c r="AT115" s="4"/>
    </row>
    <row r="116" spans="1:46">
      <c r="A116" s="72">
        <f t="shared" si="74"/>
        <v>18</v>
      </c>
      <c r="B116" s="61">
        <v>2.4500000000000002</v>
      </c>
      <c r="C116" s="66">
        <f t="shared" si="75"/>
        <v>44.1</v>
      </c>
      <c r="D116" s="68">
        <v>500</v>
      </c>
      <c r="E116" s="66">
        <f t="shared" si="61"/>
        <v>480</v>
      </c>
      <c r="F116" s="45">
        <f t="shared" si="76"/>
        <v>89.583333333333329</v>
      </c>
      <c r="G116" s="94">
        <f t="shared" si="77"/>
        <v>12</v>
      </c>
      <c r="H116" s="295">
        <f t="shared" si="78"/>
        <v>56.825120000000013</v>
      </c>
      <c r="I116" s="25"/>
      <c r="J116" s="52">
        <f t="shared" si="79"/>
        <v>35</v>
      </c>
      <c r="K116" s="25">
        <f t="shared" si="62"/>
        <v>749.25000000000011</v>
      </c>
      <c r="L116" s="427">
        <f t="shared" si="63"/>
        <v>43</v>
      </c>
      <c r="M116" s="64">
        <f t="shared" si="80"/>
        <v>35</v>
      </c>
      <c r="N116" s="838">
        <f t="shared" si="64"/>
        <v>120.9375</v>
      </c>
      <c r="O116" s="68">
        <f>LOOKUP(N116,'Circuit Breakers'!$B$5:$B$38,'Circuit Breakers'!$C$5:$C$38)</f>
        <v>125</v>
      </c>
      <c r="P116" s="199">
        <f t="shared" si="65"/>
        <v>30</v>
      </c>
      <c r="Q116" s="1056">
        <f t="shared" si="81"/>
        <v>974.0250000000002</v>
      </c>
      <c r="R116" s="1064">
        <f>LOOKUP(Q116,'Circuit Breakers'!$B$5:$B$38,'Circuit Breakers'!$C$5:$C$38)</f>
        <v>1000</v>
      </c>
      <c r="S116" s="64">
        <f t="shared" si="66"/>
        <v>30</v>
      </c>
      <c r="T116" s="25">
        <f t="shared" si="82"/>
        <v>650</v>
      </c>
      <c r="U116" s="158">
        <f>LOOKUP(T116,'Circuit Breakers'!$B$5:$B$38,'Circuit Breakers'!$C$5:$C$38)</f>
        <v>700</v>
      </c>
      <c r="V116" s="64">
        <f t="shared" si="83"/>
        <v>15</v>
      </c>
      <c r="W116" s="25">
        <f t="shared" si="67"/>
        <v>103.02083333333331</v>
      </c>
      <c r="X116" s="68" t="str">
        <f>LOOKUP(W116,'Wire-Cables Ampacities'!$B$5:$B$35,'Wire-Cables Ampacities'!$C$5:$C$35)</f>
        <v>#4</v>
      </c>
      <c r="Y116" s="64">
        <f t="shared" si="84"/>
        <v>10</v>
      </c>
      <c r="Z116" s="25">
        <f t="shared" si="68"/>
        <v>824.17500000000018</v>
      </c>
      <c r="AA116" s="68" t="str">
        <f>LOOKUP(Z116,'Wire-Cables Ampacities'!$B$5:$B$35,'Wire-Cables Ampacities'!$C$5:$C$35)</f>
        <v>Buss</v>
      </c>
      <c r="AB116" s="64">
        <f t="shared" si="85"/>
        <v>10</v>
      </c>
      <c r="AC116" s="25">
        <f t="shared" si="69"/>
        <v>550</v>
      </c>
      <c r="AD116" s="68" t="str">
        <f>LOOKUP(AC116,'Wire-Cables Ampacities'!$B$5:$B$35,'Wire-Cables Ampacities'!$C$5:$C$35)</f>
        <v>#4/0 2x</v>
      </c>
      <c r="AE116" s="81">
        <f t="shared" si="86"/>
        <v>3.15</v>
      </c>
      <c r="AF116" s="56">
        <f t="shared" si="90"/>
        <v>10748.247299999999</v>
      </c>
      <c r="AG116" s="72">
        <v>40</v>
      </c>
      <c r="AH116" s="15">
        <v>55</v>
      </c>
      <c r="AI116" s="64">
        <f t="shared" si="87"/>
        <v>20</v>
      </c>
      <c r="AJ116" s="56">
        <f t="shared" si="88"/>
        <v>443.52000000000004</v>
      </c>
      <c r="AK116" s="271">
        <f t="shared" si="71"/>
        <v>4.9280000000000008</v>
      </c>
      <c r="AL116" s="277">
        <f t="shared" si="72"/>
        <v>2.4640000000000004</v>
      </c>
      <c r="AM116" s="58">
        <v>1200</v>
      </c>
      <c r="AN116" s="25">
        <v>38</v>
      </c>
      <c r="AO116" s="3">
        <v>70</v>
      </c>
      <c r="AP116" s="3">
        <v>28</v>
      </c>
      <c r="AQ116" s="281">
        <f t="shared" si="89"/>
        <v>71.555555555555557</v>
      </c>
      <c r="AR116" s="287">
        <f t="shared" si="91"/>
        <v>9406.580633333333</v>
      </c>
      <c r="AS116" s="93"/>
      <c r="AT116" s="4"/>
    </row>
    <row r="117" spans="1:46">
      <c r="A117" s="98">
        <f t="shared" si="74"/>
        <v>18</v>
      </c>
      <c r="B117" s="304">
        <v>2.4500000000000002</v>
      </c>
      <c r="C117" s="100">
        <f t="shared" si="75"/>
        <v>44.1</v>
      </c>
      <c r="D117" s="101">
        <v>600</v>
      </c>
      <c r="E117" s="100">
        <f t="shared" si="61"/>
        <v>480</v>
      </c>
      <c r="F117" s="102">
        <f t="shared" si="76"/>
        <v>108.33333333333333</v>
      </c>
      <c r="G117" s="103">
        <f t="shared" si="77"/>
        <v>12</v>
      </c>
      <c r="H117" s="296">
        <f t="shared" si="78"/>
        <v>56.825120000000013</v>
      </c>
      <c r="I117" s="104"/>
      <c r="J117" s="180">
        <f t="shared" si="79"/>
        <v>35</v>
      </c>
      <c r="K117" s="104">
        <f t="shared" si="62"/>
        <v>899.1</v>
      </c>
      <c r="L117" s="428">
        <f t="shared" si="63"/>
        <v>52</v>
      </c>
      <c r="M117" s="106">
        <f t="shared" si="80"/>
        <v>35</v>
      </c>
      <c r="N117" s="1060">
        <f t="shared" si="64"/>
        <v>146.25</v>
      </c>
      <c r="O117" s="101">
        <f>LOOKUP(N117,'Circuit Breakers'!$B$5:$B$38,'Circuit Breakers'!$C$5:$C$38)</f>
        <v>150</v>
      </c>
      <c r="P117" s="262">
        <f t="shared" si="65"/>
        <v>30</v>
      </c>
      <c r="Q117" s="1057">
        <f t="shared" si="81"/>
        <v>1168.8300000000002</v>
      </c>
      <c r="R117" s="1065">
        <f>LOOKUP(Q117,'Circuit Breakers'!$B$5:$B$38,'Circuit Breakers'!$C$5:$C$38)</f>
        <v>1200</v>
      </c>
      <c r="S117" s="106">
        <f t="shared" si="66"/>
        <v>30</v>
      </c>
      <c r="T117" s="104">
        <f t="shared" si="82"/>
        <v>780</v>
      </c>
      <c r="U117" s="477">
        <f>LOOKUP(T117,'Circuit Breakers'!$B$5:$B$38,'Circuit Breakers'!$C$5:$C$38)</f>
        <v>800</v>
      </c>
      <c r="V117" s="106">
        <f t="shared" si="83"/>
        <v>15</v>
      </c>
      <c r="W117" s="104">
        <f t="shared" si="67"/>
        <v>124.58333333333331</v>
      </c>
      <c r="X117" s="101" t="str">
        <f>LOOKUP(W117,'Wire-Cables Ampacities'!$B$5:$B$35,'Wire-Cables Ampacities'!$C$5:$C$35)</f>
        <v>#2</v>
      </c>
      <c r="Y117" s="106">
        <f t="shared" si="84"/>
        <v>10</v>
      </c>
      <c r="Z117" s="104">
        <f t="shared" si="68"/>
        <v>989.0100000000001</v>
      </c>
      <c r="AA117" s="101" t="str">
        <f>LOOKUP(Z117,'Wire-Cables Ampacities'!$B$5:$B$35,'Wire-Cables Ampacities'!$C$5:$C$35)</f>
        <v>Buss</v>
      </c>
      <c r="AB117" s="106">
        <f t="shared" si="85"/>
        <v>10</v>
      </c>
      <c r="AC117" s="104">
        <f t="shared" si="69"/>
        <v>660</v>
      </c>
      <c r="AD117" s="101" t="str">
        <f>LOOKUP(AC117,'Wire-Cables Ampacities'!$B$5:$B$35,'Wire-Cables Ampacities'!$C$5:$C$35)</f>
        <v>300MCM 2x</v>
      </c>
      <c r="AE117" s="107">
        <f t="shared" si="86"/>
        <v>3.8</v>
      </c>
      <c r="AF117" s="105">
        <f t="shared" si="90"/>
        <v>12966.139599999999</v>
      </c>
      <c r="AG117" s="98">
        <v>40</v>
      </c>
      <c r="AH117" s="99">
        <v>55</v>
      </c>
      <c r="AI117" s="106">
        <f t="shared" si="87"/>
        <v>20</v>
      </c>
      <c r="AJ117" s="105">
        <f t="shared" si="88"/>
        <v>535.04</v>
      </c>
      <c r="AK117" s="272">
        <f t="shared" si="71"/>
        <v>5.9448888888888884</v>
      </c>
      <c r="AL117" s="278">
        <f t="shared" si="72"/>
        <v>2.9724444444444442</v>
      </c>
      <c r="AM117" s="109">
        <v>1200</v>
      </c>
      <c r="AN117" s="104">
        <v>38</v>
      </c>
      <c r="AO117" s="110">
        <v>70</v>
      </c>
      <c r="AP117" s="110">
        <v>28</v>
      </c>
      <c r="AQ117" s="282">
        <f t="shared" si="89"/>
        <v>71.555555555555557</v>
      </c>
      <c r="AR117" s="288">
        <f t="shared" si="91"/>
        <v>11624.472933333333</v>
      </c>
      <c r="AS117" s="93"/>
      <c r="AT117" s="4"/>
    </row>
    <row r="118" spans="1:46">
      <c r="A118" s="72">
        <f t="shared" si="74"/>
        <v>18</v>
      </c>
      <c r="B118" s="61">
        <v>2.4500000000000002</v>
      </c>
      <c r="C118" s="66">
        <f t="shared" si="75"/>
        <v>44.1</v>
      </c>
      <c r="D118" s="68">
        <v>700</v>
      </c>
      <c r="E118" s="66">
        <f t="shared" si="61"/>
        <v>480</v>
      </c>
      <c r="F118" s="45">
        <f t="shared" si="76"/>
        <v>125</v>
      </c>
      <c r="G118" s="94">
        <f t="shared" si="77"/>
        <v>12</v>
      </c>
      <c r="H118" s="295">
        <f t="shared" si="78"/>
        <v>56.825120000000013</v>
      </c>
      <c r="I118" s="25"/>
      <c r="J118" s="52">
        <f t="shared" si="79"/>
        <v>35</v>
      </c>
      <c r="K118" s="25">
        <f t="shared" si="62"/>
        <v>1048.9500000000003</v>
      </c>
      <c r="L118" s="427">
        <f t="shared" si="63"/>
        <v>60</v>
      </c>
      <c r="M118" s="64">
        <f t="shared" si="80"/>
        <v>35</v>
      </c>
      <c r="N118" s="838">
        <f t="shared" si="64"/>
        <v>168.75</v>
      </c>
      <c r="O118" s="68">
        <f>LOOKUP(N118,'Circuit Breakers'!$B$5:$B$38,'Circuit Breakers'!$C$5:$C$38)</f>
        <v>175</v>
      </c>
      <c r="P118" s="199">
        <f t="shared" si="65"/>
        <v>30</v>
      </c>
      <c r="Q118" s="1056">
        <f t="shared" si="81"/>
        <v>1363.6350000000004</v>
      </c>
      <c r="R118" s="1064" t="str">
        <f>LOOKUP(Q118,'Circuit Breakers'!$B$5:$B$38,'Circuit Breakers'!$C$5:$C$38)</f>
        <v>Check</v>
      </c>
      <c r="S118" s="64">
        <f t="shared" si="66"/>
        <v>30</v>
      </c>
      <c r="T118" s="25">
        <f t="shared" si="82"/>
        <v>910</v>
      </c>
      <c r="U118" s="158">
        <f>LOOKUP(T118,'Circuit Breakers'!$B$5:$B$38,'Circuit Breakers'!$C$5:$C$38)</f>
        <v>1000</v>
      </c>
      <c r="V118" s="64">
        <f t="shared" si="83"/>
        <v>15</v>
      </c>
      <c r="W118" s="25">
        <f t="shared" si="67"/>
        <v>143.75</v>
      </c>
      <c r="X118" s="68" t="str">
        <f>LOOKUP(W118,'Wire-Cables Ampacities'!$B$5:$B$35,'Wire-Cables Ampacities'!$C$5:$C$35)</f>
        <v>#1</v>
      </c>
      <c r="Y118" s="64">
        <f t="shared" si="84"/>
        <v>10</v>
      </c>
      <c r="Z118" s="25">
        <f t="shared" si="68"/>
        <v>1153.8450000000005</v>
      </c>
      <c r="AA118" s="68" t="str">
        <f>LOOKUP(Z118,'Wire-Cables Ampacities'!$B$5:$B$35,'Wire-Cables Ampacities'!$C$5:$C$35)</f>
        <v>Buss</v>
      </c>
      <c r="AB118" s="64">
        <f t="shared" si="85"/>
        <v>10</v>
      </c>
      <c r="AC118" s="25">
        <f t="shared" si="69"/>
        <v>770.00000000000011</v>
      </c>
      <c r="AD118" s="68" t="str">
        <f>LOOKUP(AC118,'Wire-Cables Ampacities'!$B$5:$B$35,'Wire-Cables Ampacities'!$C$5:$C$35)</f>
        <v>Buss</v>
      </c>
      <c r="AE118" s="81">
        <f t="shared" si="86"/>
        <v>4.4000000000000004</v>
      </c>
      <c r="AF118" s="56">
        <f t="shared" si="90"/>
        <v>15013.424800000001</v>
      </c>
      <c r="AG118" s="72">
        <v>40</v>
      </c>
      <c r="AH118" s="15">
        <v>55</v>
      </c>
      <c r="AI118" s="64">
        <f t="shared" si="87"/>
        <v>20</v>
      </c>
      <c r="AJ118" s="56">
        <f t="shared" si="88"/>
        <v>619.5200000000001</v>
      </c>
      <c r="AK118" s="271">
        <f t="shared" si="71"/>
        <v>6.8835555555555565</v>
      </c>
      <c r="AL118" s="277">
        <f t="shared" si="72"/>
        <v>3.4417777777777783</v>
      </c>
      <c r="AM118" s="58">
        <v>1200</v>
      </c>
      <c r="AN118" s="25">
        <v>38</v>
      </c>
      <c r="AO118" s="3">
        <v>70</v>
      </c>
      <c r="AP118" s="3">
        <v>28</v>
      </c>
      <c r="AQ118" s="281">
        <f t="shared" si="89"/>
        <v>71.555555555555557</v>
      </c>
      <c r="AR118" s="287">
        <f t="shared" si="91"/>
        <v>13671.758133333335</v>
      </c>
      <c r="AS118" s="93"/>
      <c r="AT118" s="4"/>
    </row>
    <row r="119" spans="1:46">
      <c r="A119" s="72">
        <f t="shared" si="74"/>
        <v>18</v>
      </c>
      <c r="B119" s="61">
        <v>2.4500000000000002</v>
      </c>
      <c r="C119" s="66">
        <f t="shared" si="75"/>
        <v>44.1</v>
      </c>
      <c r="D119" s="68">
        <v>800</v>
      </c>
      <c r="E119" s="66">
        <f t="shared" si="61"/>
        <v>480</v>
      </c>
      <c r="F119" s="45">
        <f t="shared" si="76"/>
        <v>143.75</v>
      </c>
      <c r="G119" s="94">
        <f t="shared" si="77"/>
        <v>12</v>
      </c>
      <c r="H119" s="295">
        <f t="shared" si="78"/>
        <v>56.825120000000013</v>
      </c>
      <c r="I119" s="25"/>
      <c r="J119" s="52">
        <f t="shared" si="79"/>
        <v>35</v>
      </c>
      <c r="K119" s="25">
        <f t="shared" si="62"/>
        <v>1198.8000000000002</v>
      </c>
      <c r="L119" s="427">
        <f t="shared" si="63"/>
        <v>69</v>
      </c>
      <c r="M119" s="64">
        <f t="shared" si="80"/>
        <v>35</v>
      </c>
      <c r="N119" s="838">
        <f t="shared" si="64"/>
        <v>194.0625</v>
      </c>
      <c r="O119" s="68">
        <f>LOOKUP(N119,'Circuit Breakers'!$B$5:$B$38,'Circuit Breakers'!$C$5:$C$38)</f>
        <v>200</v>
      </c>
      <c r="P119" s="199">
        <f t="shared" si="65"/>
        <v>30</v>
      </c>
      <c r="Q119" s="1056">
        <f t="shared" si="81"/>
        <v>1558.4400000000003</v>
      </c>
      <c r="R119" s="1064" t="str">
        <f>LOOKUP(Q119,'Circuit Breakers'!$B$5:$B$38,'Circuit Breakers'!$C$5:$C$38)</f>
        <v>Check</v>
      </c>
      <c r="S119" s="64">
        <f t="shared" si="66"/>
        <v>30</v>
      </c>
      <c r="T119" s="25">
        <f t="shared" si="82"/>
        <v>1040</v>
      </c>
      <c r="U119" s="158">
        <f>LOOKUP(T119,'Circuit Breakers'!$B$5:$B$38,'Circuit Breakers'!$C$5:$C$38)</f>
        <v>1200</v>
      </c>
      <c r="V119" s="64">
        <f t="shared" si="83"/>
        <v>15</v>
      </c>
      <c r="W119" s="25">
        <f t="shared" si="67"/>
        <v>165.3125</v>
      </c>
      <c r="X119" s="68" t="str">
        <f>LOOKUP(W119,'Wire-Cables Ampacities'!$B$5:$B$35,'Wire-Cables Ampacities'!$C$5:$C$35)</f>
        <v>#1</v>
      </c>
      <c r="Y119" s="64">
        <f t="shared" si="84"/>
        <v>10</v>
      </c>
      <c r="Z119" s="25">
        <f t="shared" si="68"/>
        <v>1318.6800000000003</v>
      </c>
      <c r="AA119" s="68" t="str">
        <f>LOOKUP(Z119,'Wire-Cables Ampacities'!$B$5:$B$35,'Wire-Cables Ampacities'!$C$5:$C$35)</f>
        <v>Buss</v>
      </c>
      <c r="AB119" s="64">
        <f t="shared" si="85"/>
        <v>10</v>
      </c>
      <c r="AC119" s="25">
        <f t="shared" si="69"/>
        <v>880.00000000000011</v>
      </c>
      <c r="AD119" s="68" t="str">
        <f>LOOKUP(AC119,'Wire-Cables Ampacities'!$B$5:$B$35,'Wire-Cables Ampacities'!$C$5:$C$35)</f>
        <v>Buss</v>
      </c>
      <c r="AE119" s="81">
        <f t="shared" si="86"/>
        <v>5.05</v>
      </c>
      <c r="AF119" s="56">
        <f t="shared" si="90"/>
        <v>17231.317099999997</v>
      </c>
      <c r="AG119" s="72">
        <v>40</v>
      </c>
      <c r="AH119" s="15">
        <v>55</v>
      </c>
      <c r="AI119" s="64">
        <f t="shared" si="87"/>
        <v>20</v>
      </c>
      <c r="AJ119" s="56">
        <f t="shared" si="88"/>
        <v>711.04</v>
      </c>
      <c r="AK119" s="271">
        <f t="shared" si="71"/>
        <v>7.9004444444444442</v>
      </c>
      <c r="AL119" s="277">
        <f t="shared" si="72"/>
        <v>3.9502222222222221</v>
      </c>
      <c r="AM119" s="58">
        <v>1200</v>
      </c>
      <c r="AN119" s="25">
        <v>38</v>
      </c>
      <c r="AO119" s="3">
        <v>70</v>
      </c>
      <c r="AP119" s="3">
        <v>28</v>
      </c>
      <c r="AQ119" s="281">
        <f t="shared" si="89"/>
        <v>71.555555555555557</v>
      </c>
      <c r="AR119" s="287">
        <f t="shared" si="91"/>
        <v>15889.650433333331</v>
      </c>
      <c r="AS119" s="93"/>
      <c r="AT119" s="4"/>
    </row>
    <row r="120" spans="1:46">
      <c r="A120" s="98">
        <f t="shared" si="74"/>
        <v>18</v>
      </c>
      <c r="B120" s="304">
        <v>2.4500000000000002</v>
      </c>
      <c r="C120" s="100">
        <f t="shared" si="75"/>
        <v>44.1</v>
      </c>
      <c r="D120" s="101">
        <v>900</v>
      </c>
      <c r="E120" s="100">
        <f t="shared" si="61"/>
        <v>480</v>
      </c>
      <c r="F120" s="102">
        <f t="shared" si="76"/>
        <v>160.41666666666666</v>
      </c>
      <c r="G120" s="103">
        <f t="shared" si="77"/>
        <v>12</v>
      </c>
      <c r="H120" s="296">
        <f t="shared" si="78"/>
        <v>56.825120000000013</v>
      </c>
      <c r="I120" s="104"/>
      <c r="J120" s="180">
        <f t="shared" si="79"/>
        <v>35</v>
      </c>
      <c r="K120" s="104">
        <f t="shared" si="62"/>
        <v>1348.65</v>
      </c>
      <c r="L120" s="428">
        <f t="shared" si="63"/>
        <v>77</v>
      </c>
      <c r="M120" s="106">
        <f t="shared" si="80"/>
        <v>35</v>
      </c>
      <c r="N120" s="1060">
        <f t="shared" si="64"/>
        <v>216.5625</v>
      </c>
      <c r="O120" s="101">
        <f>LOOKUP(N120,'Circuit Breakers'!$B$5:$B$38,'Circuit Breakers'!$C$5:$C$38)</f>
        <v>225</v>
      </c>
      <c r="P120" s="262">
        <f t="shared" si="65"/>
        <v>30</v>
      </c>
      <c r="Q120" s="1057">
        <f t="shared" si="81"/>
        <v>1753.2450000000001</v>
      </c>
      <c r="R120" s="1065" t="str">
        <f>LOOKUP(Q120,'Circuit Breakers'!$B$5:$B$38,'Circuit Breakers'!$C$5:$C$38)</f>
        <v>Check</v>
      </c>
      <c r="S120" s="106">
        <f t="shared" si="66"/>
        <v>30</v>
      </c>
      <c r="T120" s="104">
        <f t="shared" si="82"/>
        <v>1170</v>
      </c>
      <c r="U120" s="477">
        <f>LOOKUP(T120,'Circuit Breakers'!$B$5:$B$38,'Circuit Breakers'!$C$5:$C$38)</f>
        <v>1200</v>
      </c>
      <c r="V120" s="106">
        <f t="shared" si="83"/>
        <v>15</v>
      </c>
      <c r="W120" s="104">
        <f t="shared" si="67"/>
        <v>184.47916666666663</v>
      </c>
      <c r="X120" s="101" t="str">
        <f>LOOKUP(W120,'Wire-Cables Ampacities'!$B$5:$B$35,'Wire-Cables Ampacities'!$C$5:$C$35)</f>
        <v>#1/0</v>
      </c>
      <c r="Y120" s="106">
        <f t="shared" si="84"/>
        <v>10</v>
      </c>
      <c r="Z120" s="104">
        <f t="shared" si="68"/>
        <v>1483.5150000000003</v>
      </c>
      <c r="AA120" s="101" t="str">
        <f>LOOKUP(Z120,'Wire-Cables Ampacities'!$B$5:$B$35,'Wire-Cables Ampacities'!$C$5:$C$35)</f>
        <v>Buss</v>
      </c>
      <c r="AB120" s="106">
        <f t="shared" si="85"/>
        <v>10</v>
      </c>
      <c r="AC120" s="104">
        <f t="shared" si="69"/>
        <v>990.00000000000011</v>
      </c>
      <c r="AD120" s="101" t="str">
        <f>LOOKUP(AC120,'Wire-Cables Ampacities'!$B$5:$B$35,'Wire-Cables Ampacities'!$C$5:$C$35)</f>
        <v>Buss</v>
      </c>
      <c r="AE120" s="107">
        <f t="shared" si="86"/>
        <v>5.65</v>
      </c>
      <c r="AF120" s="105">
        <f t="shared" si="90"/>
        <v>19278.602299999999</v>
      </c>
      <c r="AG120" s="98">
        <v>40</v>
      </c>
      <c r="AH120" s="99">
        <v>55</v>
      </c>
      <c r="AI120" s="106">
        <f t="shared" si="87"/>
        <v>20</v>
      </c>
      <c r="AJ120" s="105">
        <f t="shared" si="88"/>
        <v>795.51999999999987</v>
      </c>
      <c r="AK120" s="272">
        <f t="shared" si="71"/>
        <v>8.8391111111111105</v>
      </c>
      <c r="AL120" s="278">
        <f t="shared" si="72"/>
        <v>4.4195555555555552</v>
      </c>
      <c r="AM120" s="109">
        <v>1200</v>
      </c>
      <c r="AN120" s="104">
        <v>38</v>
      </c>
      <c r="AO120" s="110">
        <v>70</v>
      </c>
      <c r="AP120" s="110">
        <v>28</v>
      </c>
      <c r="AQ120" s="282">
        <f t="shared" si="89"/>
        <v>71.555555555555557</v>
      </c>
      <c r="AR120" s="288">
        <f t="shared" si="91"/>
        <v>17936.935633333331</v>
      </c>
      <c r="AS120" s="93"/>
      <c r="AT120" s="4"/>
    </row>
    <row r="121" spans="1:46">
      <c r="A121" s="72">
        <f t="shared" si="74"/>
        <v>18</v>
      </c>
      <c r="B121" s="61">
        <v>2.4500000000000002</v>
      </c>
      <c r="C121" s="66">
        <f t="shared" si="75"/>
        <v>44.1</v>
      </c>
      <c r="D121" s="68">
        <v>1000</v>
      </c>
      <c r="E121" s="66">
        <f t="shared" si="61"/>
        <v>480</v>
      </c>
      <c r="F121" s="45">
        <f t="shared" si="76"/>
        <v>179.16666666666666</v>
      </c>
      <c r="G121" s="94">
        <f t="shared" si="77"/>
        <v>12</v>
      </c>
      <c r="H121" s="295">
        <f t="shared" si="78"/>
        <v>56.825120000000013</v>
      </c>
      <c r="I121" s="25"/>
      <c r="J121" s="52">
        <f t="shared" si="79"/>
        <v>35</v>
      </c>
      <c r="K121" s="25">
        <f t="shared" si="62"/>
        <v>1498.5000000000002</v>
      </c>
      <c r="L121" s="427">
        <f t="shared" si="63"/>
        <v>86</v>
      </c>
      <c r="M121" s="64">
        <f t="shared" si="80"/>
        <v>35</v>
      </c>
      <c r="N121" s="838">
        <f t="shared" si="64"/>
        <v>241.875</v>
      </c>
      <c r="O121" s="68">
        <f>LOOKUP(N121,'Circuit Breakers'!$B$5:$B$38,'Circuit Breakers'!$C$5:$C$38)</f>
        <v>250</v>
      </c>
      <c r="P121" s="199">
        <f t="shared" si="65"/>
        <v>30</v>
      </c>
      <c r="Q121" s="1056">
        <f t="shared" si="81"/>
        <v>1948.0500000000004</v>
      </c>
      <c r="R121" s="1064" t="str">
        <f>LOOKUP(Q121,'Circuit Breakers'!$B$5:$B$38,'Circuit Breakers'!$C$5:$C$38)</f>
        <v>Check</v>
      </c>
      <c r="S121" s="64">
        <f t="shared" si="66"/>
        <v>30</v>
      </c>
      <c r="T121" s="25">
        <f t="shared" si="82"/>
        <v>1300</v>
      </c>
      <c r="U121" s="158" t="str">
        <f>LOOKUP(T121,'Circuit Breakers'!$B$5:$B$38,'Circuit Breakers'!$C$5:$C$38)</f>
        <v>Check</v>
      </c>
      <c r="V121" s="64">
        <f t="shared" si="83"/>
        <v>15</v>
      </c>
      <c r="W121" s="25">
        <f t="shared" si="67"/>
        <v>206.04166666666663</v>
      </c>
      <c r="X121" s="68" t="str">
        <f>LOOKUP(W121,'Wire-Cables Ampacities'!$B$5:$B$35,'Wire-Cables Ampacities'!$C$5:$C$35)</f>
        <v>#2/0</v>
      </c>
      <c r="Y121" s="64">
        <f t="shared" si="84"/>
        <v>10</v>
      </c>
      <c r="Z121" s="25">
        <f t="shared" si="68"/>
        <v>1648.3500000000004</v>
      </c>
      <c r="AA121" s="68" t="str">
        <f>LOOKUP(Z121,'Wire-Cables Ampacities'!$B$5:$B$35,'Wire-Cables Ampacities'!$C$5:$C$35)</f>
        <v>Buss</v>
      </c>
      <c r="AB121" s="64">
        <f t="shared" si="85"/>
        <v>10</v>
      </c>
      <c r="AC121" s="25">
        <f t="shared" si="69"/>
        <v>1100</v>
      </c>
      <c r="AD121" s="68" t="str">
        <f>LOOKUP(AC121,'Wire-Cables Ampacities'!$B$5:$B$35,'Wire-Cables Ampacities'!$C$5:$C$35)</f>
        <v>Buss</v>
      </c>
      <c r="AE121" s="81">
        <f t="shared" si="86"/>
        <v>6.3</v>
      </c>
      <c r="AF121" s="56">
        <f t="shared" si="90"/>
        <v>21496.494599999998</v>
      </c>
      <c r="AG121" s="72">
        <v>40</v>
      </c>
      <c r="AH121" s="15">
        <v>55</v>
      </c>
      <c r="AI121" s="64">
        <f t="shared" si="87"/>
        <v>20</v>
      </c>
      <c r="AJ121" s="56">
        <f t="shared" si="88"/>
        <v>887.04000000000008</v>
      </c>
      <c r="AK121" s="271">
        <f t="shared" si="71"/>
        <v>9.8560000000000016</v>
      </c>
      <c r="AL121" s="277">
        <f t="shared" si="72"/>
        <v>4.9280000000000008</v>
      </c>
      <c r="AM121" s="58">
        <v>1200</v>
      </c>
      <c r="AN121" s="25">
        <v>38</v>
      </c>
      <c r="AO121" s="3">
        <v>70</v>
      </c>
      <c r="AP121" s="3">
        <v>28</v>
      </c>
      <c r="AQ121" s="281">
        <f t="shared" si="89"/>
        <v>71.555555555555557</v>
      </c>
      <c r="AR121" s="287">
        <f t="shared" si="91"/>
        <v>20154.82793333333</v>
      </c>
      <c r="AS121" s="93"/>
      <c r="AT121" s="4"/>
    </row>
    <row r="122" spans="1:46">
      <c r="A122" s="72">
        <f t="shared" si="74"/>
        <v>18</v>
      </c>
      <c r="B122" s="61">
        <v>2.4500000000000002</v>
      </c>
      <c r="C122" s="66">
        <f t="shared" si="75"/>
        <v>44.1</v>
      </c>
      <c r="D122" s="68">
        <v>1100</v>
      </c>
      <c r="E122" s="66">
        <f t="shared" si="61"/>
        <v>480</v>
      </c>
      <c r="F122" s="45">
        <f t="shared" si="76"/>
        <v>195.83333333333334</v>
      </c>
      <c r="G122" s="94">
        <f t="shared" si="77"/>
        <v>12</v>
      </c>
      <c r="H122" s="295">
        <f t="shared" si="78"/>
        <v>56.825120000000013</v>
      </c>
      <c r="I122" s="25"/>
      <c r="J122" s="52">
        <f t="shared" si="79"/>
        <v>35</v>
      </c>
      <c r="K122" s="25">
        <f t="shared" si="62"/>
        <v>1648.3500000000001</v>
      </c>
      <c r="L122" s="427">
        <f t="shared" si="63"/>
        <v>94</v>
      </c>
      <c r="M122" s="64">
        <f t="shared" si="80"/>
        <v>35</v>
      </c>
      <c r="N122" s="838">
        <f t="shared" si="64"/>
        <v>264.37500000000006</v>
      </c>
      <c r="O122" s="68">
        <f>LOOKUP(N122,'Circuit Breakers'!$B$5:$B$38,'Circuit Breakers'!$C$5:$C$38)</f>
        <v>300</v>
      </c>
      <c r="P122" s="199">
        <f t="shared" si="65"/>
        <v>30</v>
      </c>
      <c r="Q122" s="1056">
        <f t="shared" si="81"/>
        <v>2142.8550000000005</v>
      </c>
      <c r="R122" s="1064" t="str">
        <f>LOOKUP(Q122,'Circuit Breakers'!$B$5:$B$38,'Circuit Breakers'!$C$5:$C$38)</f>
        <v>Check</v>
      </c>
      <c r="S122" s="64">
        <f t="shared" si="66"/>
        <v>30</v>
      </c>
      <c r="T122" s="25">
        <f t="shared" si="82"/>
        <v>1430</v>
      </c>
      <c r="U122" s="158" t="str">
        <f>LOOKUP(T122,'Circuit Breakers'!$B$5:$B$38,'Circuit Breakers'!$C$5:$C$38)</f>
        <v>Check</v>
      </c>
      <c r="V122" s="64">
        <f t="shared" si="83"/>
        <v>15</v>
      </c>
      <c r="W122" s="25">
        <f t="shared" si="67"/>
        <v>225.20833333333331</v>
      </c>
      <c r="X122" s="68" t="str">
        <f>LOOKUP(W122,'Wire-Cables Ampacities'!$B$5:$B$35,'Wire-Cables Ampacities'!$C$5:$C$35)</f>
        <v>#2/0</v>
      </c>
      <c r="Y122" s="64">
        <f t="shared" si="84"/>
        <v>10</v>
      </c>
      <c r="Z122" s="25">
        <f t="shared" si="68"/>
        <v>1813.1850000000004</v>
      </c>
      <c r="AA122" s="68" t="str">
        <f>LOOKUP(Z122,'Wire-Cables Ampacities'!$B$5:$B$35,'Wire-Cables Ampacities'!$C$5:$C$35)</f>
        <v>Buss</v>
      </c>
      <c r="AB122" s="64">
        <f t="shared" si="85"/>
        <v>10</v>
      </c>
      <c r="AC122" s="25">
        <f t="shared" si="69"/>
        <v>1210</v>
      </c>
      <c r="AD122" s="68" t="str">
        <f>LOOKUP(AC122,'Wire-Cables Ampacities'!$B$5:$B$35,'Wire-Cables Ampacities'!$C$5:$C$35)</f>
        <v>Buss</v>
      </c>
      <c r="AE122" s="81">
        <f t="shared" si="86"/>
        <v>6.9</v>
      </c>
      <c r="AF122" s="56">
        <f t="shared" si="90"/>
        <v>23543.7798</v>
      </c>
      <c r="AG122" s="72">
        <v>40</v>
      </c>
      <c r="AH122" s="15">
        <v>55</v>
      </c>
      <c r="AI122" s="64">
        <f t="shared" si="87"/>
        <v>20</v>
      </c>
      <c r="AJ122" s="56">
        <f t="shared" si="88"/>
        <v>971.52</v>
      </c>
      <c r="AK122" s="271">
        <f t="shared" si="71"/>
        <v>10.794666666666666</v>
      </c>
      <c r="AL122" s="277">
        <f t="shared" si="72"/>
        <v>5.3973333333333331</v>
      </c>
      <c r="AM122" s="58">
        <v>1200</v>
      </c>
      <c r="AN122" s="25">
        <v>38</v>
      </c>
      <c r="AO122" s="3">
        <v>70</v>
      </c>
      <c r="AP122" s="3">
        <v>28</v>
      </c>
      <c r="AQ122" s="281">
        <f t="shared" si="89"/>
        <v>71.555555555555557</v>
      </c>
      <c r="AR122" s="287">
        <f t="shared" si="91"/>
        <v>22202.113133333332</v>
      </c>
      <c r="AS122" s="93"/>
      <c r="AT122" s="4"/>
    </row>
    <row r="123" spans="1:46" ht="13.5" thickBot="1">
      <c r="A123" s="253">
        <f t="shared" si="74"/>
        <v>18</v>
      </c>
      <c r="B123" s="305">
        <v>2.4500000000000002</v>
      </c>
      <c r="C123" s="258">
        <f t="shared" si="75"/>
        <v>44.1</v>
      </c>
      <c r="D123" s="259">
        <v>1200</v>
      </c>
      <c r="E123" s="258">
        <f t="shared" si="61"/>
        <v>480</v>
      </c>
      <c r="F123" s="260">
        <f t="shared" si="76"/>
        <v>214.58333333333334</v>
      </c>
      <c r="G123" s="261">
        <f t="shared" si="77"/>
        <v>12</v>
      </c>
      <c r="H123" s="297">
        <f t="shared" si="78"/>
        <v>56.825120000000013</v>
      </c>
      <c r="I123" s="264"/>
      <c r="J123" s="265">
        <f t="shared" si="79"/>
        <v>35</v>
      </c>
      <c r="K123" s="264">
        <f t="shared" si="62"/>
        <v>1798.2</v>
      </c>
      <c r="L123" s="433">
        <f t="shared" si="63"/>
        <v>103</v>
      </c>
      <c r="M123" s="267">
        <f t="shared" si="80"/>
        <v>35</v>
      </c>
      <c r="N123" s="1061">
        <f t="shared" si="64"/>
        <v>289.68750000000006</v>
      </c>
      <c r="O123" s="259">
        <f>LOOKUP(N123,'Circuit Breakers'!$B$5:$B$38,'Circuit Breakers'!$C$5:$C$38)</f>
        <v>300</v>
      </c>
      <c r="P123" s="333">
        <f t="shared" si="65"/>
        <v>30</v>
      </c>
      <c r="Q123" s="1058">
        <f t="shared" si="81"/>
        <v>2337.6600000000003</v>
      </c>
      <c r="R123" s="1066" t="str">
        <f>LOOKUP(Q123,'Circuit Breakers'!$B$5:$B$38,'Circuit Breakers'!$C$5:$C$38)</f>
        <v>Check</v>
      </c>
      <c r="S123" s="267">
        <f t="shared" si="66"/>
        <v>30</v>
      </c>
      <c r="T123" s="264">
        <f t="shared" si="82"/>
        <v>1560</v>
      </c>
      <c r="U123" s="478" t="str">
        <f>LOOKUP(T123,'Circuit Breakers'!$B$5:$B$38,'Circuit Breakers'!$C$5:$C$38)</f>
        <v>Check</v>
      </c>
      <c r="V123" s="267">
        <f t="shared" si="83"/>
        <v>15</v>
      </c>
      <c r="W123" s="264">
        <f t="shared" si="67"/>
        <v>246.77083333333331</v>
      </c>
      <c r="X123" s="259" t="str">
        <f>LOOKUP(W123,'Wire-Cables Ampacities'!$B$5:$B$35,'Wire-Cables Ampacities'!$C$5:$C$35)</f>
        <v>#3/0</v>
      </c>
      <c r="Y123" s="267">
        <f t="shared" si="84"/>
        <v>10</v>
      </c>
      <c r="Z123" s="264">
        <f t="shared" si="68"/>
        <v>1978.0200000000002</v>
      </c>
      <c r="AA123" s="259" t="str">
        <f>LOOKUP(Z123,'Wire-Cables Ampacities'!$B$5:$B$35,'Wire-Cables Ampacities'!$C$5:$C$35)</f>
        <v>Buss</v>
      </c>
      <c r="AB123" s="267">
        <f t="shared" si="85"/>
        <v>10</v>
      </c>
      <c r="AC123" s="264">
        <f t="shared" si="69"/>
        <v>1320</v>
      </c>
      <c r="AD123" s="259" t="str">
        <f>LOOKUP(AC123,'Wire-Cables Ampacities'!$B$5:$B$35,'Wire-Cables Ampacities'!$C$5:$C$35)</f>
        <v>Buss</v>
      </c>
      <c r="AE123" s="270">
        <f t="shared" si="86"/>
        <v>7.55</v>
      </c>
      <c r="AF123" s="268">
        <f t="shared" si="90"/>
        <v>25761.6721</v>
      </c>
      <c r="AG123" s="253">
        <v>40</v>
      </c>
      <c r="AH123" s="254">
        <v>55</v>
      </c>
      <c r="AI123" s="267">
        <f t="shared" si="87"/>
        <v>20</v>
      </c>
      <c r="AJ123" s="268">
        <f t="shared" si="88"/>
        <v>1063.04</v>
      </c>
      <c r="AK123" s="273">
        <f t="shared" si="71"/>
        <v>11.811555555555556</v>
      </c>
      <c r="AL123" s="279">
        <f t="shared" si="72"/>
        <v>5.9057777777777778</v>
      </c>
      <c r="AM123" s="275">
        <v>1200</v>
      </c>
      <c r="AN123" s="264">
        <v>38</v>
      </c>
      <c r="AO123" s="276">
        <v>70</v>
      </c>
      <c r="AP123" s="276">
        <v>28</v>
      </c>
      <c r="AQ123" s="283">
        <f t="shared" si="89"/>
        <v>71.555555555555557</v>
      </c>
      <c r="AR123" s="289">
        <f t="shared" si="91"/>
        <v>24420.005433333332</v>
      </c>
      <c r="AS123" s="93"/>
      <c r="AT123" s="4"/>
    </row>
    <row r="125" spans="1:46" ht="13.5" thickBot="1"/>
    <row r="126" spans="1:46" ht="16.5" thickBot="1">
      <c r="A126" s="95" t="s">
        <v>77</v>
      </c>
      <c r="B126" s="96"/>
      <c r="C126" s="44"/>
      <c r="D126" s="86"/>
      <c r="E126" s="86"/>
      <c r="F126" s="86"/>
      <c r="G126" s="87"/>
      <c r="H126" s="290" t="s">
        <v>98</v>
      </c>
      <c r="I126" s="42"/>
      <c r="J126" s="51"/>
      <c r="K126" s="42"/>
      <c r="L126" s="40"/>
      <c r="M126" s="290" t="s">
        <v>83</v>
      </c>
      <c r="N126" s="42"/>
      <c r="O126" s="44"/>
      <c r="P126" s="44"/>
      <c r="Q126" s="44"/>
      <c r="R126" s="44"/>
      <c r="S126" s="44"/>
      <c r="T126" s="44"/>
      <c r="U126" s="6"/>
      <c r="V126" s="184" t="s">
        <v>84</v>
      </c>
      <c r="W126" s="44"/>
      <c r="X126" s="44"/>
      <c r="Y126" s="44"/>
      <c r="Z126" s="44"/>
      <c r="AA126" s="44"/>
      <c r="AB126" s="44"/>
      <c r="AC126" s="44"/>
      <c r="AD126" s="6"/>
      <c r="AE126" s="291" t="s">
        <v>62</v>
      </c>
      <c r="AF126" s="80"/>
      <c r="AG126" s="290" t="s">
        <v>90</v>
      </c>
      <c r="AH126" s="40"/>
      <c r="AI126" s="292" t="s">
        <v>87</v>
      </c>
      <c r="AJ126" s="90"/>
      <c r="AK126" s="90"/>
      <c r="AL126" s="49"/>
      <c r="AM126" s="189" t="s">
        <v>88</v>
      </c>
      <c r="AN126" s="90"/>
      <c r="AO126" s="90"/>
      <c r="AP126" s="90"/>
      <c r="AQ126" s="90"/>
      <c r="AR126" s="6"/>
      <c r="AS126" s="7"/>
    </row>
    <row r="127" spans="1:46" ht="13.5" thickBot="1">
      <c r="A127" s="97" t="s">
        <v>23</v>
      </c>
      <c r="B127" s="48"/>
      <c r="C127" s="189" t="s">
        <v>76</v>
      </c>
      <c r="D127" s="190"/>
      <c r="E127" s="189" t="s">
        <v>57</v>
      </c>
      <c r="F127" s="191"/>
      <c r="G127" s="192"/>
      <c r="H127" s="76"/>
      <c r="I127" s="90"/>
      <c r="J127" s="175"/>
      <c r="K127" s="90"/>
      <c r="L127" s="49"/>
      <c r="M127" s="47" t="s">
        <v>81</v>
      </c>
      <c r="N127" s="96"/>
      <c r="O127" s="49"/>
      <c r="P127" s="47" t="s">
        <v>82</v>
      </c>
      <c r="Q127" s="96"/>
      <c r="R127" s="49"/>
      <c r="S127" s="47" t="s">
        <v>80</v>
      </c>
      <c r="T127" s="96"/>
      <c r="U127" s="49"/>
      <c r="V127" s="76" t="s">
        <v>78</v>
      </c>
      <c r="W127" s="96"/>
      <c r="X127" s="48"/>
      <c r="Y127" s="76" t="s">
        <v>79</v>
      </c>
      <c r="Z127" s="96"/>
      <c r="AA127" s="48"/>
      <c r="AB127" s="47" t="s">
        <v>80</v>
      </c>
      <c r="AC127" s="96"/>
      <c r="AD127" s="48"/>
      <c r="AE127" s="176"/>
      <c r="AF127" s="177"/>
      <c r="AG127" s="205" t="s">
        <v>94</v>
      </c>
      <c r="AH127" s="179" t="s">
        <v>95</v>
      </c>
      <c r="AI127" s="178"/>
      <c r="AJ127" s="198"/>
      <c r="AK127" s="206" t="s">
        <v>66</v>
      </c>
      <c r="AL127" s="198" t="s">
        <v>66</v>
      </c>
      <c r="AM127" s="47" t="s">
        <v>68</v>
      </c>
      <c r="AN127" s="90"/>
      <c r="AO127" s="90"/>
      <c r="AP127" s="90"/>
      <c r="AQ127" s="49"/>
      <c r="AR127" s="80"/>
      <c r="AS127" s="7"/>
    </row>
    <row r="128" spans="1:46">
      <c r="A128" s="65">
        <v>48</v>
      </c>
      <c r="B128" s="67" t="s">
        <v>92</v>
      </c>
      <c r="C128" s="65" t="s">
        <v>93</v>
      </c>
      <c r="D128" s="67" t="s">
        <v>16</v>
      </c>
      <c r="E128" s="65" t="s">
        <v>99</v>
      </c>
      <c r="F128" s="18" t="s">
        <v>100</v>
      </c>
      <c r="G128" s="1130">
        <v>12</v>
      </c>
      <c r="H128" s="65" t="s">
        <v>27</v>
      </c>
      <c r="I128" s="18"/>
      <c r="J128" s="310">
        <v>35</v>
      </c>
      <c r="K128" s="18" t="s">
        <v>28</v>
      </c>
      <c r="L128" s="156" t="s">
        <v>29</v>
      </c>
      <c r="M128" s="310">
        <v>35</v>
      </c>
      <c r="N128" s="1049" t="s">
        <v>60</v>
      </c>
      <c r="O128" s="1062" t="s">
        <v>363</v>
      </c>
      <c r="P128" s="310">
        <v>30</v>
      </c>
      <c r="Q128" s="1049" t="s">
        <v>60</v>
      </c>
      <c r="R128" s="1062" t="s">
        <v>361</v>
      </c>
      <c r="S128" s="310">
        <v>30</v>
      </c>
      <c r="T128" s="1049" t="s">
        <v>60</v>
      </c>
      <c r="U128" s="1062" t="s">
        <v>361</v>
      </c>
      <c r="V128" s="310">
        <v>15</v>
      </c>
      <c r="W128" s="62" t="s">
        <v>60</v>
      </c>
      <c r="X128" s="1131" t="s">
        <v>85</v>
      </c>
      <c r="Y128" s="310">
        <v>10</v>
      </c>
      <c r="Z128" s="62" t="s">
        <v>60</v>
      </c>
      <c r="AA128" s="1131" t="s">
        <v>85</v>
      </c>
      <c r="AB128" s="310">
        <v>10</v>
      </c>
      <c r="AC128" s="62" t="s">
        <v>60</v>
      </c>
      <c r="AD128" s="1131" t="s">
        <v>85</v>
      </c>
      <c r="AE128" s="77"/>
      <c r="AF128" s="204"/>
      <c r="AG128" s="70">
        <v>40</v>
      </c>
      <c r="AH128" s="19">
        <v>55</v>
      </c>
      <c r="AI128" s="310">
        <v>20</v>
      </c>
      <c r="AJ128" s="71" t="s">
        <v>64</v>
      </c>
      <c r="AK128" s="79">
        <v>90</v>
      </c>
      <c r="AL128" s="19">
        <v>180</v>
      </c>
      <c r="AM128" s="284" t="s">
        <v>91</v>
      </c>
      <c r="AN128" s="18" t="s">
        <v>69</v>
      </c>
      <c r="AO128" s="18" t="s">
        <v>70</v>
      </c>
      <c r="AP128" s="18" t="s">
        <v>71</v>
      </c>
      <c r="AQ128" s="19" t="s">
        <v>73</v>
      </c>
      <c r="AR128" s="285" t="s">
        <v>64</v>
      </c>
      <c r="AS128" s="92"/>
    </row>
    <row r="129" spans="1:46" ht="13.5" thickBot="1">
      <c r="A129" s="187" t="s">
        <v>24</v>
      </c>
      <c r="B129" s="188" t="s">
        <v>53</v>
      </c>
      <c r="C129" s="187" t="s">
        <v>53</v>
      </c>
      <c r="D129" s="188" t="s">
        <v>22</v>
      </c>
      <c r="E129" s="187" t="s">
        <v>53</v>
      </c>
      <c r="F129" s="16" t="s">
        <v>22</v>
      </c>
      <c r="G129" s="1129" t="s">
        <v>55</v>
      </c>
      <c r="H129" s="187" t="s">
        <v>42</v>
      </c>
      <c r="I129" s="16"/>
      <c r="J129" s="1128" t="s">
        <v>59</v>
      </c>
      <c r="K129" s="16" t="s">
        <v>43</v>
      </c>
      <c r="L129" s="195" t="s">
        <v>44</v>
      </c>
      <c r="M129" s="1128" t="s">
        <v>59</v>
      </c>
      <c r="N129" s="1055" t="s">
        <v>22</v>
      </c>
      <c r="O129" s="188" t="s">
        <v>22</v>
      </c>
      <c r="P129" s="1128" t="s">
        <v>59</v>
      </c>
      <c r="Q129" s="1055" t="s">
        <v>22</v>
      </c>
      <c r="R129" s="188" t="s">
        <v>22</v>
      </c>
      <c r="S129" s="1128" t="s">
        <v>59</v>
      </c>
      <c r="T129" s="1055" t="s">
        <v>22</v>
      </c>
      <c r="U129" s="188" t="s">
        <v>22</v>
      </c>
      <c r="V129" s="1128" t="s">
        <v>59</v>
      </c>
      <c r="W129" s="16" t="s">
        <v>22</v>
      </c>
      <c r="X129" s="188" t="s">
        <v>86</v>
      </c>
      <c r="Y129" s="1128" t="s">
        <v>59</v>
      </c>
      <c r="Z129" s="16" t="s">
        <v>22</v>
      </c>
      <c r="AA129" s="188" t="s">
        <v>86</v>
      </c>
      <c r="AB129" s="1128" t="s">
        <v>59</v>
      </c>
      <c r="AC129" s="16" t="s">
        <v>22</v>
      </c>
      <c r="AD129" s="188" t="s">
        <v>86</v>
      </c>
      <c r="AE129" s="75" t="s">
        <v>63</v>
      </c>
      <c r="AF129" s="202" t="s">
        <v>67</v>
      </c>
      <c r="AG129" s="75" t="s">
        <v>61</v>
      </c>
      <c r="AH129" s="17" t="s">
        <v>61</v>
      </c>
      <c r="AI129" s="1128" t="s">
        <v>59</v>
      </c>
      <c r="AJ129" s="17" t="s">
        <v>65</v>
      </c>
      <c r="AK129" s="207" t="s">
        <v>89</v>
      </c>
      <c r="AL129" s="17" t="s">
        <v>89</v>
      </c>
      <c r="AM129" s="75" t="s">
        <v>72</v>
      </c>
      <c r="AN129" s="16" t="s">
        <v>74</v>
      </c>
      <c r="AO129" s="16" t="s">
        <v>74</v>
      </c>
      <c r="AP129" s="16" t="s">
        <v>74</v>
      </c>
      <c r="AQ129" s="17" t="s">
        <v>75</v>
      </c>
      <c r="AR129" s="200" t="s">
        <v>67</v>
      </c>
      <c r="AS129" s="46"/>
    </row>
    <row r="130" spans="1:46">
      <c r="A130" s="70"/>
      <c r="B130" s="19"/>
      <c r="C130" s="65"/>
      <c r="D130" s="67"/>
      <c r="E130" s="65"/>
      <c r="F130" s="18"/>
      <c r="G130" s="19"/>
      <c r="H130" s="65"/>
      <c r="I130" s="18"/>
      <c r="J130" s="73"/>
      <c r="K130" s="18"/>
      <c r="L130" s="156"/>
      <c r="M130" s="54"/>
      <c r="N130" s="1049"/>
      <c r="O130" s="67"/>
      <c r="P130" s="203"/>
      <c r="Q130" s="1049"/>
      <c r="R130" s="1063"/>
      <c r="S130" s="54"/>
      <c r="T130" s="1059"/>
      <c r="U130" s="67"/>
      <c r="V130" s="54"/>
      <c r="W130" s="269"/>
      <c r="X130" s="59"/>
      <c r="Y130" s="54"/>
      <c r="Z130" s="269"/>
      <c r="AA130" s="59"/>
      <c r="AB130" s="54"/>
      <c r="AC130" s="269"/>
      <c r="AD130" s="59"/>
      <c r="AE130" s="70"/>
      <c r="AF130" s="19"/>
      <c r="AG130" s="70"/>
      <c r="AH130" s="19"/>
      <c r="AI130" s="54"/>
      <c r="AJ130" s="19"/>
      <c r="AK130" s="70"/>
      <c r="AL130" s="197"/>
      <c r="AM130" s="70"/>
      <c r="AN130" s="18"/>
      <c r="AO130" s="18"/>
      <c r="AP130" s="18"/>
      <c r="AQ130" s="19"/>
      <c r="AR130" s="286"/>
      <c r="AS130" s="7"/>
    </row>
    <row r="131" spans="1:46">
      <c r="A131" s="72">
        <f>A$128/2</f>
        <v>24</v>
      </c>
      <c r="B131" s="61">
        <v>2.4500000000000002</v>
      </c>
      <c r="C131" s="66">
        <f>A131*B131</f>
        <v>58.800000000000004</v>
      </c>
      <c r="D131" s="68">
        <v>5</v>
      </c>
      <c r="E131" s="66">
        <f t="shared" ref="E131:E159" si="92">IF(L131/120*1000*1.5&lt;65,120,IF(L131/208*1000*1.5&lt;65,208,IF(L131/240*1000*1.5&lt;65,240,480)))</f>
        <v>120</v>
      </c>
      <c r="F131" s="45">
        <f>L131*1000/E131</f>
        <v>6.25</v>
      </c>
      <c r="G131" s="94">
        <f>G$128</f>
        <v>12</v>
      </c>
      <c r="H131" s="295">
        <f>1.11*(1+G131/100)*C131+2</f>
        <v>75.100160000000017</v>
      </c>
      <c r="I131" s="25"/>
      <c r="J131" s="52">
        <f>J$128</f>
        <v>35</v>
      </c>
      <c r="K131" s="25">
        <f t="shared" ref="K131:K159" si="93">(1+J131/100)*D131*1.11</f>
        <v>7.4925000000000006</v>
      </c>
      <c r="L131" s="427">
        <f t="shared" ref="L131:L159" si="94">IF(CEILING(H131*K131/1000,0.25)&lt;10,CEILING(H131*K131/1000,0.25),IF(CEILING(H131*K131/1000,0.25)&lt;20,CEILING(H131*K131/1000,0.5),CEILING(H131*K131/1000,1)))</f>
        <v>0.75</v>
      </c>
      <c r="M131" s="55">
        <f>M$128</f>
        <v>35</v>
      </c>
      <c r="N131" s="838">
        <f t="shared" ref="N131:N159" si="95">(1+M131/100)*F131</f>
        <v>8.4375</v>
      </c>
      <c r="O131" s="68">
        <f>LOOKUP(N131,'Circuit Breakers'!$B$5:$B$38,'Circuit Breakers'!$C$5:$C$38)</f>
        <v>10</v>
      </c>
      <c r="P131" s="199">
        <f t="shared" ref="P131:P159" si="96">P$128</f>
        <v>30</v>
      </c>
      <c r="Q131" s="1056">
        <f>(1+P131/100)*K131</f>
        <v>9.7402500000000014</v>
      </c>
      <c r="R131" s="1064">
        <f>LOOKUP(Q131,'Circuit Breakers'!$B$5:$B$38,'Circuit Breakers'!$C$5:$C$38)</f>
        <v>10</v>
      </c>
      <c r="S131" s="64">
        <f t="shared" ref="S131:S159" si="97">S$128</f>
        <v>30</v>
      </c>
      <c r="T131" s="25">
        <f>(1+S131/100)*D131</f>
        <v>6.5</v>
      </c>
      <c r="U131" s="158">
        <f>LOOKUP(T131,'Circuit Breakers'!$B$5:$B$38,'Circuit Breakers'!$C$5:$C$38)</f>
        <v>10</v>
      </c>
      <c r="V131" s="64">
        <f>V$128</f>
        <v>15</v>
      </c>
      <c r="W131" s="25">
        <f t="shared" ref="W131:W159" si="98">(1+V131/100)*F131</f>
        <v>7.1874999999999991</v>
      </c>
      <c r="X131" s="68" t="str">
        <f>LOOKUP(W131,'Wire-Cables Ampacities'!$B$5:$B$35,'Wire-Cables Ampacities'!$C$5:$C$35)</f>
        <v>#10</v>
      </c>
      <c r="Y131" s="64">
        <f>Y$128</f>
        <v>10</v>
      </c>
      <c r="Z131" s="25">
        <f t="shared" ref="Z131:Z159" si="99">(1+Y131/100)*K131</f>
        <v>8.2417500000000015</v>
      </c>
      <c r="AA131" s="68" t="str">
        <f>LOOKUP(Z131,'Wire-Cables Ampacities'!$B$5:$B$35,'Wire-Cables Ampacities'!$C$5:$C$35)</f>
        <v>#10</v>
      </c>
      <c r="AB131" s="1135">
        <f>AB$128</f>
        <v>10</v>
      </c>
      <c r="AC131" s="25">
        <f t="shared" ref="AC131:AC159" si="100">(1+AB131/100)*D131</f>
        <v>5.5</v>
      </c>
      <c r="AD131" s="68" t="str">
        <f>LOOKUP(AC131,'Wire-Cables Ampacities'!$B$5:$B$35,'Wire-Cables Ampacities'!$C$5:$C$35)</f>
        <v>#10</v>
      </c>
      <c r="AE131" s="81">
        <f>(2*D131+0.05*L131*1000)/1000</f>
        <v>4.7500000000000007E-2</v>
      </c>
      <c r="AF131" s="56">
        <f t="shared" ref="AF131:AF147" si="101">AE131*3.412142*1000</f>
        <v>162.07674500000002</v>
      </c>
      <c r="AG131" s="72">
        <v>40</v>
      </c>
      <c r="AH131" s="15">
        <v>55</v>
      </c>
      <c r="AI131" s="64">
        <f>AI$128</f>
        <v>20</v>
      </c>
      <c r="AJ131" s="56">
        <f>1760*AE131/(AH131-AG131)*(1+AI131/100)</f>
        <v>6.6880000000000006</v>
      </c>
      <c r="AK131" s="271">
        <f t="shared" ref="AK131:AK159" si="102">AJ131/AK$20</f>
        <v>7.4311111111111119E-2</v>
      </c>
      <c r="AL131" s="277">
        <f t="shared" ref="AL131:AL159" si="103">AJ131/AL$20</f>
        <v>3.715555555555556E-2</v>
      </c>
      <c r="AM131" s="58">
        <v>450</v>
      </c>
      <c r="AN131" s="25">
        <v>24</v>
      </c>
      <c r="AO131" s="3">
        <v>30</v>
      </c>
      <c r="AP131" s="3">
        <v>16</v>
      </c>
      <c r="AQ131" s="281">
        <f>((2*AO131*AN131)+2*(AO131*AP131)+(AN131*AP131))/144</f>
        <v>19.333333333333332</v>
      </c>
      <c r="AR131" s="287">
        <f t="shared" ref="AR131:AR147" si="104">AF131+(1.25*AQ131*(AG131-AH131))</f>
        <v>-200.42325499999993</v>
      </c>
      <c r="AS131" s="93"/>
      <c r="AT131" s="4"/>
    </row>
    <row r="132" spans="1:46">
      <c r="A132" s="98">
        <f t="shared" ref="A132:A159" si="105">A$128/2</f>
        <v>24</v>
      </c>
      <c r="B132" s="304">
        <v>2.4500000000000002</v>
      </c>
      <c r="C132" s="100">
        <f t="shared" ref="C132:C159" si="106">A132*B132</f>
        <v>58.800000000000004</v>
      </c>
      <c r="D132" s="101">
        <v>10</v>
      </c>
      <c r="E132" s="100">
        <f t="shared" si="92"/>
        <v>120</v>
      </c>
      <c r="F132" s="102">
        <f t="shared" ref="F132:F159" si="107">L132*1000/E132</f>
        <v>10.416666666666666</v>
      </c>
      <c r="G132" s="103">
        <f t="shared" ref="G132:G159" si="108">G$128</f>
        <v>12</v>
      </c>
      <c r="H132" s="296">
        <f t="shared" ref="H132:H159" si="109">1.11*(1+G132/100)*C132+2</f>
        <v>75.100160000000017</v>
      </c>
      <c r="I132" s="104"/>
      <c r="J132" s="180">
        <f t="shared" ref="J132:J159" si="110">J$128</f>
        <v>35</v>
      </c>
      <c r="K132" s="104">
        <f t="shared" si="93"/>
        <v>14.985000000000001</v>
      </c>
      <c r="L132" s="428">
        <f t="shared" si="94"/>
        <v>1.25</v>
      </c>
      <c r="M132" s="106">
        <f t="shared" ref="M132:M159" si="111">M$128</f>
        <v>35</v>
      </c>
      <c r="N132" s="1060">
        <f t="shared" si="95"/>
        <v>14.0625</v>
      </c>
      <c r="O132" s="101">
        <f>LOOKUP(N132,'Circuit Breakers'!$B$5:$B$38,'Circuit Breakers'!$C$5:$C$38)</f>
        <v>15</v>
      </c>
      <c r="P132" s="262">
        <f t="shared" si="96"/>
        <v>30</v>
      </c>
      <c r="Q132" s="1057">
        <f t="shared" ref="Q132:Q159" si="112">(1+P132/100)*K132</f>
        <v>19.480500000000003</v>
      </c>
      <c r="R132" s="1065">
        <f>LOOKUP(Q132,'Circuit Breakers'!$B$5:$B$38,'Circuit Breakers'!$C$5:$C$38)</f>
        <v>20</v>
      </c>
      <c r="S132" s="106">
        <f t="shared" si="97"/>
        <v>30</v>
      </c>
      <c r="T132" s="104">
        <f t="shared" ref="T132:T159" si="113">(1+S132/100)*D132</f>
        <v>13</v>
      </c>
      <c r="U132" s="477">
        <f>LOOKUP(T132,'Circuit Breakers'!$B$5:$B$38,'Circuit Breakers'!$C$5:$C$38)</f>
        <v>15</v>
      </c>
      <c r="V132" s="106">
        <f t="shared" ref="V132:V159" si="114">V$128</f>
        <v>15</v>
      </c>
      <c r="W132" s="104">
        <f t="shared" si="98"/>
        <v>11.979166666666664</v>
      </c>
      <c r="X132" s="101" t="str">
        <f>LOOKUP(W132,'Wire-Cables Ampacities'!$B$5:$B$35,'Wire-Cables Ampacities'!$C$5:$C$35)</f>
        <v>#10</v>
      </c>
      <c r="Y132" s="106">
        <f t="shared" ref="Y132:Y159" si="115">Y$128</f>
        <v>10</v>
      </c>
      <c r="Z132" s="104">
        <f t="shared" si="99"/>
        <v>16.483500000000003</v>
      </c>
      <c r="AA132" s="101" t="str">
        <f>LOOKUP(Z132,'Wire-Cables Ampacities'!$B$5:$B$35,'Wire-Cables Ampacities'!$C$5:$C$35)</f>
        <v>#10</v>
      </c>
      <c r="AB132" s="1136">
        <f t="shared" ref="AB132:AB159" si="116">AB$128</f>
        <v>10</v>
      </c>
      <c r="AC132" s="104">
        <f t="shared" si="100"/>
        <v>11</v>
      </c>
      <c r="AD132" s="101" t="str">
        <f>LOOKUP(AC132,'Wire-Cables Ampacities'!$B$5:$B$35,'Wire-Cables Ampacities'!$C$5:$C$35)</f>
        <v>#10</v>
      </c>
      <c r="AE132" s="107">
        <f t="shared" ref="AE132:AE159" si="117">(2*D132+0.05*L132*1000)/1000</f>
        <v>8.2500000000000004E-2</v>
      </c>
      <c r="AF132" s="105">
        <f t="shared" si="101"/>
        <v>281.50171499999999</v>
      </c>
      <c r="AG132" s="98">
        <v>40</v>
      </c>
      <c r="AH132" s="99">
        <v>55</v>
      </c>
      <c r="AI132" s="106">
        <f t="shared" ref="AI132:AI159" si="118">AI$128</f>
        <v>20</v>
      </c>
      <c r="AJ132" s="105">
        <f t="shared" ref="AJ132:AJ159" si="119">1760*AE132/(AH132-AG132)*(1+AI132/100)</f>
        <v>11.616000000000001</v>
      </c>
      <c r="AK132" s="272">
        <f t="shared" si="102"/>
        <v>0.12906666666666669</v>
      </c>
      <c r="AL132" s="278">
        <f t="shared" si="103"/>
        <v>6.4533333333333345E-2</v>
      </c>
      <c r="AM132" s="109">
        <v>450</v>
      </c>
      <c r="AN132" s="104">
        <v>24</v>
      </c>
      <c r="AO132" s="110">
        <v>30</v>
      </c>
      <c r="AP132" s="110">
        <v>16</v>
      </c>
      <c r="AQ132" s="282">
        <f t="shared" ref="AQ132:AQ159" si="120">((2*AO132*AN132)+2*(AO132*AP132)+(AN132*AP132))/144</f>
        <v>19.333333333333332</v>
      </c>
      <c r="AR132" s="288">
        <f t="shared" si="104"/>
        <v>-80.998284999999953</v>
      </c>
      <c r="AS132" s="93"/>
      <c r="AT132" s="4"/>
    </row>
    <row r="133" spans="1:46">
      <c r="A133" s="72">
        <f t="shared" si="105"/>
        <v>24</v>
      </c>
      <c r="B133" s="61">
        <v>2.4500000000000002</v>
      </c>
      <c r="C133" s="66">
        <f t="shared" si="106"/>
        <v>58.800000000000004</v>
      </c>
      <c r="D133" s="68">
        <v>15</v>
      </c>
      <c r="E133" s="66">
        <f t="shared" si="92"/>
        <v>120</v>
      </c>
      <c r="F133" s="45">
        <f t="shared" si="107"/>
        <v>14.583333333333334</v>
      </c>
      <c r="G133" s="94">
        <f t="shared" si="108"/>
        <v>12</v>
      </c>
      <c r="H133" s="295">
        <f t="shared" si="109"/>
        <v>75.100160000000017</v>
      </c>
      <c r="I133" s="25"/>
      <c r="J133" s="52">
        <f t="shared" si="110"/>
        <v>35</v>
      </c>
      <c r="K133" s="25">
        <f t="shared" si="93"/>
        <v>22.477500000000003</v>
      </c>
      <c r="L133" s="427">
        <f t="shared" si="94"/>
        <v>1.75</v>
      </c>
      <c r="M133" s="64">
        <f t="shared" si="111"/>
        <v>35</v>
      </c>
      <c r="N133" s="838">
        <f t="shared" si="95"/>
        <v>19.687500000000004</v>
      </c>
      <c r="O133" s="68">
        <f>LOOKUP(N133,'Circuit Breakers'!$B$5:$B$38,'Circuit Breakers'!$C$5:$C$38)</f>
        <v>20</v>
      </c>
      <c r="P133" s="199">
        <f t="shared" si="96"/>
        <v>30</v>
      </c>
      <c r="Q133" s="1056">
        <f t="shared" si="112"/>
        <v>29.220750000000006</v>
      </c>
      <c r="R133" s="1064">
        <f>LOOKUP(Q133,'Circuit Breakers'!$B$5:$B$38,'Circuit Breakers'!$C$5:$C$38)</f>
        <v>30</v>
      </c>
      <c r="S133" s="64">
        <f t="shared" si="97"/>
        <v>30</v>
      </c>
      <c r="T133" s="25">
        <f t="shared" si="113"/>
        <v>19.5</v>
      </c>
      <c r="U133" s="158">
        <f>LOOKUP(T133,'Circuit Breakers'!$B$5:$B$38,'Circuit Breakers'!$C$5:$C$38)</f>
        <v>20</v>
      </c>
      <c r="V133" s="64">
        <f t="shared" si="114"/>
        <v>15</v>
      </c>
      <c r="W133" s="25">
        <f t="shared" si="98"/>
        <v>16.770833333333332</v>
      </c>
      <c r="X133" s="68" t="str">
        <f>LOOKUP(W133,'Wire-Cables Ampacities'!$B$5:$B$35,'Wire-Cables Ampacities'!$C$5:$C$35)</f>
        <v>#10</v>
      </c>
      <c r="Y133" s="64">
        <f t="shared" si="115"/>
        <v>10</v>
      </c>
      <c r="Z133" s="25">
        <f t="shared" si="99"/>
        <v>24.725250000000006</v>
      </c>
      <c r="AA133" s="68" t="str">
        <f>LOOKUP(Z133,'Wire-Cables Ampacities'!$B$5:$B$35,'Wire-Cables Ampacities'!$C$5:$C$35)</f>
        <v>#10</v>
      </c>
      <c r="AB133" s="1135">
        <f t="shared" si="116"/>
        <v>10</v>
      </c>
      <c r="AC133" s="25">
        <f t="shared" si="100"/>
        <v>16.5</v>
      </c>
      <c r="AD133" s="68" t="str">
        <f>LOOKUP(AC133,'Wire-Cables Ampacities'!$B$5:$B$35,'Wire-Cables Ampacities'!$C$5:$C$35)</f>
        <v>#10</v>
      </c>
      <c r="AE133" s="81">
        <f t="shared" si="117"/>
        <v>0.11750000000000002</v>
      </c>
      <c r="AF133" s="56">
        <f t="shared" si="101"/>
        <v>400.92668500000008</v>
      </c>
      <c r="AG133" s="72">
        <v>40</v>
      </c>
      <c r="AH133" s="15">
        <v>55</v>
      </c>
      <c r="AI133" s="64">
        <f t="shared" si="118"/>
        <v>20</v>
      </c>
      <c r="AJ133" s="56">
        <f t="shared" si="119"/>
        <v>16.544</v>
      </c>
      <c r="AK133" s="271">
        <f t="shared" si="102"/>
        <v>0.18382222222222222</v>
      </c>
      <c r="AL133" s="277">
        <f t="shared" si="103"/>
        <v>9.191111111111111E-2</v>
      </c>
      <c r="AM133" s="58">
        <v>600</v>
      </c>
      <c r="AN133" s="25">
        <v>24</v>
      </c>
      <c r="AO133" s="3">
        <v>48</v>
      </c>
      <c r="AP133" s="3">
        <v>16</v>
      </c>
      <c r="AQ133" s="281">
        <f t="shared" si="120"/>
        <v>29.333333333333332</v>
      </c>
      <c r="AR133" s="287">
        <f t="shared" si="104"/>
        <v>-149.07331499999992</v>
      </c>
      <c r="AS133" s="93"/>
      <c r="AT133" s="4"/>
    </row>
    <row r="134" spans="1:46">
      <c r="A134" s="72">
        <f t="shared" si="105"/>
        <v>24</v>
      </c>
      <c r="B134" s="61">
        <v>2.4500000000000002</v>
      </c>
      <c r="C134" s="66">
        <f t="shared" si="106"/>
        <v>58.800000000000004</v>
      </c>
      <c r="D134" s="68">
        <v>20</v>
      </c>
      <c r="E134" s="66">
        <f t="shared" si="92"/>
        <v>120</v>
      </c>
      <c r="F134" s="45">
        <f t="shared" si="107"/>
        <v>20.833333333333332</v>
      </c>
      <c r="G134" s="94">
        <f t="shared" si="108"/>
        <v>12</v>
      </c>
      <c r="H134" s="295">
        <f t="shared" si="109"/>
        <v>75.100160000000017</v>
      </c>
      <c r="I134" s="25"/>
      <c r="J134" s="52">
        <f t="shared" si="110"/>
        <v>35</v>
      </c>
      <c r="K134" s="25">
        <f t="shared" si="93"/>
        <v>29.970000000000002</v>
      </c>
      <c r="L134" s="427">
        <f t="shared" si="94"/>
        <v>2.5</v>
      </c>
      <c r="M134" s="55">
        <f t="shared" si="111"/>
        <v>35</v>
      </c>
      <c r="N134" s="838">
        <f t="shared" si="95"/>
        <v>28.125</v>
      </c>
      <c r="O134" s="68">
        <f>LOOKUP(N134,'Circuit Breakers'!$B$5:$B$38,'Circuit Breakers'!$C$5:$C$38)</f>
        <v>30</v>
      </c>
      <c r="P134" s="199">
        <f t="shared" si="96"/>
        <v>30</v>
      </c>
      <c r="Q134" s="1056">
        <f t="shared" si="112"/>
        <v>38.961000000000006</v>
      </c>
      <c r="R134" s="1064">
        <f>LOOKUP(Q134,'Circuit Breakers'!$B$5:$B$38,'Circuit Breakers'!$C$5:$C$38)</f>
        <v>40</v>
      </c>
      <c r="S134" s="64">
        <f t="shared" si="97"/>
        <v>30</v>
      </c>
      <c r="T134" s="25">
        <f t="shared" si="113"/>
        <v>26</v>
      </c>
      <c r="U134" s="158">
        <f>LOOKUP(T134,'Circuit Breakers'!$B$5:$B$38,'Circuit Breakers'!$C$5:$C$38)</f>
        <v>30</v>
      </c>
      <c r="V134" s="64">
        <f t="shared" si="114"/>
        <v>15</v>
      </c>
      <c r="W134" s="25">
        <f t="shared" si="98"/>
        <v>23.958333333333329</v>
      </c>
      <c r="X134" s="68" t="str">
        <f>LOOKUP(W134,'Wire-Cables Ampacities'!$B$5:$B$35,'Wire-Cables Ampacities'!$C$5:$C$35)</f>
        <v>#10</v>
      </c>
      <c r="Y134" s="64">
        <f t="shared" si="115"/>
        <v>10</v>
      </c>
      <c r="Z134" s="25">
        <f t="shared" si="99"/>
        <v>32.967000000000006</v>
      </c>
      <c r="AA134" s="68" t="str">
        <f>LOOKUP(Z134,'Wire-Cables Ampacities'!$B$5:$B$35,'Wire-Cables Ampacities'!$C$5:$C$35)</f>
        <v>#10</v>
      </c>
      <c r="AB134" s="1135">
        <f t="shared" si="116"/>
        <v>10</v>
      </c>
      <c r="AC134" s="25">
        <f t="shared" si="100"/>
        <v>22</v>
      </c>
      <c r="AD134" s="68" t="str">
        <f>LOOKUP(AC134,'Wire-Cables Ampacities'!$B$5:$B$35,'Wire-Cables Ampacities'!$C$5:$C$35)</f>
        <v>#10</v>
      </c>
      <c r="AE134" s="81">
        <f t="shared" si="117"/>
        <v>0.16500000000000001</v>
      </c>
      <c r="AF134" s="56">
        <f t="shared" si="101"/>
        <v>563.00342999999998</v>
      </c>
      <c r="AG134" s="72">
        <v>40</v>
      </c>
      <c r="AH134" s="15">
        <v>55</v>
      </c>
      <c r="AI134" s="64">
        <f t="shared" si="118"/>
        <v>20</v>
      </c>
      <c r="AJ134" s="56">
        <f t="shared" si="119"/>
        <v>23.232000000000003</v>
      </c>
      <c r="AK134" s="271">
        <f t="shared" si="102"/>
        <v>0.25813333333333338</v>
      </c>
      <c r="AL134" s="277">
        <f t="shared" si="103"/>
        <v>0.12906666666666669</v>
      </c>
      <c r="AM134" s="58">
        <v>600</v>
      </c>
      <c r="AN134" s="25">
        <v>24</v>
      </c>
      <c r="AO134" s="3">
        <v>48</v>
      </c>
      <c r="AP134" s="3">
        <v>16</v>
      </c>
      <c r="AQ134" s="281">
        <f t="shared" si="120"/>
        <v>29.333333333333332</v>
      </c>
      <c r="AR134" s="287">
        <f t="shared" si="104"/>
        <v>13.00342999999998</v>
      </c>
      <c r="AS134" s="93"/>
      <c r="AT134" s="4"/>
    </row>
    <row r="135" spans="1:46">
      <c r="A135" s="98">
        <f t="shared" si="105"/>
        <v>24</v>
      </c>
      <c r="B135" s="304">
        <v>2.4500000000000002</v>
      </c>
      <c r="C135" s="100">
        <f t="shared" si="106"/>
        <v>58.800000000000004</v>
      </c>
      <c r="D135" s="101">
        <v>25</v>
      </c>
      <c r="E135" s="100">
        <f t="shared" si="92"/>
        <v>120</v>
      </c>
      <c r="F135" s="102">
        <f t="shared" si="107"/>
        <v>25</v>
      </c>
      <c r="G135" s="103">
        <f t="shared" si="108"/>
        <v>12</v>
      </c>
      <c r="H135" s="296">
        <f t="shared" si="109"/>
        <v>75.100160000000017</v>
      </c>
      <c r="I135" s="104"/>
      <c r="J135" s="180">
        <f t="shared" si="110"/>
        <v>35</v>
      </c>
      <c r="K135" s="104">
        <f t="shared" si="93"/>
        <v>37.462500000000006</v>
      </c>
      <c r="L135" s="428">
        <f t="shared" si="94"/>
        <v>3</v>
      </c>
      <c r="M135" s="106">
        <f t="shared" si="111"/>
        <v>35</v>
      </c>
      <c r="N135" s="1060">
        <f t="shared" si="95"/>
        <v>33.75</v>
      </c>
      <c r="O135" s="101">
        <f>LOOKUP(N135,'Circuit Breakers'!$B$5:$B$38,'Circuit Breakers'!$C$5:$C$38)</f>
        <v>40</v>
      </c>
      <c r="P135" s="262">
        <f t="shared" si="96"/>
        <v>30</v>
      </c>
      <c r="Q135" s="1057">
        <f t="shared" si="112"/>
        <v>48.701250000000009</v>
      </c>
      <c r="R135" s="1065">
        <f>LOOKUP(Q135,'Circuit Breakers'!$B$5:$B$38,'Circuit Breakers'!$C$5:$C$38)</f>
        <v>50</v>
      </c>
      <c r="S135" s="106">
        <f t="shared" si="97"/>
        <v>30</v>
      </c>
      <c r="T135" s="104">
        <f t="shared" si="113"/>
        <v>32.5</v>
      </c>
      <c r="U135" s="477">
        <f>LOOKUP(T135,'Circuit Breakers'!$B$5:$B$38,'Circuit Breakers'!$C$5:$C$38)</f>
        <v>40</v>
      </c>
      <c r="V135" s="106">
        <f t="shared" si="114"/>
        <v>15</v>
      </c>
      <c r="W135" s="104">
        <f t="shared" si="98"/>
        <v>28.749999999999996</v>
      </c>
      <c r="X135" s="101" t="str">
        <f>LOOKUP(W135,'Wire-Cables Ampacities'!$B$5:$B$35,'Wire-Cables Ampacities'!$C$5:$C$35)</f>
        <v>#10</v>
      </c>
      <c r="Y135" s="106">
        <f t="shared" si="115"/>
        <v>10</v>
      </c>
      <c r="Z135" s="104">
        <f t="shared" si="99"/>
        <v>41.208750000000009</v>
      </c>
      <c r="AA135" s="101" t="str">
        <f>LOOKUP(Z135,'Wire-Cables Ampacities'!$B$5:$B$35,'Wire-Cables Ampacities'!$C$5:$C$35)</f>
        <v>#8</v>
      </c>
      <c r="AB135" s="1136">
        <f t="shared" si="116"/>
        <v>10</v>
      </c>
      <c r="AC135" s="104">
        <f t="shared" si="100"/>
        <v>27.500000000000004</v>
      </c>
      <c r="AD135" s="101" t="str">
        <f>LOOKUP(AC135,'Wire-Cables Ampacities'!$B$5:$B$35,'Wire-Cables Ampacities'!$C$5:$C$35)</f>
        <v>#10</v>
      </c>
      <c r="AE135" s="107">
        <f t="shared" si="117"/>
        <v>0.20000000000000004</v>
      </c>
      <c r="AF135" s="105">
        <f t="shared" si="101"/>
        <v>682.42840000000001</v>
      </c>
      <c r="AG135" s="98">
        <v>40</v>
      </c>
      <c r="AH135" s="99">
        <v>55</v>
      </c>
      <c r="AI135" s="106">
        <f t="shared" si="118"/>
        <v>20</v>
      </c>
      <c r="AJ135" s="105">
        <f t="shared" si="119"/>
        <v>28.160000000000007</v>
      </c>
      <c r="AK135" s="272">
        <f t="shared" si="102"/>
        <v>0.31288888888888899</v>
      </c>
      <c r="AL135" s="278">
        <f t="shared" si="103"/>
        <v>0.1564444444444445</v>
      </c>
      <c r="AM135" s="109">
        <v>600</v>
      </c>
      <c r="AN135" s="104">
        <v>24</v>
      </c>
      <c r="AO135" s="110">
        <v>48</v>
      </c>
      <c r="AP135" s="110">
        <v>16</v>
      </c>
      <c r="AQ135" s="282">
        <f t="shared" si="120"/>
        <v>29.333333333333332</v>
      </c>
      <c r="AR135" s="288">
        <f t="shared" si="104"/>
        <v>132.42840000000001</v>
      </c>
      <c r="AS135" s="93"/>
      <c r="AT135" s="4"/>
    </row>
    <row r="136" spans="1:46">
      <c r="A136" s="72">
        <f t="shared" si="105"/>
        <v>24</v>
      </c>
      <c r="B136" s="61">
        <v>2.4500000000000002</v>
      </c>
      <c r="C136" s="66">
        <f t="shared" si="106"/>
        <v>58.800000000000004</v>
      </c>
      <c r="D136" s="68">
        <v>30</v>
      </c>
      <c r="E136" s="66">
        <f t="shared" si="92"/>
        <v>120</v>
      </c>
      <c r="F136" s="45">
        <f t="shared" si="107"/>
        <v>29.166666666666668</v>
      </c>
      <c r="G136" s="94">
        <f t="shared" si="108"/>
        <v>12</v>
      </c>
      <c r="H136" s="295">
        <f t="shared" si="109"/>
        <v>75.100160000000017</v>
      </c>
      <c r="I136" s="25"/>
      <c r="J136" s="52">
        <f t="shared" si="110"/>
        <v>35</v>
      </c>
      <c r="K136" s="25">
        <f t="shared" si="93"/>
        <v>44.955000000000005</v>
      </c>
      <c r="L136" s="427">
        <f t="shared" si="94"/>
        <v>3.5</v>
      </c>
      <c r="M136" s="64">
        <f t="shared" si="111"/>
        <v>35</v>
      </c>
      <c r="N136" s="838">
        <f t="shared" si="95"/>
        <v>39.375000000000007</v>
      </c>
      <c r="O136" s="68">
        <f>LOOKUP(N136,'Circuit Breakers'!$B$5:$B$38,'Circuit Breakers'!$C$5:$C$38)</f>
        <v>40</v>
      </c>
      <c r="P136" s="199">
        <f t="shared" si="96"/>
        <v>30</v>
      </c>
      <c r="Q136" s="1056">
        <f t="shared" si="112"/>
        <v>58.441500000000012</v>
      </c>
      <c r="R136" s="1064">
        <f>LOOKUP(Q136,'Circuit Breakers'!$B$5:$B$38,'Circuit Breakers'!$C$5:$C$38)</f>
        <v>60</v>
      </c>
      <c r="S136" s="64">
        <f t="shared" si="97"/>
        <v>30</v>
      </c>
      <c r="T136" s="25">
        <f t="shared" si="113"/>
        <v>39</v>
      </c>
      <c r="U136" s="158">
        <f>LOOKUP(T136,'Circuit Breakers'!$B$5:$B$38,'Circuit Breakers'!$C$5:$C$38)</f>
        <v>40</v>
      </c>
      <c r="V136" s="64">
        <f t="shared" si="114"/>
        <v>15</v>
      </c>
      <c r="W136" s="25">
        <f t="shared" si="98"/>
        <v>33.541666666666664</v>
      </c>
      <c r="X136" s="68" t="str">
        <f>LOOKUP(W136,'Wire-Cables Ampacities'!$B$5:$B$35,'Wire-Cables Ampacities'!$C$5:$C$35)</f>
        <v>#10</v>
      </c>
      <c r="Y136" s="64">
        <f t="shared" si="115"/>
        <v>10</v>
      </c>
      <c r="Z136" s="25">
        <f t="shared" si="99"/>
        <v>49.450500000000012</v>
      </c>
      <c r="AA136" s="68" t="str">
        <f>LOOKUP(Z136,'Wire-Cables Ampacities'!$B$5:$B$35,'Wire-Cables Ampacities'!$C$5:$C$35)</f>
        <v>#8</v>
      </c>
      <c r="AB136" s="1135">
        <f t="shared" si="116"/>
        <v>10</v>
      </c>
      <c r="AC136" s="25">
        <f t="shared" si="100"/>
        <v>33</v>
      </c>
      <c r="AD136" s="68" t="str">
        <f>LOOKUP(AC136,'Wire-Cables Ampacities'!$B$5:$B$35,'Wire-Cables Ampacities'!$C$5:$C$35)</f>
        <v>#10</v>
      </c>
      <c r="AE136" s="81">
        <f t="shared" si="117"/>
        <v>0.23500000000000004</v>
      </c>
      <c r="AF136" s="56">
        <f t="shared" si="101"/>
        <v>801.85337000000015</v>
      </c>
      <c r="AG136" s="72">
        <v>40</v>
      </c>
      <c r="AH136" s="15">
        <v>55</v>
      </c>
      <c r="AI136" s="64">
        <f t="shared" si="118"/>
        <v>20</v>
      </c>
      <c r="AJ136" s="56">
        <f t="shared" si="119"/>
        <v>33.088000000000001</v>
      </c>
      <c r="AK136" s="271">
        <f t="shared" si="102"/>
        <v>0.36764444444444444</v>
      </c>
      <c r="AL136" s="277">
        <f t="shared" si="103"/>
        <v>0.18382222222222222</v>
      </c>
      <c r="AM136" s="58">
        <v>600</v>
      </c>
      <c r="AN136" s="25">
        <v>24</v>
      </c>
      <c r="AO136" s="3">
        <v>48</v>
      </c>
      <c r="AP136" s="3">
        <v>16</v>
      </c>
      <c r="AQ136" s="281">
        <f t="shared" si="120"/>
        <v>29.333333333333332</v>
      </c>
      <c r="AR136" s="287">
        <f t="shared" si="104"/>
        <v>251.85337000000015</v>
      </c>
      <c r="AS136" s="93"/>
      <c r="AT136" s="4"/>
    </row>
    <row r="137" spans="1:46">
      <c r="A137" s="72">
        <f t="shared" si="105"/>
        <v>24</v>
      </c>
      <c r="B137" s="61">
        <v>2.4500000000000002</v>
      </c>
      <c r="C137" s="66">
        <f t="shared" si="106"/>
        <v>58.800000000000004</v>
      </c>
      <c r="D137" s="68">
        <v>35</v>
      </c>
      <c r="E137" s="66">
        <f t="shared" si="92"/>
        <v>120</v>
      </c>
      <c r="F137" s="45">
        <f t="shared" si="107"/>
        <v>33.333333333333336</v>
      </c>
      <c r="G137" s="94">
        <f t="shared" si="108"/>
        <v>12</v>
      </c>
      <c r="H137" s="295">
        <f t="shared" si="109"/>
        <v>75.100160000000017</v>
      </c>
      <c r="I137" s="25"/>
      <c r="J137" s="52">
        <f t="shared" si="110"/>
        <v>35</v>
      </c>
      <c r="K137" s="25">
        <f t="shared" si="93"/>
        <v>52.447500000000005</v>
      </c>
      <c r="L137" s="427">
        <f t="shared" si="94"/>
        <v>4</v>
      </c>
      <c r="M137" s="64">
        <f t="shared" si="111"/>
        <v>35</v>
      </c>
      <c r="N137" s="838">
        <f t="shared" si="95"/>
        <v>45.000000000000007</v>
      </c>
      <c r="O137" s="68">
        <f>LOOKUP(N137,'Circuit Breakers'!$B$5:$B$38,'Circuit Breakers'!$C$5:$C$38)</f>
        <v>50</v>
      </c>
      <c r="P137" s="199">
        <f t="shared" si="96"/>
        <v>30</v>
      </c>
      <c r="Q137" s="1056">
        <f t="shared" si="112"/>
        <v>68.181750000000008</v>
      </c>
      <c r="R137" s="1064">
        <f>LOOKUP(Q137,'Circuit Breakers'!$B$5:$B$38,'Circuit Breakers'!$C$5:$C$38)</f>
        <v>70</v>
      </c>
      <c r="S137" s="64">
        <f t="shared" si="97"/>
        <v>30</v>
      </c>
      <c r="T137" s="25">
        <f t="shared" si="113"/>
        <v>45.5</v>
      </c>
      <c r="U137" s="158">
        <f>LOOKUP(T137,'Circuit Breakers'!$B$5:$B$38,'Circuit Breakers'!$C$5:$C$38)</f>
        <v>50</v>
      </c>
      <c r="V137" s="64">
        <f t="shared" si="114"/>
        <v>15</v>
      </c>
      <c r="W137" s="25">
        <f t="shared" si="98"/>
        <v>38.333333333333336</v>
      </c>
      <c r="X137" s="68" t="str">
        <f>LOOKUP(W137,'Wire-Cables Ampacities'!$B$5:$B$35,'Wire-Cables Ampacities'!$C$5:$C$35)</f>
        <v>#10</v>
      </c>
      <c r="Y137" s="64">
        <f t="shared" si="115"/>
        <v>10</v>
      </c>
      <c r="Z137" s="25">
        <f t="shared" si="99"/>
        <v>57.692250000000008</v>
      </c>
      <c r="AA137" s="68" t="str">
        <f>LOOKUP(Z137,'Wire-Cables Ampacities'!$B$5:$B$35,'Wire-Cables Ampacities'!$C$5:$C$35)</f>
        <v>#8</v>
      </c>
      <c r="AB137" s="1135">
        <f t="shared" si="116"/>
        <v>10</v>
      </c>
      <c r="AC137" s="25">
        <f t="shared" si="100"/>
        <v>38.5</v>
      </c>
      <c r="AD137" s="68" t="str">
        <f>LOOKUP(AC137,'Wire-Cables Ampacities'!$B$5:$B$35,'Wire-Cables Ampacities'!$C$5:$C$35)</f>
        <v>#10</v>
      </c>
      <c r="AE137" s="81">
        <f t="shared" si="117"/>
        <v>0.27</v>
      </c>
      <c r="AF137" s="56">
        <f t="shared" si="101"/>
        <v>921.27833999999996</v>
      </c>
      <c r="AG137" s="72">
        <v>40</v>
      </c>
      <c r="AH137" s="15">
        <v>55</v>
      </c>
      <c r="AI137" s="64">
        <f t="shared" si="118"/>
        <v>20</v>
      </c>
      <c r="AJ137" s="56">
        <f t="shared" si="119"/>
        <v>38.016000000000005</v>
      </c>
      <c r="AK137" s="271">
        <f t="shared" si="102"/>
        <v>0.42240000000000005</v>
      </c>
      <c r="AL137" s="277">
        <f t="shared" si="103"/>
        <v>0.21120000000000003</v>
      </c>
      <c r="AM137" s="58">
        <v>600</v>
      </c>
      <c r="AN137" s="25">
        <v>24</v>
      </c>
      <c r="AO137" s="3">
        <v>48</v>
      </c>
      <c r="AP137" s="3">
        <v>16</v>
      </c>
      <c r="AQ137" s="281">
        <f t="shared" si="120"/>
        <v>29.333333333333332</v>
      </c>
      <c r="AR137" s="287">
        <f t="shared" si="104"/>
        <v>371.27833999999996</v>
      </c>
      <c r="AS137" s="93"/>
      <c r="AT137" s="4"/>
    </row>
    <row r="138" spans="1:46">
      <c r="A138" s="98">
        <f t="shared" si="105"/>
        <v>24</v>
      </c>
      <c r="B138" s="304">
        <v>2.4500000000000002</v>
      </c>
      <c r="C138" s="100">
        <f t="shared" si="106"/>
        <v>58.800000000000004</v>
      </c>
      <c r="D138" s="101">
        <v>40</v>
      </c>
      <c r="E138" s="100">
        <f t="shared" si="92"/>
        <v>120</v>
      </c>
      <c r="F138" s="102">
        <f t="shared" si="107"/>
        <v>39.583333333333336</v>
      </c>
      <c r="G138" s="103">
        <f t="shared" si="108"/>
        <v>12</v>
      </c>
      <c r="H138" s="296">
        <f t="shared" si="109"/>
        <v>75.100160000000017</v>
      </c>
      <c r="I138" s="104"/>
      <c r="J138" s="180">
        <f t="shared" si="110"/>
        <v>35</v>
      </c>
      <c r="K138" s="104">
        <f t="shared" si="93"/>
        <v>59.940000000000005</v>
      </c>
      <c r="L138" s="428">
        <f t="shared" si="94"/>
        <v>4.75</v>
      </c>
      <c r="M138" s="106">
        <f t="shared" si="111"/>
        <v>35</v>
      </c>
      <c r="N138" s="1060">
        <f t="shared" si="95"/>
        <v>53.437500000000007</v>
      </c>
      <c r="O138" s="101">
        <f>LOOKUP(N138,'Circuit Breakers'!$B$5:$B$38,'Circuit Breakers'!$C$5:$C$38)</f>
        <v>60</v>
      </c>
      <c r="P138" s="262">
        <f t="shared" si="96"/>
        <v>30</v>
      </c>
      <c r="Q138" s="1057">
        <f t="shared" si="112"/>
        <v>77.922000000000011</v>
      </c>
      <c r="R138" s="1065">
        <f>LOOKUP(Q138,'Circuit Breakers'!$B$5:$B$38,'Circuit Breakers'!$C$5:$C$38)</f>
        <v>80</v>
      </c>
      <c r="S138" s="106">
        <f t="shared" si="97"/>
        <v>30</v>
      </c>
      <c r="T138" s="104">
        <f t="shared" si="113"/>
        <v>52</v>
      </c>
      <c r="U138" s="477">
        <f>LOOKUP(T138,'Circuit Breakers'!$B$5:$B$38,'Circuit Breakers'!$C$5:$C$38)</f>
        <v>60</v>
      </c>
      <c r="V138" s="106">
        <f t="shared" si="114"/>
        <v>15</v>
      </c>
      <c r="W138" s="104">
        <f t="shared" si="98"/>
        <v>45.520833333333336</v>
      </c>
      <c r="X138" s="101" t="str">
        <f>LOOKUP(W138,'Wire-Cables Ampacities'!$B$5:$B$35,'Wire-Cables Ampacities'!$C$5:$C$35)</f>
        <v>#8</v>
      </c>
      <c r="Y138" s="106">
        <f t="shared" si="115"/>
        <v>10</v>
      </c>
      <c r="Z138" s="104">
        <f t="shared" si="99"/>
        <v>65.934000000000012</v>
      </c>
      <c r="AA138" s="101" t="str">
        <f>LOOKUP(Z138,'Wire-Cables Ampacities'!$B$5:$B$35,'Wire-Cables Ampacities'!$C$5:$C$35)</f>
        <v>#6</v>
      </c>
      <c r="AB138" s="1136">
        <f t="shared" si="116"/>
        <v>10</v>
      </c>
      <c r="AC138" s="104">
        <f t="shared" si="100"/>
        <v>44</v>
      </c>
      <c r="AD138" s="101" t="str">
        <f>LOOKUP(AC138,'Wire-Cables Ampacities'!$B$5:$B$35,'Wire-Cables Ampacities'!$C$5:$C$35)</f>
        <v>#8</v>
      </c>
      <c r="AE138" s="107">
        <f t="shared" si="117"/>
        <v>0.3175</v>
      </c>
      <c r="AF138" s="105">
        <f t="shared" si="101"/>
        <v>1083.3550849999999</v>
      </c>
      <c r="AG138" s="98">
        <v>40</v>
      </c>
      <c r="AH138" s="99">
        <v>55</v>
      </c>
      <c r="AI138" s="106">
        <f t="shared" si="118"/>
        <v>20</v>
      </c>
      <c r="AJ138" s="105">
        <f t="shared" si="119"/>
        <v>44.703999999999994</v>
      </c>
      <c r="AK138" s="272">
        <f t="shared" si="102"/>
        <v>0.49671111111111105</v>
      </c>
      <c r="AL138" s="278">
        <f t="shared" si="103"/>
        <v>0.24835555555555552</v>
      </c>
      <c r="AM138" s="109">
        <v>600</v>
      </c>
      <c r="AN138" s="104">
        <v>24</v>
      </c>
      <c r="AO138" s="110">
        <v>48</v>
      </c>
      <c r="AP138" s="110">
        <v>16</v>
      </c>
      <c r="AQ138" s="282">
        <f t="shared" si="120"/>
        <v>29.333333333333332</v>
      </c>
      <c r="AR138" s="288">
        <f t="shared" si="104"/>
        <v>533.35508499999992</v>
      </c>
      <c r="AS138" s="93"/>
      <c r="AT138" s="4"/>
    </row>
    <row r="139" spans="1:46">
      <c r="A139" s="72">
        <f t="shared" si="105"/>
        <v>24</v>
      </c>
      <c r="B139" s="61">
        <v>2.4500000000000002</v>
      </c>
      <c r="C139" s="66">
        <f t="shared" si="106"/>
        <v>58.800000000000004</v>
      </c>
      <c r="D139" s="68">
        <v>50</v>
      </c>
      <c r="E139" s="66">
        <f t="shared" si="92"/>
        <v>208</v>
      </c>
      <c r="F139" s="45">
        <f t="shared" si="107"/>
        <v>27.64423076923077</v>
      </c>
      <c r="G139" s="94">
        <f t="shared" si="108"/>
        <v>12</v>
      </c>
      <c r="H139" s="295">
        <f t="shared" si="109"/>
        <v>75.100160000000017</v>
      </c>
      <c r="I139" s="25"/>
      <c r="J139" s="52">
        <f t="shared" si="110"/>
        <v>35</v>
      </c>
      <c r="K139" s="25">
        <f t="shared" si="93"/>
        <v>74.925000000000011</v>
      </c>
      <c r="L139" s="427">
        <f t="shared" si="94"/>
        <v>5.75</v>
      </c>
      <c r="M139" s="64">
        <f t="shared" si="111"/>
        <v>35</v>
      </c>
      <c r="N139" s="838">
        <f t="shared" si="95"/>
        <v>37.31971153846154</v>
      </c>
      <c r="O139" s="68">
        <f>LOOKUP(N139,'Circuit Breakers'!$B$5:$B$38,'Circuit Breakers'!$C$5:$C$38)</f>
        <v>40</v>
      </c>
      <c r="P139" s="199">
        <f t="shared" si="96"/>
        <v>30</v>
      </c>
      <c r="Q139" s="1056">
        <f t="shared" si="112"/>
        <v>97.402500000000018</v>
      </c>
      <c r="R139" s="1064">
        <f>LOOKUP(Q139,'Circuit Breakers'!$B$5:$B$38,'Circuit Breakers'!$C$5:$C$38)</f>
        <v>100</v>
      </c>
      <c r="S139" s="64">
        <f t="shared" si="97"/>
        <v>30</v>
      </c>
      <c r="T139" s="25">
        <f t="shared" si="113"/>
        <v>65</v>
      </c>
      <c r="U139" s="158">
        <f>LOOKUP(T139,'Circuit Breakers'!$B$5:$B$38,'Circuit Breakers'!$C$5:$C$38)</f>
        <v>70</v>
      </c>
      <c r="V139" s="64">
        <f t="shared" si="114"/>
        <v>15</v>
      </c>
      <c r="W139" s="25">
        <f t="shared" si="98"/>
        <v>31.790865384615383</v>
      </c>
      <c r="X139" s="68" t="str">
        <f>LOOKUP(W139,'Wire-Cables Ampacities'!$B$5:$B$35,'Wire-Cables Ampacities'!$C$5:$C$35)</f>
        <v>#10</v>
      </c>
      <c r="Y139" s="64">
        <f t="shared" si="115"/>
        <v>10</v>
      </c>
      <c r="Z139" s="25">
        <f t="shared" si="99"/>
        <v>82.417500000000018</v>
      </c>
      <c r="AA139" s="68" t="str">
        <f>LOOKUP(Z139,'Wire-Cables Ampacities'!$B$5:$B$35,'Wire-Cables Ampacities'!$C$5:$C$35)</f>
        <v>#4</v>
      </c>
      <c r="AB139" s="1135">
        <f t="shared" si="116"/>
        <v>10</v>
      </c>
      <c r="AC139" s="25">
        <f t="shared" si="100"/>
        <v>55.000000000000007</v>
      </c>
      <c r="AD139" s="68" t="str">
        <f>LOOKUP(AC139,'Wire-Cables Ampacities'!$B$5:$B$35,'Wire-Cables Ampacities'!$C$5:$C$35)</f>
        <v>#8</v>
      </c>
      <c r="AE139" s="81">
        <f t="shared" si="117"/>
        <v>0.38750000000000007</v>
      </c>
      <c r="AF139" s="56">
        <f t="shared" si="101"/>
        <v>1322.2050250000002</v>
      </c>
      <c r="AG139" s="72">
        <v>40</v>
      </c>
      <c r="AH139" s="15">
        <v>55</v>
      </c>
      <c r="AI139" s="64">
        <f t="shared" si="118"/>
        <v>20</v>
      </c>
      <c r="AJ139" s="56">
        <f t="shared" si="119"/>
        <v>54.560000000000009</v>
      </c>
      <c r="AK139" s="271">
        <f t="shared" si="102"/>
        <v>0.60622222222222233</v>
      </c>
      <c r="AL139" s="277">
        <f t="shared" si="103"/>
        <v>0.30311111111111116</v>
      </c>
      <c r="AM139" s="58">
        <v>800</v>
      </c>
      <c r="AN139" s="25">
        <v>34</v>
      </c>
      <c r="AO139" s="3">
        <v>48</v>
      </c>
      <c r="AP139" s="3">
        <v>28</v>
      </c>
      <c r="AQ139" s="281">
        <f t="shared" si="120"/>
        <v>47.944444444444443</v>
      </c>
      <c r="AR139" s="287">
        <f t="shared" si="104"/>
        <v>423.24669166666683</v>
      </c>
      <c r="AS139" s="93"/>
      <c r="AT139" s="4"/>
    </row>
    <row r="140" spans="1:46">
      <c r="A140" s="72">
        <f t="shared" si="105"/>
        <v>24</v>
      </c>
      <c r="B140" s="61">
        <v>2.4500000000000002</v>
      </c>
      <c r="C140" s="66">
        <f t="shared" si="106"/>
        <v>58.800000000000004</v>
      </c>
      <c r="D140" s="68">
        <v>60</v>
      </c>
      <c r="E140" s="66">
        <f t="shared" si="92"/>
        <v>208</v>
      </c>
      <c r="F140" s="45">
        <f t="shared" si="107"/>
        <v>33.653846153846153</v>
      </c>
      <c r="G140" s="94">
        <f t="shared" si="108"/>
        <v>12</v>
      </c>
      <c r="H140" s="295">
        <f t="shared" si="109"/>
        <v>75.100160000000017</v>
      </c>
      <c r="I140" s="25"/>
      <c r="J140" s="52">
        <f t="shared" si="110"/>
        <v>35</v>
      </c>
      <c r="K140" s="25">
        <f t="shared" si="93"/>
        <v>89.910000000000011</v>
      </c>
      <c r="L140" s="427">
        <f t="shared" si="94"/>
        <v>7</v>
      </c>
      <c r="M140" s="64">
        <f t="shared" si="111"/>
        <v>35</v>
      </c>
      <c r="N140" s="838">
        <f t="shared" si="95"/>
        <v>45.432692307692307</v>
      </c>
      <c r="O140" s="68">
        <f>LOOKUP(N140,'Circuit Breakers'!$B$5:$B$38,'Circuit Breakers'!$C$5:$C$38)</f>
        <v>50</v>
      </c>
      <c r="P140" s="199">
        <f t="shared" si="96"/>
        <v>30</v>
      </c>
      <c r="Q140" s="1056">
        <f t="shared" si="112"/>
        <v>116.88300000000002</v>
      </c>
      <c r="R140" s="1064">
        <f>LOOKUP(Q140,'Circuit Breakers'!$B$5:$B$38,'Circuit Breakers'!$C$5:$C$38)</f>
        <v>125</v>
      </c>
      <c r="S140" s="64">
        <f t="shared" si="97"/>
        <v>30</v>
      </c>
      <c r="T140" s="25">
        <f t="shared" si="113"/>
        <v>78</v>
      </c>
      <c r="U140" s="158">
        <f>LOOKUP(T140,'Circuit Breakers'!$B$5:$B$38,'Circuit Breakers'!$C$5:$C$38)</f>
        <v>80</v>
      </c>
      <c r="V140" s="64">
        <f t="shared" si="114"/>
        <v>15</v>
      </c>
      <c r="W140" s="25">
        <f t="shared" si="98"/>
        <v>38.701923076923073</v>
      </c>
      <c r="X140" s="68" t="str">
        <f>LOOKUP(W140,'Wire-Cables Ampacities'!$B$5:$B$35,'Wire-Cables Ampacities'!$C$5:$C$35)</f>
        <v>#10</v>
      </c>
      <c r="Y140" s="64">
        <f t="shared" si="115"/>
        <v>10</v>
      </c>
      <c r="Z140" s="25">
        <f t="shared" si="99"/>
        <v>98.901000000000025</v>
      </c>
      <c r="AA140" s="68" t="str">
        <f>LOOKUP(Z140,'Wire-Cables Ampacities'!$B$5:$B$35,'Wire-Cables Ampacities'!$C$5:$C$35)</f>
        <v>#4</v>
      </c>
      <c r="AB140" s="1135">
        <f t="shared" si="116"/>
        <v>10</v>
      </c>
      <c r="AC140" s="25">
        <f t="shared" si="100"/>
        <v>66</v>
      </c>
      <c r="AD140" s="68" t="str">
        <f>LOOKUP(AC140,'Wire-Cables Ampacities'!$B$5:$B$35,'Wire-Cables Ampacities'!$C$5:$C$35)</f>
        <v>#6</v>
      </c>
      <c r="AE140" s="81">
        <f t="shared" si="117"/>
        <v>0.47000000000000008</v>
      </c>
      <c r="AF140" s="56">
        <f t="shared" si="101"/>
        <v>1603.7067400000003</v>
      </c>
      <c r="AG140" s="72">
        <v>40</v>
      </c>
      <c r="AH140" s="15">
        <v>55</v>
      </c>
      <c r="AI140" s="64">
        <f t="shared" si="118"/>
        <v>20</v>
      </c>
      <c r="AJ140" s="56">
        <f t="shared" si="119"/>
        <v>66.176000000000002</v>
      </c>
      <c r="AK140" s="271">
        <f t="shared" si="102"/>
        <v>0.73528888888888888</v>
      </c>
      <c r="AL140" s="277">
        <f t="shared" si="103"/>
        <v>0.36764444444444444</v>
      </c>
      <c r="AM140" s="58">
        <v>800</v>
      </c>
      <c r="AN140" s="25">
        <v>34</v>
      </c>
      <c r="AO140" s="3">
        <v>48</v>
      </c>
      <c r="AP140" s="3">
        <v>28</v>
      </c>
      <c r="AQ140" s="281">
        <f t="shared" si="120"/>
        <v>47.944444444444443</v>
      </c>
      <c r="AR140" s="287">
        <f t="shared" si="104"/>
        <v>704.74840666666694</v>
      </c>
      <c r="AS140" s="93"/>
      <c r="AT140" s="4"/>
    </row>
    <row r="141" spans="1:46">
      <c r="A141" s="98">
        <f t="shared" si="105"/>
        <v>24</v>
      </c>
      <c r="B141" s="304">
        <v>2.4500000000000002</v>
      </c>
      <c r="C141" s="100">
        <f t="shared" si="106"/>
        <v>58.800000000000004</v>
      </c>
      <c r="D141" s="101">
        <v>75</v>
      </c>
      <c r="E141" s="100">
        <f t="shared" si="92"/>
        <v>208</v>
      </c>
      <c r="F141" s="102">
        <f t="shared" si="107"/>
        <v>40.865384615384613</v>
      </c>
      <c r="G141" s="103">
        <f t="shared" si="108"/>
        <v>12</v>
      </c>
      <c r="H141" s="296">
        <f t="shared" si="109"/>
        <v>75.100160000000017</v>
      </c>
      <c r="I141" s="104"/>
      <c r="J141" s="180">
        <f t="shared" si="110"/>
        <v>35</v>
      </c>
      <c r="K141" s="104">
        <f t="shared" si="93"/>
        <v>112.3875</v>
      </c>
      <c r="L141" s="428">
        <f t="shared" si="94"/>
        <v>8.5</v>
      </c>
      <c r="M141" s="106">
        <f t="shared" si="111"/>
        <v>35</v>
      </c>
      <c r="N141" s="1060">
        <f t="shared" si="95"/>
        <v>55.168269230769234</v>
      </c>
      <c r="O141" s="101">
        <f>LOOKUP(N141,'Circuit Breakers'!$B$5:$B$38,'Circuit Breakers'!$C$5:$C$38)</f>
        <v>60</v>
      </c>
      <c r="P141" s="262">
        <f t="shared" si="96"/>
        <v>30</v>
      </c>
      <c r="Q141" s="1057">
        <f t="shared" si="112"/>
        <v>146.10375000000002</v>
      </c>
      <c r="R141" s="1065">
        <f>LOOKUP(Q141,'Circuit Breakers'!$B$5:$B$38,'Circuit Breakers'!$C$5:$C$38)</f>
        <v>150</v>
      </c>
      <c r="S141" s="106">
        <f t="shared" si="97"/>
        <v>30</v>
      </c>
      <c r="T141" s="104">
        <f t="shared" si="113"/>
        <v>97.5</v>
      </c>
      <c r="U141" s="477">
        <f>LOOKUP(T141,'Circuit Breakers'!$B$5:$B$38,'Circuit Breakers'!$C$5:$C$38)</f>
        <v>100</v>
      </c>
      <c r="V141" s="106">
        <f t="shared" si="114"/>
        <v>15</v>
      </c>
      <c r="W141" s="104">
        <f t="shared" si="98"/>
        <v>46.995192307692299</v>
      </c>
      <c r="X141" s="101" t="str">
        <f>LOOKUP(W141,'Wire-Cables Ampacities'!$B$5:$B$35,'Wire-Cables Ampacities'!$C$5:$C$35)</f>
        <v>#8</v>
      </c>
      <c r="Y141" s="106">
        <f t="shared" si="115"/>
        <v>10</v>
      </c>
      <c r="Z141" s="104">
        <f t="shared" si="99"/>
        <v>123.62625000000001</v>
      </c>
      <c r="AA141" s="101" t="str">
        <f>LOOKUP(Z141,'Wire-Cables Ampacities'!$B$5:$B$35,'Wire-Cables Ampacities'!$C$5:$C$35)</f>
        <v>#2</v>
      </c>
      <c r="AB141" s="1136">
        <f t="shared" si="116"/>
        <v>10</v>
      </c>
      <c r="AC141" s="104">
        <f t="shared" si="100"/>
        <v>82.5</v>
      </c>
      <c r="AD141" s="101" t="str">
        <f>LOOKUP(AC141,'Wire-Cables Ampacities'!$B$5:$B$35,'Wire-Cables Ampacities'!$C$5:$C$35)</f>
        <v>#4</v>
      </c>
      <c r="AE141" s="107">
        <f t="shared" si="117"/>
        <v>0.57499999999999996</v>
      </c>
      <c r="AF141" s="105">
        <f t="shared" si="101"/>
        <v>1961.9816499999997</v>
      </c>
      <c r="AG141" s="98">
        <v>40</v>
      </c>
      <c r="AH141" s="99">
        <v>55</v>
      </c>
      <c r="AI141" s="106">
        <f t="shared" si="118"/>
        <v>20</v>
      </c>
      <c r="AJ141" s="105">
        <f t="shared" si="119"/>
        <v>80.95999999999998</v>
      </c>
      <c r="AK141" s="272">
        <f t="shared" si="102"/>
        <v>0.89955555555555533</v>
      </c>
      <c r="AL141" s="278">
        <f t="shared" si="103"/>
        <v>0.44977777777777767</v>
      </c>
      <c r="AM141" s="109">
        <v>800</v>
      </c>
      <c r="AN141" s="104">
        <v>34</v>
      </c>
      <c r="AO141" s="110">
        <v>48</v>
      </c>
      <c r="AP141" s="110">
        <v>28</v>
      </c>
      <c r="AQ141" s="282">
        <f t="shared" si="120"/>
        <v>47.944444444444443</v>
      </c>
      <c r="AR141" s="288">
        <f t="shared" si="104"/>
        <v>1063.0233166666662</v>
      </c>
      <c r="AS141" s="93"/>
      <c r="AT141" s="4"/>
    </row>
    <row r="142" spans="1:46">
      <c r="A142" s="72">
        <f t="shared" si="105"/>
        <v>24</v>
      </c>
      <c r="B142" s="61">
        <v>2.4500000000000002</v>
      </c>
      <c r="C142" s="66">
        <f t="shared" si="106"/>
        <v>58.800000000000004</v>
      </c>
      <c r="D142" s="68">
        <v>100</v>
      </c>
      <c r="E142" s="66">
        <f t="shared" si="92"/>
        <v>480</v>
      </c>
      <c r="F142" s="45">
        <f t="shared" si="107"/>
        <v>23.958333333333332</v>
      </c>
      <c r="G142" s="94">
        <f t="shared" si="108"/>
        <v>12</v>
      </c>
      <c r="H142" s="295">
        <f t="shared" si="109"/>
        <v>75.100160000000017</v>
      </c>
      <c r="I142" s="25"/>
      <c r="J142" s="52">
        <f t="shared" si="110"/>
        <v>35</v>
      </c>
      <c r="K142" s="25">
        <f t="shared" si="93"/>
        <v>149.85000000000002</v>
      </c>
      <c r="L142" s="427">
        <f t="shared" si="94"/>
        <v>11.5</v>
      </c>
      <c r="M142" s="64">
        <f t="shared" si="111"/>
        <v>35</v>
      </c>
      <c r="N142" s="838">
        <f t="shared" si="95"/>
        <v>32.34375</v>
      </c>
      <c r="O142" s="68">
        <f>LOOKUP(N142,'Circuit Breakers'!$B$5:$B$38,'Circuit Breakers'!$C$5:$C$38)</f>
        <v>40</v>
      </c>
      <c r="P142" s="199">
        <f t="shared" si="96"/>
        <v>30</v>
      </c>
      <c r="Q142" s="1056">
        <f t="shared" si="112"/>
        <v>194.80500000000004</v>
      </c>
      <c r="R142" s="1064">
        <f>LOOKUP(Q142,'Circuit Breakers'!$B$5:$B$38,'Circuit Breakers'!$C$5:$C$38)</f>
        <v>200</v>
      </c>
      <c r="S142" s="64">
        <f t="shared" si="97"/>
        <v>30</v>
      </c>
      <c r="T142" s="25">
        <f t="shared" si="113"/>
        <v>130</v>
      </c>
      <c r="U142" s="158">
        <f>LOOKUP(T142,'Circuit Breakers'!$B$5:$B$38,'Circuit Breakers'!$C$5:$C$38)</f>
        <v>150</v>
      </c>
      <c r="V142" s="64">
        <f t="shared" si="114"/>
        <v>15</v>
      </c>
      <c r="W142" s="25">
        <f t="shared" si="98"/>
        <v>27.552083333333329</v>
      </c>
      <c r="X142" s="68" t="str">
        <f>LOOKUP(W142,'Wire-Cables Ampacities'!$B$5:$B$35,'Wire-Cables Ampacities'!$C$5:$C$35)</f>
        <v>#10</v>
      </c>
      <c r="Y142" s="64">
        <f t="shared" si="115"/>
        <v>10</v>
      </c>
      <c r="Z142" s="25">
        <f t="shared" si="99"/>
        <v>164.83500000000004</v>
      </c>
      <c r="AA142" s="68" t="str">
        <f>LOOKUP(Z142,'Wire-Cables Ampacities'!$B$5:$B$35,'Wire-Cables Ampacities'!$C$5:$C$35)</f>
        <v>#1</v>
      </c>
      <c r="AB142" s="1135">
        <f t="shared" si="116"/>
        <v>10</v>
      </c>
      <c r="AC142" s="25">
        <f t="shared" si="100"/>
        <v>110.00000000000001</v>
      </c>
      <c r="AD142" s="68" t="str">
        <f>LOOKUP(AC142,'Wire-Cables Ampacities'!$B$5:$B$35,'Wire-Cables Ampacities'!$C$5:$C$35)</f>
        <v>#3</v>
      </c>
      <c r="AE142" s="81">
        <f t="shared" si="117"/>
        <v>0.77500000000000013</v>
      </c>
      <c r="AF142" s="56">
        <f t="shared" si="101"/>
        <v>2644.4100500000004</v>
      </c>
      <c r="AG142" s="72">
        <v>40</v>
      </c>
      <c r="AH142" s="15">
        <v>55</v>
      </c>
      <c r="AI142" s="64">
        <f t="shared" si="118"/>
        <v>20</v>
      </c>
      <c r="AJ142" s="56">
        <f t="shared" si="119"/>
        <v>109.12000000000002</v>
      </c>
      <c r="AK142" s="271">
        <f t="shared" si="102"/>
        <v>1.2124444444444447</v>
      </c>
      <c r="AL142" s="277">
        <f t="shared" si="103"/>
        <v>0.60622222222222233</v>
      </c>
      <c r="AM142" s="58">
        <v>800</v>
      </c>
      <c r="AN142" s="25">
        <v>34</v>
      </c>
      <c r="AO142" s="3">
        <v>48</v>
      </c>
      <c r="AP142" s="3">
        <v>28</v>
      </c>
      <c r="AQ142" s="281">
        <f t="shared" si="120"/>
        <v>47.944444444444443</v>
      </c>
      <c r="AR142" s="287">
        <f t="shared" si="104"/>
        <v>1745.4517166666669</v>
      </c>
      <c r="AS142" s="93"/>
      <c r="AT142" s="4"/>
    </row>
    <row r="143" spans="1:46">
      <c r="A143" s="72">
        <f t="shared" si="105"/>
        <v>24</v>
      </c>
      <c r="B143" s="61">
        <v>2.4500000000000002</v>
      </c>
      <c r="C143" s="66">
        <f t="shared" si="106"/>
        <v>58.800000000000004</v>
      </c>
      <c r="D143" s="68">
        <v>125</v>
      </c>
      <c r="E143" s="66">
        <f t="shared" si="92"/>
        <v>480</v>
      </c>
      <c r="F143" s="45">
        <f t="shared" si="107"/>
        <v>30.208333333333332</v>
      </c>
      <c r="G143" s="94">
        <f t="shared" si="108"/>
        <v>12</v>
      </c>
      <c r="H143" s="295">
        <f t="shared" si="109"/>
        <v>75.100160000000017</v>
      </c>
      <c r="I143" s="25"/>
      <c r="J143" s="52">
        <f t="shared" si="110"/>
        <v>35</v>
      </c>
      <c r="K143" s="25">
        <f t="shared" si="93"/>
        <v>187.31250000000003</v>
      </c>
      <c r="L143" s="427">
        <f t="shared" si="94"/>
        <v>14.5</v>
      </c>
      <c r="M143" s="64">
        <f t="shared" si="111"/>
        <v>35</v>
      </c>
      <c r="N143" s="838">
        <f t="shared" si="95"/>
        <v>40.78125</v>
      </c>
      <c r="O143" s="68">
        <f>LOOKUP(N143,'Circuit Breakers'!$B$5:$B$38,'Circuit Breakers'!$C$5:$C$38)</f>
        <v>50</v>
      </c>
      <c r="P143" s="199">
        <f t="shared" si="96"/>
        <v>30</v>
      </c>
      <c r="Q143" s="1056">
        <f t="shared" si="112"/>
        <v>243.50625000000005</v>
      </c>
      <c r="R143" s="1064">
        <f>LOOKUP(Q143,'Circuit Breakers'!$B$5:$B$38,'Circuit Breakers'!$C$5:$C$38)</f>
        <v>250</v>
      </c>
      <c r="S143" s="64">
        <f t="shared" si="97"/>
        <v>30</v>
      </c>
      <c r="T143" s="25">
        <f t="shared" si="113"/>
        <v>162.5</v>
      </c>
      <c r="U143" s="158">
        <f>LOOKUP(T143,'Circuit Breakers'!$B$5:$B$38,'Circuit Breakers'!$C$5:$C$38)</f>
        <v>175</v>
      </c>
      <c r="V143" s="64">
        <f t="shared" si="114"/>
        <v>15</v>
      </c>
      <c r="W143" s="25">
        <f t="shared" si="98"/>
        <v>34.739583333333329</v>
      </c>
      <c r="X143" s="68" t="str">
        <f>LOOKUP(W143,'Wire-Cables Ampacities'!$B$5:$B$35,'Wire-Cables Ampacities'!$C$5:$C$35)</f>
        <v>#10</v>
      </c>
      <c r="Y143" s="64">
        <f t="shared" si="115"/>
        <v>10</v>
      </c>
      <c r="Z143" s="25">
        <f t="shared" si="99"/>
        <v>206.04375000000005</v>
      </c>
      <c r="AA143" s="68" t="str">
        <f>LOOKUP(Z143,'Wire-Cables Ampacities'!$B$5:$B$35,'Wire-Cables Ampacities'!$C$5:$C$35)</f>
        <v>#2/0</v>
      </c>
      <c r="AB143" s="1135">
        <f t="shared" si="116"/>
        <v>10</v>
      </c>
      <c r="AC143" s="25">
        <f t="shared" si="100"/>
        <v>137.5</v>
      </c>
      <c r="AD143" s="68" t="str">
        <f>LOOKUP(AC143,'Wire-Cables Ampacities'!$B$5:$B$35,'Wire-Cables Ampacities'!$C$5:$C$35)</f>
        <v>#2</v>
      </c>
      <c r="AE143" s="81">
        <f t="shared" si="117"/>
        <v>0.97500000000000009</v>
      </c>
      <c r="AF143" s="56">
        <f t="shared" si="101"/>
        <v>3326.8384499999997</v>
      </c>
      <c r="AG143" s="72">
        <v>40</v>
      </c>
      <c r="AH143" s="15">
        <v>55</v>
      </c>
      <c r="AI143" s="64">
        <f t="shared" si="118"/>
        <v>20</v>
      </c>
      <c r="AJ143" s="56">
        <f t="shared" si="119"/>
        <v>137.28000000000003</v>
      </c>
      <c r="AK143" s="271">
        <f t="shared" si="102"/>
        <v>1.5253333333333337</v>
      </c>
      <c r="AL143" s="277">
        <f t="shared" si="103"/>
        <v>0.76266666666666683</v>
      </c>
      <c r="AM143" s="58">
        <v>800</v>
      </c>
      <c r="AN143" s="25">
        <v>34</v>
      </c>
      <c r="AO143" s="3">
        <v>48</v>
      </c>
      <c r="AP143" s="3">
        <v>28</v>
      </c>
      <c r="AQ143" s="281">
        <f t="shared" si="120"/>
        <v>47.944444444444443</v>
      </c>
      <c r="AR143" s="287">
        <f t="shared" si="104"/>
        <v>2427.8801166666663</v>
      </c>
      <c r="AS143" s="93"/>
      <c r="AT143" s="4"/>
    </row>
    <row r="144" spans="1:46">
      <c r="A144" s="98">
        <f t="shared" si="105"/>
        <v>24</v>
      </c>
      <c r="B144" s="304">
        <v>2.4500000000000002</v>
      </c>
      <c r="C144" s="100">
        <f t="shared" si="106"/>
        <v>58.800000000000004</v>
      </c>
      <c r="D144" s="101">
        <v>150</v>
      </c>
      <c r="E144" s="100">
        <f t="shared" si="92"/>
        <v>480</v>
      </c>
      <c r="F144" s="102">
        <f t="shared" si="107"/>
        <v>35.416666666666664</v>
      </c>
      <c r="G144" s="103">
        <f t="shared" si="108"/>
        <v>12</v>
      </c>
      <c r="H144" s="296">
        <f t="shared" si="109"/>
        <v>75.100160000000017</v>
      </c>
      <c r="I144" s="104"/>
      <c r="J144" s="180">
        <f t="shared" si="110"/>
        <v>35</v>
      </c>
      <c r="K144" s="104">
        <f t="shared" si="93"/>
        <v>224.77500000000001</v>
      </c>
      <c r="L144" s="428">
        <f t="shared" si="94"/>
        <v>17</v>
      </c>
      <c r="M144" s="106">
        <f t="shared" si="111"/>
        <v>35</v>
      </c>
      <c r="N144" s="1060">
        <f t="shared" si="95"/>
        <v>47.8125</v>
      </c>
      <c r="O144" s="101">
        <f>LOOKUP(N144,'Circuit Breakers'!$B$5:$B$38,'Circuit Breakers'!$C$5:$C$38)</f>
        <v>50</v>
      </c>
      <c r="P144" s="262">
        <f t="shared" si="96"/>
        <v>30</v>
      </c>
      <c r="Q144" s="1057">
        <f t="shared" si="112"/>
        <v>292.20750000000004</v>
      </c>
      <c r="R144" s="1065">
        <f>LOOKUP(Q144,'Circuit Breakers'!$B$5:$B$38,'Circuit Breakers'!$C$5:$C$38)</f>
        <v>300</v>
      </c>
      <c r="S144" s="106">
        <f t="shared" si="97"/>
        <v>30</v>
      </c>
      <c r="T144" s="104">
        <f t="shared" si="113"/>
        <v>195</v>
      </c>
      <c r="U144" s="477">
        <f>LOOKUP(T144,'Circuit Breakers'!$B$5:$B$38,'Circuit Breakers'!$C$5:$C$38)</f>
        <v>200</v>
      </c>
      <c r="V144" s="106">
        <f t="shared" si="114"/>
        <v>15</v>
      </c>
      <c r="W144" s="104">
        <f t="shared" si="98"/>
        <v>40.729166666666664</v>
      </c>
      <c r="X144" s="101" t="str">
        <f>LOOKUP(W144,'Wire-Cables Ampacities'!$B$5:$B$35,'Wire-Cables Ampacities'!$C$5:$C$35)</f>
        <v>#8</v>
      </c>
      <c r="Y144" s="106">
        <f t="shared" si="115"/>
        <v>10</v>
      </c>
      <c r="Z144" s="1138">
        <f t="shared" si="99"/>
        <v>247.25250000000003</v>
      </c>
      <c r="AA144" s="101" t="str">
        <f>LOOKUP(Z144,'Wire-Cables Ampacities'!$B$5:$B$35,'Wire-Cables Ampacities'!$C$5:$C$35)</f>
        <v>#3/0</v>
      </c>
      <c r="AB144" s="1136">
        <f t="shared" si="116"/>
        <v>10</v>
      </c>
      <c r="AC144" s="104">
        <f t="shared" si="100"/>
        <v>165</v>
      </c>
      <c r="AD144" s="101" t="str">
        <f>LOOKUP(AC144,'Wire-Cables Ampacities'!$B$5:$B$35,'Wire-Cables Ampacities'!$C$5:$C$35)</f>
        <v>#1</v>
      </c>
      <c r="AE144" s="107">
        <f t="shared" si="117"/>
        <v>1.1499999999999999</v>
      </c>
      <c r="AF144" s="105">
        <f t="shared" si="101"/>
        <v>3923.9632999999994</v>
      </c>
      <c r="AG144" s="98">
        <v>40</v>
      </c>
      <c r="AH144" s="99">
        <v>55</v>
      </c>
      <c r="AI144" s="106">
        <f t="shared" si="118"/>
        <v>20</v>
      </c>
      <c r="AJ144" s="105">
        <f t="shared" si="119"/>
        <v>161.91999999999996</v>
      </c>
      <c r="AK144" s="272">
        <f t="shared" si="102"/>
        <v>1.7991111111111107</v>
      </c>
      <c r="AL144" s="278">
        <f t="shared" si="103"/>
        <v>0.89955555555555533</v>
      </c>
      <c r="AM144" s="109">
        <v>800</v>
      </c>
      <c r="AN144" s="104">
        <v>34</v>
      </c>
      <c r="AO144" s="110">
        <v>48</v>
      </c>
      <c r="AP144" s="110">
        <v>28</v>
      </c>
      <c r="AQ144" s="282">
        <f t="shared" si="120"/>
        <v>47.944444444444443</v>
      </c>
      <c r="AR144" s="288">
        <f t="shared" si="104"/>
        <v>3025.004966666666</v>
      </c>
      <c r="AS144" s="93"/>
      <c r="AT144" s="4"/>
    </row>
    <row r="145" spans="1:46">
      <c r="A145" s="72">
        <f t="shared" si="105"/>
        <v>24</v>
      </c>
      <c r="B145" s="61">
        <v>2.4500000000000002</v>
      </c>
      <c r="C145" s="66">
        <f t="shared" si="106"/>
        <v>58.800000000000004</v>
      </c>
      <c r="D145" s="68">
        <v>175</v>
      </c>
      <c r="E145" s="66">
        <f t="shared" si="92"/>
        <v>480</v>
      </c>
      <c r="F145" s="45">
        <f t="shared" si="107"/>
        <v>41.666666666666664</v>
      </c>
      <c r="G145" s="94">
        <f t="shared" si="108"/>
        <v>12</v>
      </c>
      <c r="H145" s="295">
        <f t="shared" si="109"/>
        <v>75.100160000000017</v>
      </c>
      <c r="I145" s="25"/>
      <c r="J145" s="52">
        <f t="shared" si="110"/>
        <v>35</v>
      </c>
      <c r="K145" s="25">
        <f t="shared" si="93"/>
        <v>262.23750000000007</v>
      </c>
      <c r="L145" s="427">
        <f t="shared" si="94"/>
        <v>20</v>
      </c>
      <c r="M145" s="64">
        <f t="shared" si="111"/>
        <v>35</v>
      </c>
      <c r="N145" s="838">
        <f t="shared" si="95"/>
        <v>56.25</v>
      </c>
      <c r="O145" s="68">
        <f>LOOKUP(N145,'Circuit Breakers'!$B$5:$B$38,'Circuit Breakers'!$C$5:$C$38)</f>
        <v>60</v>
      </c>
      <c r="P145" s="199">
        <f t="shared" si="96"/>
        <v>30</v>
      </c>
      <c r="Q145" s="1056">
        <f t="shared" si="112"/>
        <v>340.90875000000011</v>
      </c>
      <c r="R145" s="1064">
        <f>LOOKUP(Q145,'Circuit Breakers'!$B$5:$B$38,'Circuit Breakers'!$C$5:$C$38)</f>
        <v>350</v>
      </c>
      <c r="S145" s="64">
        <f t="shared" si="97"/>
        <v>30</v>
      </c>
      <c r="T145" s="25">
        <f t="shared" si="113"/>
        <v>227.5</v>
      </c>
      <c r="U145" s="158">
        <f>LOOKUP(T145,'Circuit Breakers'!$B$5:$B$38,'Circuit Breakers'!$C$5:$C$38)</f>
        <v>250</v>
      </c>
      <c r="V145" s="64">
        <f t="shared" si="114"/>
        <v>15</v>
      </c>
      <c r="W145" s="25">
        <f t="shared" si="98"/>
        <v>47.916666666666657</v>
      </c>
      <c r="X145" s="68" t="str">
        <f>LOOKUP(W145,'Wire-Cables Ampacities'!$B$5:$B$35,'Wire-Cables Ampacities'!$C$5:$C$35)</f>
        <v>#8</v>
      </c>
      <c r="Y145" s="64">
        <f t="shared" si="115"/>
        <v>10</v>
      </c>
      <c r="Z145" s="25">
        <f t="shared" si="99"/>
        <v>288.46125000000012</v>
      </c>
      <c r="AA145" s="68" t="str">
        <f>LOOKUP(Z145,'Wire-Cables Ampacities'!$B$5:$B$35,'Wire-Cables Ampacities'!$C$5:$C$35)</f>
        <v>#4/0</v>
      </c>
      <c r="AB145" s="1135">
        <f t="shared" si="116"/>
        <v>10</v>
      </c>
      <c r="AC145" s="25">
        <f t="shared" si="100"/>
        <v>192.50000000000003</v>
      </c>
      <c r="AD145" s="68" t="str">
        <f>LOOKUP(AC145,'Wire-Cables Ampacities'!$B$5:$B$35,'Wire-Cables Ampacities'!$C$5:$C$35)</f>
        <v>#1/0</v>
      </c>
      <c r="AE145" s="81">
        <f t="shared" si="117"/>
        <v>1.35</v>
      </c>
      <c r="AF145" s="56">
        <f t="shared" si="101"/>
        <v>4606.3916999999992</v>
      </c>
      <c r="AG145" s="72">
        <v>40</v>
      </c>
      <c r="AH145" s="15">
        <v>55</v>
      </c>
      <c r="AI145" s="64">
        <f t="shared" si="118"/>
        <v>20</v>
      </c>
      <c r="AJ145" s="56">
        <f t="shared" si="119"/>
        <v>190.08</v>
      </c>
      <c r="AK145" s="271">
        <f t="shared" si="102"/>
        <v>2.1120000000000001</v>
      </c>
      <c r="AL145" s="277">
        <f t="shared" si="103"/>
        <v>1.056</v>
      </c>
      <c r="AM145" s="58">
        <v>1200</v>
      </c>
      <c r="AN145" s="25">
        <v>38</v>
      </c>
      <c r="AO145" s="3">
        <v>70</v>
      </c>
      <c r="AP145" s="3">
        <v>28</v>
      </c>
      <c r="AQ145" s="281">
        <f t="shared" si="120"/>
        <v>71.555555555555557</v>
      </c>
      <c r="AR145" s="287">
        <f t="shared" si="104"/>
        <v>3264.7250333333322</v>
      </c>
      <c r="AS145" s="93"/>
      <c r="AT145" s="4"/>
    </row>
    <row r="146" spans="1:46">
      <c r="A146" s="72">
        <f t="shared" si="105"/>
        <v>24</v>
      </c>
      <c r="B146" s="61">
        <v>2.4500000000000002</v>
      </c>
      <c r="C146" s="66">
        <f t="shared" si="106"/>
        <v>58.800000000000004</v>
      </c>
      <c r="D146" s="68">
        <v>200</v>
      </c>
      <c r="E146" s="66">
        <f t="shared" si="92"/>
        <v>480</v>
      </c>
      <c r="F146" s="45">
        <f t="shared" si="107"/>
        <v>47.916666666666664</v>
      </c>
      <c r="G146" s="94">
        <f t="shared" si="108"/>
        <v>12</v>
      </c>
      <c r="H146" s="295">
        <f t="shared" si="109"/>
        <v>75.100160000000017</v>
      </c>
      <c r="I146" s="25"/>
      <c r="J146" s="52">
        <f t="shared" si="110"/>
        <v>35</v>
      </c>
      <c r="K146" s="25">
        <f t="shared" si="93"/>
        <v>299.70000000000005</v>
      </c>
      <c r="L146" s="427">
        <f t="shared" si="94"/>
        <v>23</v>
      </c>
      <c r="M146" s="64">
        <f t="shared" si="111"/>
        <v>35</v>
      </c>
      <c r="N146" s="838">
        <f t="shared" si="95"/>
        <v>64.6875</v>
      </c>
      <c r="O146" s="68">
        <f>LOOKUP(N146,'Circuit Breakers'!$B$5:$B$38,'Circuit Breakers'!$C$5:$C$38)</f>
        <v>70</v>
      </c>
      <c r="P146" s="199">
        <f t="shared" si="96"/>
        <v>30</v>
      </c>
      <c r="Q146" s="1056">
        <f t="shared" si="112"/>
        <v>389.61000000000007</v>
      </c>
      <c r="R146" s="1064">
        <f>LOOKUP(Q146,'Circuit Breakers'!$B$5:$B$38,'Circuit Breakers'!$C$5:$C$38)</f>
        <v>400</v>
      </c>
      <c r="S146" s="64">
        <f t="shared" si="97"/>
        <v>30</v>
      </c>
      <c r="T146" s="25">
        <f t="shared" si="113"/>
        <v>260</v>
      </c>
      <c r="U146" s="158">
        <f>LOOKUP(T146,'Circuit Breakers'!$B$5:$B$38,'Circuit Breakers'!$C$5:$C$38)</f>
        <v>300</v>
      </c>
      <c r="V146" s="64">
        <f t="shared" si="114"/>
        <v>15</v>
      </c>
      <c r="W146" s="25">
        <f t="shared" si="98"/>
        <v>55.104166666666657</v>
      </c>
      <c r="X146" s="68" t="str">
        <f>LOOKUP(W146,'Wire-Cables Ampacities'!$B$5:$B$35,'Wire-Cables Ampacities'!$C$5:$C$35)</f>
        <v>#8</v>
      </c>
      <c r="Y146" s="64">
        <f t="shared" si="115"/>
        <v>10</v>
      </c>
      <c r="Z146" s="25">
        <f t="shared" si="99"/>
        <v>329.67000000000007</v>
      </c>
      <c r="AA146" s="68" t="str">
        <f>LOOKUP(Z146,'Wire-Cables Ampacities'!$B$5:$B$35,'Wire-Cables Ampacities'!$C$5:$C$35)</f>
        <v>250MCM</v>
      </c>
      <c r="AB146" s="1135">
        <f t="shared" si="116"/>
        <v>10</v>
      </c>
      <c r="AC146" s="25">
        <f t="shared" si="100"/>
        <v>220.00000000000003</v>
      </c>
      <c r="AD146" s="68" t="str">
        <f>LOOKUP(AC146,'Wire-Cables Ampacities'!$B$5:$B$35,'Wire-Cables Ampacities'!$C$5:$C$35)</f>
        <v>#2/0</v>
      </c>
      <c r="AE146" s="81">
        <f t="shared" si="117"/>
        <v>1.5500000000000003</v>
      </c>
      <c r="AF146" s="56">
        <f t="shared" si="101"/>
        <v>5288.8201000000008</v>
      </c>
      <c r="AG146" s="72">
        <v>40</v>
      </c>
      <c r="AH146" s="15">
        <v>55</v>
      </c>
      <c r="AI146" s="64">
        <f t="shared" si="118"/>
        <v>20</v>
      </c>
      <c r="AJ146" s="56">
        <f t="shared" si="119"/>
        <v>218.24000000000004</v>
      </c>
      <c r="AK146" s="271">
        <f t="shared" si="102"/>
        <v>2.4248888888888893</v>
      </c>
      <c r="AL146" s="277">
        <f t="shared" si="103"/>
        <v>1.2124444444444447</v>
      </c>
      <c r="AM146" s="58">
        <v>1200</v>
      </c>
      <c r="AN146" s="25">
        <v>38</v>
      </c>
      <c r="AO146" s="3">
        <v>70</v>
      </c>
      <c r="AP146" s="3">
        <v>28</v>
      </c>
      <c r="AQ146" s="281">
        <f t="shared" si="120"/>
        <v>71.555555555555557</v>
      </c>
      <c r="AR146" s="287">
        <f t="shared" si="104"/>
        <v>3947.1534333333339</v>
      </c>
      <c r="AS146" s="93"/>
      <c r="AT146" s="4"/>
    </row>
    <row r="147" spans="1:46">
      <c r="A147" s="98">
        <f t="shared" si="105"/>
        <v>24</v>
      </c>
      <c r="B147" s="304">
        <v>2.4500000000000002</v>
      </c>
      <c r="C147" s="100">
        <f t="shared" si="106"/>
        <v>58.800000000000004</v>
      </c>
      <c r="D147" s="101">
        <v>250</v>
      </c>
      <c r="E147" s="100">
        <f t="shared" si="92"/>
        <v>480</v>
      </c>
      <c r="F147" s="102">
        <f t="shared" si="107"/>
        <v>60.416666666666664</v>
      </c>
      <c r="G147" s="103">
        <f t="shared" si="108"/>
        <v>12</v>
      </c>
      <c r="H147" s="296">
        <f t="shared" si="109"/>
        <v>75.100160000000017</v>
      </c>
      <c r="I147" s="104"/>
      <c r="J147" s="180">
        <f t="shared" si="110"/>
        <v>35</v>
      </c>
      <c r="K147" s="104">
        <f t="shared" si="93"/>
        <v>374.62500000000006</v>
      </c>
      <c r="L147" s="428">
        <f t="shared" si="94"/>
        <v>29</v>
      </c>
      <c r="M147" s="106">
        <f t="shared" si="111"/>
        <v>35</v>
      </c>
      <c r="N147" s="1060">
        <f t="shared" si="95"/>
        <v>81.5625</v>
      </c>
      <c r="O147" s="101">
        <f>LOOKUP(N147,'Circuit Breakers'!$B$5:$B$38,'Circuit Breakers'!$C$5:$C$38)</f>
        <v>90</v>
      </c>
      <c r="P147" s="262">
        <f t="shared" si="96"/>
        <v>30</v>
      </c>
      <c r="Q147" s="1057">
        <f t="shared" si="112"/>
        <v>487.0125000000001</v>
      </c>
      <c r="R147" s="1065">
        <f>LOOKUP(Q147,'Circuit Breakers'!$B$5:$B$38,'Circuit Breakers'!$C$5:$C$38)</f>
        <v>500</v>
      </c>
      <c r="S147" s="106">
        <f t="shared" si="97"/>
        <v>30</v>
      </c>
      <c r="T147" s="104">
        <f t="shared" si="113"/>
        <v>325</v>
      </c>
      <c r="U147" s="477">
        <f>LOOKUP(T147,'Circuit Breakers'!$B$5:$B$38,'Circuit Breakers'!$C$5:$C$38)</f>
        <v>350</v>
      </c>
      <c r="V147" s="106">
        <f t="shared" si="114"/>
        <v>15</v>
      </c>
      <c r="W147" s="104">
        <f t="shared" si="98"/>
        <v>69.479166666666657</v>
      </c>
      <c r="X147" s="101" t="str">
        <f>LOOKUP(W147,'Wire-Cables Ampacities'!$B$5:$B$35,'Wire-Cables Ampacities'!$C$5:$C$35)</f>
        <v>#6</v>
      </c>
      <c r="Y147" s="106">
        <f t="shared" si="115"/>
        <v>10</v>
      </c>
      <c r="Z147" s="104">
        <f t="shared" si="99"/>
        <v>412.08750000000009</v>
      </c>
      <c r="AA147" s="101" t="str">
        <f>LOOKUP(Z147,'Wire-Cables Ampacities'!$B$5:$B$35,'Wire-Cables Ampacities'!$C$5:$C$35)</f>
        <v>#2/0 2x</v>
      </c>
      <c r="AB147" s="1136">
        <f t="shared" si="116"/>
        <v>10</v>
      </c>
      <c r="AC147" s="104">
        <f t="shared" si="100"/>
        <v>275</v>
      </c>
      <c r="AD147" s="101" t="str">
        <f>LOOKUP(AC147,'Wire-Cables Ampacities'!$B$5:$B$35,'Wire-Cables Ampacities'!$C$5:$C$35)</f>
        <v>#4/0</v>
      </c>
      <c r="AE147" s="107">
        <f t="shared" si="117"/>
        <v>1.9500000000000002</v>
      </c>
      <c r="AF147" s="105">
        <f t="shared" si="101"/>
        <v>6653.6768999999995</v>
      </c>
      <c r="AG147" s="98">
        <v>40</v>
      </c>
      <c r="AH147" s="99">
        <v>55</v>
      </c>
      <c r="AI147" s="106">
        <f t="shared" si="118"/>
        <v>20</v>
      </c>
      <c r="AJ147" s="105">
        <f t="shared" si="119"/>
        <v>274.56000000000006</v>
      </c>
      <c r="AK147" s="272">
        <f t="shared" si="102"/>
        <v>3.0506666666666673</v>
      </c>
      <c r="AL147" s="278">
        <f t="shared" si="103"/>
        <v>1.5253333333333337</v>
      </c>
      <c r="AM147" s="109">
        <v>1200</v>
      </c>
      <c r="AN147" s="104">
        <v>38</v>
      </c>
      <c r="AO147" s="110">
        <v>70</v>
      </c>
      <c r="AP147" s="110">
        <v>28</v>
      </c>
      <c r="AQ147" s="282">
        <f t="shared" si="120"/>
        <v>71.555555555555557</v>
      </c>
      <c r="AR147" s="288">
        <f t="shared" si="104"/>
        <v>5312.0102333333325</v>
      </c>
      <c r="AS147" s="93"/>
      <c r="AT147" s="4"/>
    </row>
    <row r="148" spans="1:46">
      <c r="A148" s="72">
        <f t="shared" si="105"/>
        <v>24</v>
      </c>
      <c r="B148" s="61">
        <v>2.4500000000000002</v>
      </c>
      <c r="C148" s="66">
        <f t="shared" si="106"/>
        <v>58.800000000000004</v>
      </c>
      <c r="D148" s="68">
        <v>300</v>
      </c>
      <c r="E148" s="66">
        <f t="shared" si="92"/>
        <v>480</v>
      </c>
      <c r="F148" s="45">
        <f t="shared" si="107"/>
        <v>70.833333333333329</v>
      </c>
      <c r="G148" s="94">
        <f t="shared" si="108"/>
        <v>12</v>
      </c>
      <c r="H148" s="295">
        <f t="shared" si="109"/>
        <v>75.100160000000017</v>
      </c>
      <c r="I148" s="25"/>
      <c r="J148" s="52">
        <f t="shared" si="110"/>
        <v>35</v>
      </c>
      <c r="K148" s="25">
        <f t="shared" si="93"/>
        <v>449.55</v>
      </c>
      <c r="L148" s="427">
        <f t="shared" si="94"/>
        <v>34</v>
      </c>
      <c r="M148" s="64">
        <f t="shared" si="111"/>
        <v>35</v>
      </c>
      <c r="N148" s="838">
        <f t="shared" si="95"/>
        <v>95.625</v>
      </c>
      <c r="O148" s="68">
        <f>LOOKUP(N148,'Circuit Breakers'!$B$5:$B$38,'Circuit Breakers'!$C$5:$C$38)</f>
        <v>100</v>
      </c>
      <c r="P148" s="199">
        <f t="shared" si="96"/>
        <v>30</v>
      </c>
      <c r="Q148" s="1056">
        <f t="shared" si="112"/>
        <v>584.41500000000008</v>
      </c>
      <c r="R148" s="1064">
        <f>LOOKUP(Q148,'Circuit Breakers'!$B$5:$B$38,'Circuit Breakers'!$C$5:$C$38)</f>
        <v>600</v>
      </c>
      <c r="S148" s="64">
        <f t="shared" si="97"/>
        <v>30</v>
      </c>
      <c r="T148" s="25">
        <f t="shared" si="113"/>
        <v>390</v>
      </c>
      <c r="U148" s="158">
        <f>LOOKUP(T148,'Circuit Breakers'!$B$5:$B$38,'Circuit Breakers'!$C$5:$C$38)</f>
        <v>400</v>
      </c>
      <c r="V148" s="64">
        <f t="shared" si="114"/>
        <v>15</v>
      </c>
      <c r="W148" s="25">
        <f t="shared" si="98"/>
        <v>81.458333333333329</v>
      </c>
      <c r="X148" s="68" t="str">
        <f>LOOKUP(W148,'Wire-Cables Ampacities'!$B$5:$B$35,'Wire-Cables Ampacities'!$C$5:$C$35)</f>
        <v>#4</v>
      </c>
      <c r="Y148" s="64">
        <f t="shared" si="115"/>
        <v>10</v>
      </c>
      <c r="Z148" s="25">
        <f t="shared" si="99"/>
        <v>494.50500000000005</v>
      </c>
      <c r="AA148" s="68" t="str">
        <f>LOOKUP(Z148,'Wire-Cables Ampacities'!$B$5:$B$35,'Wire-Cables Ampacities'!$C$5:$C$35)</f>
        <v>#3/0 2x</v>
      </c>
      <c r="AB148" s="1135">
        <f t="shared" si="116"/>
        <v>10</v>
      </c>
      <c r="AC148" s="25">
        <f t="shared" si="100"/>
        <v>330</v>
      </c>
      <c r="AD148" s="68" t="str">
        <f>LOOKUP(AC148,'Wire-Cables Ampacities'!$B$5:$B$35,'Wire-Cables Ampacities'!$C$5:$C$35)</f>
        <v>250MCM</v>
      </c>
      <c r="AE148" s="81">
        <f t="shared" si="117"/>
        <v>2.2999999999999998</v>
      </c>
      <c r="AF148" s="56">
        <f t="shared" ref="AF148:AF159" si="121">AE148*3.412142*1000</f>
        <v>7847.9265999999989</v>
      </c>
      <c r="AG148" s="72">
        <v>40</v>
      </c>
      <c r="AH148" s="15">
        <v>55</v>
      </c>
      <c r="AI148" s="64">
        <f t="shared" si="118"/>
        <v>20</v>
      </c>
      <c r="AJ148" s="56">
        <f t="shared" si="119"/>
        <v>323.83999999999992</v>
      </c>
      <c r="AK148" s="271">
        <f t="shared" si="102"/>
        <v>3.5982222222222213</v>
      </c>
      <c r="AL148" s="277">
        <f t="shared" si="103"/>
        <v>1.7991111111111107</v>
      </c>
      <c r="AM148" s="58">
        <v>1200</v>
      </c>
      <c r="AN148" s="25">
        <v>38</v>
      </c>
      <c r="AO148" s="3">
        <v>70</v>
      </c>
      <c r="AP148" s="3">
        <v>28</v>
      </c>
      <c r="AQ148" s="281">
        <f t="shared" si="120"/>
        <v>71.555555555555557</v>
      </c>
      <c r="AR148" s="287">
        <f t="shared" ref="AR148:AR159" si="122">AF148+(1.25*AQ148*(AG148-AH148))</f>
        <v>6506.2599333333319</v>
      </c>
      <c r="AS148" s="93"/>
      <c r="AT148" s="4"/>
    </row>
    <row r="149" spans="1:46">
      <c r="A149" s="72">
        <f t="shared" si="105"/>
        <v>24</v>
      </c>
      <c r="B149" s="61">
        <v>2.4500000000000002</v>
      </c>
      <c r="C149" s="66">
        <f t="shared" si="106"/>
        <v>58.800000000000004</v>
      </c>
      <c r="D149" s="68">
        <v>350</v>
      </c>
      <c r="E149" s="66">
        <f t="shared" si="92"/>
        <v>480</v>
      </c>
      <c r="F149" s="45">
        <f t="shared" si="107"/>
        <v>83.333333333333329</v>
      </c>
      <c r="G149" s="94">
        <f t="shared" si="108"/>
        <v>12</v>
      </c>
      <c r="H149" s="295">
        <f t="shared" si="109"/>
        <v>75.100160000000017</v>
      </c>
      <c r="I149" s="25"/>
      <c r="J149" s="52">
        <f t="shared" si="110"/>
        <v>35</v>
      </c>
      <c r="K149" s="25">
        <f t="shared" si="93"/>
        <v>524.47500000000014</v>
      </c>
      <c r="L149" s="427">
        <f t="shared" si="94"/>
        <v>40</v>
      </c>
      <c r="M149" s="64">
        <f t="shared" si="111"/>
        <v>35</v>
      </c>
      <c r="N149" s="838">
        <f t="shared" si="95"/>
        <v>112.5</v>
      </c>
      <c r="O149" s="68">
        <f>LOOKUP(N149,'Circuit Breakers'!$B$5:$B$38,'Circuit Breakers'!$C$5:$C$38)</f>
        <v>125</v>
      </c>
      <c r="P149" s="199">
        <f t="shared" si="96"/>
        <v>30</v>
      </c>
      <c r="Q149" s="1056">
        <f t="shared" si="112"/>
        <v>681.81750000000022</v>
      </c>
      <c r="R149" s="1064">
        <f>LOOKUP(Q149,'Circuit Breakers'!$B$5:$B$38,'Circuit Breakers'!$C$5:$C$38)</f>
        <v>700</v>
      </c>
      <c r="S149" s="64">
        <f t="shared" si="97"/>
        <v>30</v>
      </c>
      <c r="T149" s="25">
        <f t="shared" si="113"/>
        <v>455</v>
      </c>
      <c r="U149" s="158">
        <f>LOOKUP(T149,'Circuit Breakers'!$B$5:$B$38,'Circuit Breakers'!$C$5:$C$38)</f>
        <v>500</v>
      </c>
      <c r="V149" s="64">
        <f t="shared" si="114"/>
        <v>15</v>
      </c>
      <c r="W149" s="25">
        <f t="shared" si="98"/>
        <v>95.833333333333314</v>
      </c>
      <c r="X149" s="68" t="str">
        <f>LOOKUP(W149,'Wire-Cables Ampacities'!$B$5:$B$35,'Wire-Cables Ampacities'!$C$5:$C$35)</f>
        <v>#4</v>
      </c>
      <c r="Y149" s="64">
        <f t="shared" si="115"/>
        <v>10</v>
      </c>
      <c r="Z149" s="25">
        <f t="shared" si="99"/>
        <v>576.92250000000024</v>
      </c>
      <c r="AA149" s="68" t="str">
        <f>LOOKUP(Z149,'Wire-Cables Ampacities'!$B$5:$B$35,'Wire-Cables Ampacities'!$C$5:$C$35)</f>
        <v>#4/0 2x</v>
      </c>
      <c r="AB149" s="1135">
        <f t="shared" si="116"/>
        <v>10</v>
      </c>
      <c r="AC149" s="25">
        <f t="shared" si="100"/>
        <v>385.00000000000006</v>
      </c>
      <c r="AD149" s="68" t="str">
        <f>LOOKUP(AC149,'Wire-Cables Ampacities'!$B$5:$B$35,'Wire-Cables Ampacities'!$C$5:$C$35)</f>
        <v>#2/0 2x</v>
      </c>
      <c r="AE149" s="81">
        <f t="shared" si="117"/>
        <v>2.7</v>
      </c>
      <c r="AF149" s="56">
        <f t="shared" si="121"/>
        <v>9212.7833999999984</v>
      </c>
      <c r="AG149" s="72">
        <v>40</v>
      </c>
      <c r="AH149" s="15">
        <v>55</v>
      </c>
      <c r="AI149" s="64">
        <f t="shared" si="118"/>
        <v>20</v>
      </c>
      <c r="AJ149" s="56">
        <f t="shared" si="119"/>
        <v>380.16</v>
      </c>
      <c r="AK149" s="271">
        <f t="shared" si="102"/>
        <v>4.2240000000000002</v>
      </c>
      <c r="AL149" s="277">
        <f t="shared" si="103"/>
        <v>2.1120000000000001</v>
      </c>
      <c r="AM149" s="58">
        <v>1200</v>
      </c>
      <c r="AN149" s="25">
        <v>38</v>
      </c>
      <c r="AO149" s="3">
        <v>70</v>
      </c>
      <c r="AP149" s="3">
        <v>28</v>
      </c>
      <c r="AQ149" s="281">
        <f t="shared" si="120"/>
        <v>71.555555555555557</v>
      </c>
      <c r="AR149" s="287">
        <f t="shared" si="122"/>
        <v>7871.1167333333315</v>
      </c>
      <c r="AS149" s="93"/>
      <c r="AT149" s="4"/>
    </row>
    <row r="150" spans="1:46">
      <c r="A150" s="98">
        <f t="shared" si="105"/>
        <v>24</v>
      </c>
      <c r="B150" s="304">
        <v>2.4500000000000002</v>
      </c>
      <c r="C150" s="100">
        <f t="shared" si="106"/>
        <v>58.800000000000004</v>
      </c>
      <c r="D150" s="101">
        <v>400</v>
      </c>
      <c r="E150" s="100">
        <f t="shared" si="92"/>
        <v>480</v>
      </c>
      <c r="F150" s="102">
        <f t="shared" si="107"/>
        <v>95.833333333333329</v>
      </c>
      <c r="G150" s="103">
        <f t="shared" si="108"/>
        <v>12</v>
      </c>
      <c r="H150" s="296">
        <f t="shared" si="109"/>
        <v>75.100160000000017</v>
      </c>
      <c r="I150" s="104"/>
      <c r="J150" s="180">
        <f t="shared" si="110"/>
        <v>35</v>
      </c>
      <c r="K150" s="104">
        <f t="shared" si="93"/>
        <v>599.40000000000009</v>
      </c>
      <c r="L150" s="428">
        <f t="shared" si="94"/>
        <v>46</v>
      </c>
      <c r="M150" s="106">
        <f t="shared" si="111"/>
        <v>35</v>
      </c>
      <c r="N150" s="1060">
        <f t="shared" si="95"/>
        <v>129.375</v>
      </c>
      <c r="O150" s="101">
        <f>LOOKUP(N150,'Circuit Breakers'!$B$5:$B$38,'Circuit Breakers'!$C$5:$C$38)</f>
        <v>150</v>
      </c>
      <c r="P150" s="262">
        <f t="shared" si="96"/>
        <v>30</v>
      </c>
      <c r="Q150" s="1057">
        <f t="shared" si="112"/>
        <v>779.22000000000014</v>
      </c>
      <c r="R150" s="1065">
        <f>LOOKUP(Q150,'Circuit Breakers'!$B$5:$B$38,'Circuit Breakers'!$C$5:$C$38)</f>
        <v>800</v>
      </c>
      <c r="S150" s="106">
        <f t="shared" si="97"/>
        <v>30</v>
      </c>
      <c r="T150" s="104">
        <f t="shared" si="113"/>
        <v>520</v>
      </c>
      <c r="U150" s="477">
        <f>LOOKUP(T150,'Circuit Breakers'!$B$5:$B$38,'Circuit Breakers'!$C$5:$C$38)</f>
        <v>600</v>
      </c>
      <c r="V150" s="106">
        <f t="shared" si="114"/>
        <v>15</v>
      </c>
      <c r="W150" s="104">
        <f t="shared" si="98"/>
        <v>110.20833333333331</v>
      </c>
      <c r="X150" s="101" t="str">
        <f>LOOKUP(W150,'Wire-Cables Ampacities'!$B$5:$B$35,'Wire-Cables Ampacities'!$C$5:$C$35)</f>
        <v>#3</v>
      </c>
      <c r="Y150" s="106">
        <f t="shared" si="115"/>
        <v>10</v>
      </c>
      <c r="Z150" s="104">
        <f t="shared" si="99"/>
        <v>659.34000000000015</v>
      </c>
      <c r="AA150" s="101" t="str">
        <f>LOOKUP(Z150,'Wire-Cables Ampacities'!$B$5:$B$35,'Wire-Cables Ampacities'!$C$5:$C$35)</f>
        <v>300MCM 2x</v>
      </c>
      <c r="AB150" s="1136">
        <f t="shared" si="116"/>
        <v>10</v>
      </c>
      <c r="AC150" s="104">
        <f t="shared" si="100"/>
        <v>440.00000000000006</v>
      </c>
      <c r="AD150" s="101" t="str">
        <f>LOOKUP(AC150,'Wire-Cables Ampacities'!$B$5:$B$35,'Wire-Cables Ampacities'!$C$5:$C$35)</f>
        <v>#3/0 2x</v>
      </c>
      <c r="AE150" s="107">
        <f t="shared" si="117"/>
        <v>3.1000000000000005</v>
      </c>
      <c r="AF150" s="105">
        <f t="shared" si="121"/>
        <v>10577.640200000002</v>
      </c>
      <c r="AG150" s="98">
        <v>40</v>
      </c>
      <c r="AH150" s="99">
        <v>55</v>
      </c>
      <c r="AI150" s="106">
        <f t="shared" si="118"/>
        <v>20</v>
      </c>
      <c r="AJ150" s="105">
        <f t="shared" si="119"/>
        <v>436.48000000000008</v>
      </c>
      <c r="AK150" s="272">
        <f t="shared" si="102"/>
        <v>4.8497777777777786</v>
      </c>
      <c r="AL150" s="278">
        <f t="shared" si="103"/>
        <v>2.4248888888888893</v>
      </c>
      <c r="AM150" s="109">
        <v>1200</v>
      </c>
      <c r="AN150" s="104">
        <v>38</v>
      </c>
      <c r="AO150" s="110">
        <v>70</v>
      </c>
      <c r="AP150" s="110">
        <v>28</v>
      </c>
      <c r="AQ150" s="282">
        <f t="shared" si="120"/>
        <v>71.555555555555557</v>
      </c>
      <c r="AR150" s="288">
        <f t="shared" si="122"/>
        <v>9235.9735333333356</v>
      </c>
      <c r="AS150" s="93"/>
      <c r="AT150" s="4"/>
    </row>
    <row r="151" spans="1:46">
      <c r="A151" s="72">
        <f t="shared" si="105"/>
        <v>24</v>
      </c>
      <c r="B151" s="61">
        <v>2.4500000000000002</v>
      </c>
      <c r="C151" s="66">
        <f t="shared" si="106"/>
        <v>58.800000000000004</v>
      </c>
      <c r="D151" s="68">
        <v>450</v>
      </c>
      <c r="E151" s="66">
        <f t="shared" si="92"/>
        <v>480</v>
      </c>
      <c r="F151" s="45">
        <f t="shared" si="107"/>
        <v>106.25</v>
      </c>
      <c r="G151" s="94">
        <f t="shared" si="108"/>
        <v>12</v>
      </c>
      <c r="H151" s="295">
        <f t="shared" si="109"/>
        <v>75.100160000000017</v>
      </c>
      <c r="I151" s="25"/>
      <c r="J151" s="52">
        <f t="shared" si="110"/>
        <v>35</v>
      </c>
      <c r="K151" s="25">
        <f t="shared" si="93"/>
        <v>674.32500000000005</v>
      </c>
      <c r="L151" s="427">
        <f t="shared" si="94"/>
        <v>51</v>
      </c>
      <c r="M151" s="64">
        <f t="shared" si="111"/>
        <v>35</v>
      </c>
      <c r="N151" s="838">
        <f t="shared" si="95"/>
        <v>143.4375</v>
      </c>
      <c r="O151" s="68">
        <f>LOOKUP(N151,'Circuit Breakers'!$B$5:$B$38,'Circuit Breakers'!$C$5:$C$38)</f>
        <v>150</v>
      </c>
      <c r="P151" s="199">
        <f t="shared" si="96"/>
        <v>30</v>
      </c>
      <c r="Q151" s="1056">
        <f t="shared" si="112"/>
        <v>876.62250000000006</v>
      </c>
      <c r="R151" s="1064">
        <f>LOOKUP(Q151,'Circuit Breakers'!$B$5:$B$38,'Circuit Breakers'!$C$5:$C$38)</f>
        <v>900</v>
      </c>
      <c r="S151" s="64">
        <f t="shared" si="97"/>
        <v>30</v>
      </c>
      <c r="T151" s="25">
        <f t="shared" si="113"/>
        <v>585</v>
      </c>
      <c r="U151" s="158">
        <f>LOOKUP(T151,'Circuit Breakers'!$B$5:$B$38,'Circuit Breakers'!$C$5:$C$38)</f>
        <v>600</v>
      </c>
      <c r="V151" s="64">
        <f t="shared" si="114"/>
        <v>15</v>
      </c>
      <c r="W151" s="25">
        <f t="shared" si="98"/>
        <v>122.18749999999999</v>
      </c>
      <c r="X151" s="68" t="str">
        <f>LOOKUP(W151,'Wire-Cables Ampacities'!$B$5:$B$35,'Wire-Cables Ampacities'!$C$5:$C$35)</f>
        <v>#2</v>
      </c>
      <c r="Y151" s="64">
        <f t="shared" si="115"/>
        <v>10</v>
      </c>
      <c r="Z151" s="25">
        <f t="shared" si="99"/>
        <v>741.75750000000016</v>
      </c>
      <c r="AA151" s="68" t="str">
        <f>LOOKUP(Z151,'Wire-Cables Ampacities'!$B$5:$B$35,'Wire-Cables Ampacities'!$C$5:$C$35)</f>
        <v>Buss</v>
      </c>
      <c r="AB151" s="1135">
        <f t="shared" si="116"/>
        <v>10</v>
      </c>
      <c r="AC151" s="25">
        <f t="shared" si="100"/>
        <v>495.00000000000006</v>
      </c>
      <c r="AD151" s="68" t="str">
        <f>LOOKUP(AC151,'Wire-Cables Ampacities'!$B$5:$B$35,'Wire-Cables Ampacities'!$C$5:$C$35)</f>
        <v>#3/0 2x</v>
      </c>
      <c r="AE151" s="81">
        <f t="shared" si="117"/>
        <v>3.4500000000000006</v>
      </c>
      <c r="AF151" s="56">
        <f t="shared" si="121"/>
        <v>11771.889900000002</v>
      </c>
      <c r="AG151" s="72">
        <v>40</v>
      </c>
      <c r="AH151" s="15">
        <v>55</v>
      </c>
      <c r="AI151" s="64">
        <f t="shared" si="118"/>
        <v>20</v>
      </c>
      <c r="AJ151" s="56">
        <f t="shared" si="119"/>
        <v>485.76000000000005</v>
      </c>
      <c r="AK151" s="271">
        <f t="shared" si="102"/>
        <v>5.397333333333334</v>
      </c>
      <c r="AL151" s="277">
        <f t="shared" si="103"/>
        <v>2.698666666666667</v>
      </c>
      <c r="AM151" s="58">
        <v>1200</v>
      </c>
      <c r="AN151" s="25">
        <v>38</v>
      </c>
      <c r="AO151" s="3">
        <v>70</v>
      </c>
      <c r="AP151" s="3">
        <v>28</v>
      </c>
      <c r="AQ151" s="281">
        <f t="shared" si="120"/>
        <v>71.555555555555557</v>
      </c>
      <c r="AR151" s="287">
        <f t="shared" si="122"/>
        <v>10430.223233333336</v>
      </c>
      <c r="AS151" s="93"/>
      <c r="AT151" s="4"/>
    </row>
    <row r="152" spans="1:46">
      <c r="A152" s="72">
        <f t="shared" si="105"/>
        <v>24</v>
      </c>
      <c r="B152" s="61">
        <v>2.4500000000000002</v>
      </c>
      <c r="C152" s="66">
        <f t="shared" si="106"/>
        <v>58.800000000000004</v>
      </c>
      <c r="D152" s="68">
        <v>500</v>
      </c>
      <c r="E152" s="66">
        <f t="shared" si="92"/>
        <v>480</v>
      </c>
      <c r="F152" s="45">
        <f t="shared" si="107"/>
        <v>118.75</v>
      </c>
      <c r="G152" s="94">
        <f t="shared" si="108"/>
        <v>12</v>
      </c>
      <c r="H152" s="295">
        <f t="shared" si="109"/>
        <v>75.100160000000017</v>
      </c>
      <c r="I152" s="25"/>
      <c r="J152" s="52">
        <f t="shared" si="110"/>
        <v>35</v>
      </c>
      <c r="K152" s="25">
        <f t="shared" si="93"/>
        <v>749.25000000000011</v>
      </c>
      <c r="L152" s="427">
        <f t="shared" si="94"/>
        <v>57</v>
      </c>
      <c r="M152" s="64">
        <f t="shared" si="111"/>
        <v>35</v>
      </c>
      <c r="N152" s="838">
        <f t="shared" si="95"/>
        <v>160.3125</v>
      </c>
      <c r="O152" s="68">
        <f>LOOKUP(N152,'Circuit Breakers'!$B$5:$B$38,'Circuit Breakers'!$C$5:$C$38)</f>
        <v>175</v>
      </c>
      <c r="P152" s="199">
        <f t="shared" si="96"/>
        <v>30</v>
      </c>
      <c r="Q152" s="1056">
        <f t="shared" si="112"/>
        <v>974.0250000000002</v>
      </c>
      <c r="R152" s="1064">
        <f>LOOKUP(Q152,'Circuit Breakers'!$B$5:$B$38,'Circuit Breakers'!$C$5:$C$38)</f>
        <v>1000</v>
      </c>
      <c r="S152" s="64">
        <f t="shared" si="97"/>
        <v>30</v>
      </c>
      <c r="T152" s="25">
        <f t="shared" si="113"/>
        <v>650</v>
      </c>
      <c r="U152" s="158">
        <f>LOOKUP(T152,'Circuit Breakers'!$B$5:$B$38,'Circuit Breakers'!$C$5:$C$38)</f>
        <v>700</v>
      </c>
      <c r="V152" s="64">
        <f t="shared" si="114"/>
        <v>15</v>
      </c>
      <c r="W152" s="25">
        <f t="shared" si="98"/>
        <v>136.5625</v>
      </c>
      <c r="X152" s="68" t="str">
        <f>LOOKUP(W152,'Wire-Cables Ampacities'!$B$5:$B$35,'Wire-Cables Ampacities'!$C$5:$C$35)</f>
        <v>#2</v>
      </c>
      <c r="Y152" s="64">
        <f t="shared" si="115"/>
        <v>10</v>
      </c>
      <c r="Z152" s="25">
        <f t="shared" si="99"/>
        <v>824.17500000000018</v>
      </c>
      <c r="AA152" s="68" t="str">
        <f>LOOKUP(Z152,'Wire-Cables Ampacities'!$B$5:$B$35,'Wire-Cables Ampacities'!$C$5:$C$35)</f>
        <v>Buss</v>
      </c>
      <c r="AB152" s="1135">
        <f t="shared" si="116"/>
        <v>10</v>
      </c>
      <c r="AC152" s="25">
        <f t="shared" si="100"/>
        <v>550</v>
      </c>
      <c r="AD152" s="68" t="str">
        <f>LOOKUP(AC152,'Wire-Cables Ampacities'!$B$5:$B$35,'Wire-Cables Ampacities'!$C$5:$C$35)</f>
        <v>#4/0 2x</v>
      </c>
      <c r="AE152" s="81">
        <f t="shared" si="117"/>
        <v>3.85</v>
      </c>
      <c r="AF152" s="56">
        <f t="shared" si="121"/>
        <v>13136.7467</v>
      </c>
      <c r="AG152" s="72">
        <v>40</v>
      </c>
      <c r="AH152" s="15">
        <v>55</v>
      </c>
      <c r="AI152" s="64">
        <f t="shared" si="118"/>
        <v>20</v>
      </c>
      <c r="AJ152" s="56">
        <f t="shared" si="119"/>
        <v>542.08000000000004</v>
      </c>
      <c r="AK152" s="271">
        <f t="shared" si="102"/>
        <v>6.0231111111111115</v>
      </c>
      <c r="AL152" s="277">
        <f t="shared" si="103"/>
        <v>3.0115555555555558</v>
      </c>
      <c r="AM152" s="58">
        <v>1200</v>
      </c>
      <c r="AN152" s="25">
        <v>38</v>
      </c>
      <c r="AO152" s="3">
        <v>70</v>
      </c>
      <c r="AP152" s="3">
        <v>28</v>
      </c>
      <c r="AQ152" s="281">
        <f t="shared" si="120"/>
        <v>71.555555555555557</v>
      </c>
      <c r="AR152" s="287">
        <f t="shared" si="122"/>
        <v>11795.080033333334</v>
      </c>
      <c r="AS152" s="93"/>
      <c r="AT152" s="4"/>
    </row>
    <row r="153" spans="1:46">
      <c r="A153" s="98">
        <f t="shared" si="105"/>
        <v>24</v>
      </c>
      <c r="B153" s="304">
        <v>2.4500000000000002</v>
      </c>
      <c r="C153" s="100">
        <f t="shared" si="106"/>
        <v>58.800000000000004</v>
      </c>
      <c r="D153" s="101">
        <v>600</v>
      </c>
      <c r="E153" s="100">
        <f t="shared" si="92"/>
        <v>480</v>
      </c>
      <c r="F153" s="102">
        <f t="shared" si="107"/>
        <v>141.66666666666666</v>
      </c>
      <c r="G153" s="103">
        <f t="shared" si="108"/>
        <v>12</v>
      </c>
      <c r="H153" s="296">
        <f t="shared" si="109"/>
        <v>75.100160000000017</v>
      </c>
      <c r="I153" s="104"/>
      <c r="J153" s="180">
        <f t="shared" si="110"/>
        <v>35</v>
      </c>
      <c r="K153" s="104">
        <f t="shared" si="93"/>
        <v>899.1</v>
      </c>
      <c r="L153" s="428">
        <f t="shared" si="94"/>
        <v>68</v>
      </c>
      <c r="M153" s="106">
        <f t="shared" si="111"/>
        <v>35</v>
      </c>
      <c r="N153" s="1060">
        <f t="shared" si="95"/>
        <v>191.25</v>
      </c>
      <c r="O153" s="101">
        <f>LOOKUP(N153,'Circuit Breakers'!$B$5:$B$38,'Circuit Breakers'!$C$5:$C$38)</f>
        <v>200</v>
      </c>
      <c r="P153" s="262">
        <f t="shared" si="96"/>
        <v>30</v>
      </c>
      <c r="Q153" s="1057">
        <f t="shared" si="112"/>
        <v>1168.8300000000002</v>
      </c>
      <c r="R153" s="1065">
        <f>LOOKUP(Q153,'Circuit Breakers'!$B$5:$B$38,'Circuit Breakers'!$C$5:$C$38)</f>
        <v>1200</v>
      </c>
      <c r="S153" s="106">
        <f t="shared" si="97"/>
        <v>30</v>
      </c>
      <c r="T153" s="104">
        <f t="shared" si="113"/>
        <v>780</v>
      </c>
      <c r="U153" s="477">
        <f>LOOKUP(T153,'Circuit Breakers'!$B$5:$B$38,'Circuit Breakers'!$C$5:$C$38)</f>
        <v>800</v>
      </c>
      <c r="V153" s="106">
        <f t="shared" si="114"/>
        <v>15</v>
      </c>
      <c r="W153" s="104">
        <f t="shared" si="98"/>
        <v>162.91666666666666</v>
      </c>
      <c r="X153" s="101" t="str">
        <f>LOOKUP(W153,'Wire-Cables Ampacities'!$B$5:$B$35,'Wire-Cables Ampacities'!$C$5:$C$35)</f>
        <v>#1</v>
      </c>
      <c r="Y153" s="106">
        <f t="shared" si="115"/>
        <v>10</v>
      </c>
      <c r="Z153" s="104">
        <f t="shared" si="99"/>
        <v>989.0100000000001</v>
      </c>
      <c r="AA153" s="101" t="str">
        <f>LOOKUP(Z153,'Wire-Cables Ampacities'!$B$5:$B$35,'Wire-Cables Ampacities'!$C$5:$C$35)</f>
        <v>Buss</v>
      </c>
      <c r="AB153" s="1136">
        <f t="shared" si="116"/>
        <v>10</v>
      </c>
      <c r="AC153" s="104">
        <f t="shared" si="100"/>
        <v>660</v>
      </c>
      <c r="AD153" s="101" t="str">
        <f>LOOKUP(AC153,'Wire-Cables Ampacities'!$B$5:$B$35,'Wire-Cables Ampacities'!$C$5:$C$35)</f>
        <v>300MCM 2x</v>
      </c>
      <c r="AE153" s="107">
        <f t="shared" si="117"/>
        <v>4.5999999999999996</v>
      </c>
      <c r="AF153" s="105">
        <f t="shared" si="121"/>
        <v>15695.853199999998</v>
      </c>
      <c r="AG153" s="98">
        <v>40</v>
      </c>
      <c r="AH153" s="99">
        <v>55</v>
      </c>
      <c r="AI153" s="106">
        <f t="shared" si="118"/>
        <v>20</v>
      </c>
      <c r="AJ153" s="105">
        <f t="shared" si="119"/>
        <v>647.67999999999984</v>
      </c>
      <c r="AK153" s="272">
        <f t="shared" si="102"/>
        <v>7.1964444444444426</v>
      </c>
      <c r="AL153" s="278">
        <f t="shared" si="103"/>
        <v>3.5982222222222213</v>
      </c>
      <c r="AM153" s="109">
        <v>1200</v>
      </c>
      <c r="AN153" s="104">
        <v>38</v>
      </c>
      <c r="AO153" s="110">
        <v>70</v>
      </c>
      <c r="AP153" s="110">
        <v>28</v>
      </c>
      <c r="AQ153" s="282">
        <f t="shared" si="120"/>
        <v>71.555555555555557</v>
      </c>
      <c r="AR153" s="288">
        <f t="shared" si="122"/>
        <v>14354.186533333332</v>
      </c>
      <c r="AS153" s="93"/>
      <c r="AT153" s="4"/>
    </row>
    <row r="154" spans="1:46">
      <c r="A154" s="72">
        <f t="shared" si="105"/>
        <v>24</v>
      </c>
      <c r="B154" s="61">
        <v>2.4500000000000002</v>
      </c>
      <c r="C154" s="66">
        <f t="shared" si="106"/>
        <v>58.800000000000004</v>
      </c>
      <c r="D154" s="68">
        <v>700</v>
      </c>
      <c r="E154" s="66">
        <f t="shared" si="92"/>
        <v>480</v>
      </c>
      <c r="F154" s="45">
        <f t="shared" si="107"/>
        <v>164.58333333333334</v>
      </c>
      <c r="G154" s="94">
        <f t="shared" si="108"/>
        <v>12</v>
      </c>
      <c r="H154" s="295">
        <f t="shared" si="109"/>
        <v>75.100160000000017</v>
      </c>
      <c r="I154" s="25"/>
      <c r="J154" s="52">
        <f t="shared" si="110"/>
        <v>35</v>
      </c>
      <c r="K154" s="25">
        <f t="shared" si="93"/>
        <v>1048.9500000000003</v>
      </c>
      <c r="L154" s="427">
        <f t="shared" si="94"/>
        <v>79</v>
      </c>
      <c r="M154" s="64">
        <f t="shared" si="111"/>
        <v>35</v>
      </c>
      <c r="N154" s="838">
        <f t="shared" si="95"/>
        <v>222.18750000000003</v>
      </c>
      <c r="O154" s="68">
        <f>LOOKUP(N154,'Circuit Breakers'!$B$5:$B$38,'Circuit Breakers'!$C$5:$C$38)</f>
        <v>225</v>
      </c>
      <c r="P154" s="199">
        <f t="shared" si="96"/>
        <v>30</v>
      </c>
      <c r="Q154" s="1056">
        <f t="shared" si="112"/>
        <v>1363.6350000000004</v>
      </c>
      <c r="R154" s="1064" t="str">
        <f>LOOKUP(Q154,'Circuit Breakers'!$B$5:$B$38,'Circuit Breakers'!$C$5:$C$38)</f>
        <v>Check</v>
      </c>
      <c r="S154" s="64">
        <f t="shared" si="97"/>
        <v>30</v>
      </c>
      <c r="T154" s="25">
        <f t="shared" si="113"/>
        <v>910</v>
      </c>
      <c r="U154" s="158">
        <f>LOOKUP(T154,'Circuit Breakers'!$B$5:$B$38,'Circuit Breakers'!$C$5:$C$38)</f>
        <v>1000</v>
      </c>
      <c r="V154" s="64">
        <f t="shared" si="114"/>
        <v>15</v>
      </c>
      <c r="W154" s="25">
        <f t="shared" si="98"/>
        <v>189.27083333333334</v>
      </c>
      <c r="X154" s="68" t="str">
        <f>LOOKUP(W154,'Wire-Cables Ampacities'!$B$5:$B$35,'Wire-Cables Ampacities'!$C$5:$C$35)</f>
        <v>#1/0</v>
      </c>
      <c r="Y154" s="64">
        <f t="shared" si="115"/>
        <v>10</v>
      </c>
      <c r="Z154" s="25">
        <f t="shared" si="99"/>
        <v>1153.8450000000005</v>
      </c>
      <c r="AA154" s="68" t="str">
        <f>LOOKUP(Z154,'Wire-Cables Ampacities'!$B$5:$B$35,'Wire-Cables Ampacities'!$C$5:$C$35)</f>
        <v>Buss</v>
      </c>
      <c r="AB154" s="1135">
        <f t="shared" si="116"/>
        <v>10</v>
      </c>
      <c r="AC154" s="25">
        <f t="shared" si="100"/>
        <v>770.00000000000011</v>
      </c>
      <c r="AD154" s="68" t="str">
        <f>LOOKUP(AC154,'Wire-Cables Ampacities'!$B$5:$B$35,'Wire-Cables Ampacities'!$C$5:$C$35)</f>
        <v>Buss</v>
      </c>
      <c r="AE154" s="81">
        <f t="shared" si="117"/>
        <v>5.35</v>
      </c>
      <c r="AF154" s="56">
        <f t="shared" si="121"/>
        <v>18254.959699999996</v>
      </c>
      <c r="AG154" s="72">
        <v>40</v>
      </c>
      <c r="AH154" s="15">
        <v>55</v>
      </c>
      <c r="AI154" s="64">
        <f t="shared" si="118"/>
        <v>20</v>
      </c>
      <c r="AJ154" s="56">
        <f t="shared" si="119"/>
        <v>753.28</v>
      </c>
      <c r="AK154" s="271">
        <f t="shared" si="102"/>
        <v>8.3697777777777773</v>
      </c>
      <c r="AL154" s="277">
        <f t="shared" si="103"/>
        <v>4.1848888888888887</v>
      </c>
      <c r="AM154" s="58">
        <v>1200</v>
      </c>
      <c r="AN154" s="25">
        <v>38</v>
      </c>
      <c r="AO154" s="3">
        <v>70</v>
      </c>
      <c r="AP154" s="3">
        <v>28</v>
      </c>
      <c r="AQ154" s="281">
        <f t="shared" si="120"/>
        <v>71.555555555555557</v>
      </c>
      <c r="AR154" s="287">
        <f t="shared" si="122"/>
        <v>16913.293033333328</v>
      </c>
      <c r="AS154" s="93"/>
      <c r="AT154" s="4"/>
    </row>
    <row r="155" spans="1:46">
      <c r="A155" s="72">
        <f t="shared" si="105"/>
        <v>24</v>
      </c>
      <c r="B155" s="61">
        <v>2.4500000000000002</v>
      </c>
      <c r="C155" s="66">
        <f t="shared" si="106"/>
        <v>58.800000000000004</v>
      </c>
      <c r="D155" s="68">
        <v>800</v>
      </c>
      <c r="E155" s="66">
        <f t="shared" si="92"/>
        <v>480</v>
      </c>
      <c r="F155" s="45">
        <f t="shared" si="107"/>
        <v>189.58333333333334</v>
      </c>
      <c r="G155" s="94">
        <f t="shared" si="108"/>
        <v>12</v>
      </c>
      <c r="H155" s="295">
        <f t="shared" si="109"/>
        <v>75.100160000000017</v>
      </c>
      <c r="I155" s="25"/>
      <c r="J155" s="52">
        <f t="shared" si="110"/>
        <v>35</v>
      </c>
      <c r="K155" s="25">
        <f t="shared" si="93"/>
        <v>1198.8000000000002</v>
      </c>
      <c r="L155" s="427">
        <f t="shared" si="94"/>
        <v>91</v>
      </c>
      <c r="M155" s="64">
        <f t="shared" si="111"/>
        <v>35</v>
      </c>
      <c r="N155" s="838">
        <f t="shared" si="95"/>
        <v>255.93750000000003</v>
      </c>
      <c r="O155" s="68">
        <f>LOOKUP(N155,'Circuit Breakers'!$B$5:$B$38,'Circuit Breakers'!$C$5:$C$38)</f>
        <v>300</v>
      </c>
      <c r="P155" s="199">
        <f t="shared" si="96"/>
        <v>30</v>
      </c>
      <c r="Q155" s="1056">
        <f t="shared" si="112"/>
        <v>1558.4400000000003</v>
      </c>
      <c r="R155" s="1064" t="str">
        <f>LOOKUP(Q155,'Circuit Breakers'!$B$5:$B$38,'Circuit Breakers'!$C$5:$C$38)</f>
        <v>Check</v>
      </c>
      <c r="S155" s="64">
        <f t="shared" si="97"/>
        <v>30</v>
      </c>
      <c r="T155" s="25">
        <f t="shared" si="113"/>
        <v>1040</v>
      </c>
      <c r="U155" s="158">
        <f>LOOKUP(T155,'Circuit Breakers'!$B$5:$B$38,'Circuit Breakers'!$C$5:$C$38)</f>
        <v>1200</v>
      </c>
      <c r="V155" s="64">
        <f t="shared" si="114"/>
        <v>15</v>
      </c>
      <c r="W155" s="25">
        <f t="shared" si="98"/>
        <v>218.02083333333331</v>
      </c>
      <c r="X155" s="68" t="str">
        <f>LOOKUP(W155,'Wire-Cables Ampacities'!$B$5:$B$35,'Wire-Cables Ampacities'!$C$5:$C$35)</f>
        <v>#2/0</v>
      </c>
      <c r="Y155" s="64">
        <f t="shared" si="115"/>
        <v>10</v>
      </c>
      <c r="Z155" s="25">
        <f t="shared" si="99"/>
        <v>1318.6800000000003</v>
      </c>
      <c r="AA155" s="68" t="str">
        <f>LOOKUP(Z155,'Wire-Cables Ampacities'!$B$5:$B$35,'Wire-Cables Ampacities'!$C$5:$C$35)</f>
        <v>Buss</v>
      </c>
      <c r="AB155" s="1135">
        <f t="shared" si="116"/>
        <v>10</v>
      </c>
      <c r="AC155" s="25">
        <f t="shared" si="100"/>
        <v>880.00000000000011</v>
      </c>
      <c r="AD155" s="68" t="str">
        <f>LOOKUP(AC155,'Wire-Cables Ampacities'!$B$5:$B$35,'Wire-Cables Ampacities'!$C$5:$C$35)</f>
        <v>Buss</v>
      </c>
      <c r="AE155" s="81">
        <f t="shared" si="117"/>
        <v>6.15</v>
      </c>
      <c r="AF155" s="56">
        <f t="shared" si="121"/>
        <v>20984.673300000002</v>
      </c>
      <c r="AG155" s="72">
        <v>40</v>
      </c>
      <c r="AH155" s="15">
        <v>55</v>
      </c>
      <c r="AI155" s="64">
        <f t="shared" si="118"/>
        <v>20</v>
      </c>
      <c r="AJ155" s="56">
        <f t="shared" si="119"/>
        <v>865.92</v>
      </c>
      <c r="AK155" s="271">
        <f t="shared" si="102"/>
        <v>9.6213333333333324</v>
      </c>
      <c r="AL155" s="277">
        <f t="shared" si="103"/>
        <v>4.8106666666666662</v>
      </c>
      <c r="AM155" s="58">
        <v>1200</v>
      </c>
      <c r="AN155" s="25">
        <v>38</v>
      </c>
      <c r="AO155" s="3">
        <v>70</v>
      </c>
      <c r="AP155" s="3">
        <v>28</v>
      </c>
      <c r="AQ155" s="281">
        <f t="shared" si="120"/>
        <v>71.555555555555557</v>
      </c>
      <c r="AR155" s="287">
        <f t="shared" si="122"/>
        <v>19643.006633333334</v>
      </c>
      <c r="AS155" s="93"/>
      <c r="AT155" s="4"/>
    </row>
    <row r="156" spans="1:46">
      <c r="A156" s="98">
        <f t="shared" si="105"/>
        <v>24</v>
      </c>
      <c r="B156" s="304">
        <v>2.4500000000000002</v>
      </c>
      <c r="C156" s="100">
        <f t="shared" si="106"/>
        <v>58.800000000000004</v>
      </c>
      <c r="D156" s="101">
        <v>900</v>
      </c>
      <c r="E156" s="100">
        <f t="shared" si="92"/>
        <v>480</v>
      </c>
      <c r="F156" s="102">
        <f t="shared" si="107"/>
        <v>212.5</v>
      </c>
      <c r="G156" s="103">
        <f t="shared" si="108"/>
        <v>12</v>
      </c>
      <c r="H156" s="296">
        <f t="shared" si="109"/>
        <v>75.100160000000017</v>
      </c>
      <c r="I156" s="104"/>
      <c r="J156" s="180">
        <f t="shared" si="110"/>
        <v>35</v>
      </c>
      <c r="K156" s="104">
        <f t="shared" si="93"/>
        <v>1348.65</v>
      </c>
      <c r="L156" s="428">
        <f t="shared" si="94"/>
        <v>102</v>
      </c>
      <c r="M156" s="106">
        <f t="shared" si="111"/>
        <v>35</v>
      </c>
      <c r="N156" s="1060">
        <f t="shared" si="95"/>
        <v>286.875</v>
      </c>
      <c r="O156" s="101">
        <f>LOOKUP(N156,'Circuit Breakers'!$B$5:$B$38,'Circuit Breakers'!$C$5:$C$38)</f>
        <v>300</v>
      </c>
      <c r="P156" s="262">
        <f t="shared" si="96"/>
        <v>30</v>
      </c>
      <c r="Q156" s="1057">
        <f t="shared" si="112"/>
        <v>1753.2450000000001</v>
      </c>
      <c r="R156" s="1065" t="str">
        <f>LOOKUP(Q156,'Circuit Breakers'!$B$5:$B$38,'Circuit Breakers'!$C$5:$C$38)</f>
        <v>Check</v>
      </c>
      <c r="S156" s="106">
        <f t="shared" si="97"/>
        <v>30</v>
      </c>
      <c r="T156" s="104">
        <f t="shared" si="113"/>
        <v>1170</v>
      </c>
      <c r="U156" s="477">
        <f>LOOKUP(T156,'Circuit Breakers'!$B$5:$B$38,'Circuit Breakers'!$C$5:$C$38)</f>
        <v>1200</v>
      </c>
      <c r="V156" s="106">
        <f t="shared" si="114"/>
        <v>15</v>
      </c>
      <c r="W156" s="104">
        <f t="shared" si="98"/>
        <v>244.37499999999997</v>
      </c>
      <c r="X156" s="101" t="str">
        <f>LOOKUP(W156,'Wire-Cables Ampacities'!$B$5:$B$35,'Wire-Cables Ampacities'!$C$5:$C$35)</f>
        <v>#3/0</v>
      </c>
      <c r="Y156" s="106">
        <f t="shared" si="115"/>
        <v>10</v>
      </c>
      <c r="Z156" s="104">
        <f t="shared" si="99"/>
        <v>1483.5150000000003</v>
      </c>
      <c r="AA156" s="101" t="str">
        <f>LOOKUP(Z156,'Wire-Cables Ampacities'!$B$5:$B$35,'Wire-Cables Ampacities'!$C$5:$C$35)</f>
        <v>Buss</v>
      </c>
      <c r="AB156" s="1136">
        <f t="shared" si="116"/>
        <v>10</v>
      </c>
      <c r="AC156" s="104">
        <f t="shared" si="100"/>
        <v>990.00000000000011</v>
      </c>
      <c r="AD156" s="101" t="str">
        <f>LOOKUP(AC156,'Wire-Cables Ampacities'!$B$5:$B$35,'Wire-Cables Ampacities'!$C$5:$C$35)</f>
        <v>Buss</v>
      </c>
      <c r="AE156" s="107">
        <f t="shared" si="117"/>
        <v>6.9000000000000012</v>
      </c>
      <c r="AF156" s="105">
        <f t="shared" si="121"/>
        <v>23543.779800000004</v>
      </c>
      <c r="AG156" s="98">
        <v>40</v>
      </c>
      <c r="AH156" s="99">
        <v>55</v>
      </c>
      <c r="AI156" s="106">
        <f t="shared" si="118"/>
        <v>20</v>
      </c>
      <c r="AJ156" s="105">
        <f t="shared" si="119"/>
        <v>971.5200000000001</v>
      </c>
      <c r="AK156" s="272">
        <f t="shared" si="102"/>
        <v>10.794666666666668</v>
      </c>
      <c r="AL156" s="278">
        <f t="shared" si="103"/>
        <v>5.397333333333334</v>
      </c>
      <c r="AM156" s="109">
        <v>1200</v>
      </c>
      <c r="AN156" s="104">
        <v>38</v>
      </c>
      <c r="AO156" s="110">
        <v>70</v>
      </c>
      <c r="AP156" s="110">
        <v>28</v>
      </c>
      <c r="AQ156" s="282">
        <f t="shared" si="120"/>
        <v>71.555555555555557</v>
      </c>
      <c r="AR156" s="288">
        <f t="shared" si="122"/>
        <v>22202.113133333336</v>
      </c>
      <c r="AS156" s="93"/>
      <c r="AT156" s="4"/>
    </row>
    <row r="157" spans="1:46">
      <c r="A157" s="72">
        <f t="shared" si="105"/>
        <v>24</v>
      </c>
      <c r="B157" s="61">
        <v>2.4500000000000002</v>
      </c>
      <c r="C157" s="66">
        <f t="shared" si="106"/>
        <v>58.800000000000004</v>
      </c>
      <c r="D157" s="68">
        <v>1000</v>
      </c>
      <c r="E157" s="66">
        <f t="shared" si="92"/>
        <v>480</v>
      </c>
      <c r="F157" s="45">
        <f t="shared" si="107"/>
        <v>235.41666666666666</v>
      </c>
      <c r="G157" s="94">
        <f t="shared" si="108"/>
        <v>12</v>
      </c>
      <c r="H157" s="295">
        <f t="shared" si="109"/>
        <v>75.100160000000017</v>
      </c>
      <c r="I157" s="25"/>
      <c r="J157" s="52">
        <f t="shared" si="110"/>
        <v>35</v>
      </c>
      <c r="K157" s="25">
        <f t="shared" si="93"/>
        <v>1498.5000000000002</v>
      </c>
      <c r="L157" s="427">
        <f t="shared" si="94"/>
        <v>113</v>
      </c>
      <c r="M157" s="64">
        <f t="shared" si="111"/>
        <v>35</v>
      </c>
      <c r="N157" s="838">
        <f t="shared" si="95"/>
        <v>317.8125</v>
      </c>
      <c r="O157" s="68">
        <f>LOOKUP(N157,'Circuit Breakers'!$B$5:$B$38,'Circuit Breakers'!$C$5:$C$38)</f>
        <v>350</v>
      </c>
      <c r="P157" s="199">
        <f t="shared" si="96"/>
        <v>30</v>
      </c>
      <c r="Q157" s="1056">
        <f t="shared" si="112"/>
        <v>1948.0500000000004</v>
      </c>
      <c r="R157" s="1064" t="str">
        <f>LOOKUP(Q157,'Circuit Breakers'!$B$5:$B$38,'Circuit Breakers'!$C$5:$C$38)</f>
        <v>Check</v>
      </c>
      <c r="S157" s="64">
        <f t="shared" si="97"/>
        <v>30</v>
      </c>
      <c r="T157" s="25">
        <f t="shared" si="113"/>
        <v>1300</v>
      </c>
      <c r="U157" s="158" t="str">
        <f>LOOKUP(T157,'Circuit Breakers'!$B$5:$B$38,'Circuit Breakers'!$C$5:$C$38)</f>
        <v>Check</v>
      </c>
      <c r="V157" s="64">
        <f t="shared" si="114"/>
        <v>15</v>
      </c>
      <c r="W157" s="25">
        <f t="shared" si="98"/>
        <v>270.72916666666663</v>
      </c>
      <c r="X157" s="68" t="str">
        <f>LOOKUP(W157,'Wire-Cables Ampacities'!$B$5:$B$35,'Wire-Cables Ampacities'!$C$5:$C$35)</f>
        <v>#4/0</v>
      </c>
      <c r="Y157" s="64">
        <f t="shared" si="115"/>
        <v>10</v>
      </c>
      <c r="Z157" s="25">
        <f t="shared" si="99"/>
        <v>1648.3500000000004</v>
      </c>
      <c r="AA157" s="68" t="str">
        <f>LOOKUP(Z157,'Wire-Cables Ampacities'!$B$5:$B$35,'Wire-Cables Ampacities'!$C$5:$C$35)</f>
        <v>Buss</v>
      </c>
      <c r="AB157" s="1135">
        <f t="shared" si="116"/>
        <v>10</v>
      </c>
      <c r="AC157" s="25">
        <f t="shared" si="100"/>
        <v>1100</v>
      </c>
      <c r="AD157" s="68" t="str">
        <f>LOOKUP(AC157,'Wire-Cables Ampacities'!$B$5:$B$35,'Wire-Cables Ampacities'!$C$5:$C$35)</f>
        <v>Buss</v>
      </c>
      <c r="AE157" s="81">
        <f t="shared" si="117"/>
        <v>7.65</v>
      </c>
      <c r="AF157" s="56">
        <f t="shared" si="121"/>
        <v>26102.886299999998</v>
      </c>
      <c r="AG157" s="72">
        <v>40</v>
      </c>
      <c r="AH157" s="15">
        <v>55</v>
      </c>
      <c r="AI157" s="64">
        <f t="shared" si="118"/>
        <v>20</v>
      </c>
      <c r="AJ157" s="56">
        <f t="shared" si="119"/>
        <v>1077.1199999999999</v>
      </c>
      <c r="AK157" s="271">
        <f t="shared" si="102"/>
        <v>11.967999999999998</v>
      </c>
      <c r="AL157" s="277">
        <f t="shared" si="103"/>
        <v>5.9839999999999991</v>
      </c>
      <c r="AM157" s="58">
        <v>1200</v>
      </c>
      <c r="AN157" s="25">
        <v>38</v>
      </c>
      <c r="AO157" s="3">
        <v>70</v>
      </c>
      <c r="AP157" s="3">
        <v>28</v>
      </c>
      <c r="AQ157" s="281">
        <f t="shared" si="120"/>
        <v>71.555555555555557</v>
      </c>
      <c r="AR157" s="287">
        <f t="shared" si="122"/>
        <v>24761.21963333333</v>
      </c>
      <c r="AS157" s="93"/>
      <c r="AT157" s="4"/>
    </row>
    <row r="158" spans="1:46">
      <c r="A158" s="72">
        <f t="shared" si="105"/>
        <v>24</v>
      </c>
      <c r="B158" s="61">
        <v>2.4500000000000002</v>
      </c>
      <c r="C158" s="66">
        <f t="shared" si="106"/>
        <v>58.800000000000004</v>
      </c>
      <c r="D158" s="68">
        <v>1100</v>
      </c>
      <c r="E158" s="66">
        <f t="shared" si="92"/>
        <v>480</v>
      </c>
      <c r="F158" s="45">
        <f t="shared" si="107"/>
        <v>258.33333333333331</v>
      </c>
      <c r="G158" s="94">
        <f t="shared" si="108"/>
        <v>12</v>
      </c>
      <c r="H158" s="295">
        <f t="shared" si="109"/>
        <v>75.100160000000017</v>
      </c>
      <c r="I158" s="25"/>
      <c r="J158" s="52">
        <f t="shared" si="110"/>
        <v>35</v>
      </c>
      <c r="K158" s="25">
        <f t="shared" si="93"/>
        <v>1648.3500000000001</v>
      </c>
      <c r="L158" s="427">
        <f t="shared" si="94"/>
        <v>124</v>
      </c>
      <c r="M158" s="64">
        <f t="shared" si="111"/>
        <v>35</v>
      </c>
      <c r="N158" s="838">
        <f t="shared" si="95"/>
        <v>348.75</v>
      </c>
      <c r="O158" s="68">
        <f>LOOKUP(N158,'Circuit Breakers'!$B$5:$B$38,'Circuit Breakers'!$C$5:$C$38)</f>
        <v>350</v>
      </c>
      <c r="P158" s="199">
        <f t="shared" si="96"/>
        <v>30</v>
      </c>
      <c r="Q158" s="1056">
        <f t="shared" si="112"/>
        <v>2142.8550000000005</v>
      </c>
      <c r="R158" s="1064" t="str">
        <f>LOOKUP(Q158,'Circuit Breakers'!$B$5:$B$38,'Circuit Breakers'!$C$5:$C$38)</f>
        <v>Check</v>
      </c>
      <c r="S158" s="64">
        <f t="shared" si="97"/>
        <v>30</v>
      </c>
      <c r="T158" s="25">
        <f t="shared" si="113"/>
        <v>1430</v>
      </c>
      <c r="U158" s="158" t="str">
        <f>LOOKUP(T158,'Circuit Breakers'!$B$5:$B$38,'Circuit Breakers'!$C$5:$C$38)</f>
        <v>Check</v>
      </c>
      <c r="V158" s="64">
        <f t="shared" si="114"/>
        <v>15</v>
      </c>
      <c r="W158" s="25">
        <f t="shared" si="98"/>
        <v>297.08333333333331</v>
      </c>
      <c r="X158" s="68" t="str">
        <f>LOOKUP(W158,'Wire-Cables Ampacities'!$B$5:$B$35,'Wire-Cables Ampacities'!$C$5:$C$35)</f>
        <v>#4/0</v>
      </c>
      <c r="Y158" s="64">
        <f t="shared" si="115"/>
        <v>10</v>
      </c>
      <c r="Z158" s="25">
        <f t="shared" si="99"/>
        <v>1813.1850000000004</v>
      </c>
      <c r="AA158" s="68" t="str">
        <f>LOOKUP(Z158,'Wire-Cables Ampacities'!$B$5:$B$35,'Wire-Cables Ampacities'!$C$5:$C$35)</f>
        <v>Buss</v>
      </c>
      <c r="AB158" s="1135">
        <f t="shared" si="116"/>
        <v>10</v>
      </c>
      <c r="AC158" s="25">
        <f t="shared" si="100"/>
        <v>1210</v>
      </c>
      <c r="AD158" s="68" t="str">
        <f>LOOKUP(AC158,'Wire-Cables Ampacities'!$B$5:$B$35,'Wire-Cables Ampacities'!$C$5:$C$35)</f>
        <v>Buss</v>
      </c>
      <c r="AE158" s="81">
        <f t="shared" si="117"/>
        <v>8.4</v>
      </c>
      <c r="AF158" s="56">
        <f t="shared" si="121"/>
        <v>28661.9928</v>
      </c>
      <c r="AG158" s="72">
        <v>40</v>
      </c>
      <c r="AH158" s="15">
        <v>55</v>
      </c>
      <c r="AI158" s="64">
        <f t="shared" si="118"/>
        <v>20</v>
      </c>
      <c r="AJ158" s="56">
        <f t="shared" si="119"/>
        <v>1182.72</v>
      </c>
      <c r="AK158" s="271">
        <f t="shared" si="102"/>
        <v>13.141333333333334</v>
      </c>
      <c r="AL158" s="277">
        <f t="shared" si="103"/>
        <v>6.5706666666666669</v>
      </c>
      <c r="AM158" s="58">
        <v>1200</v>
      </c>
      <c r="AN158" s="25">
        <v>38</v>
      </c>
      <c r="AO158" s="3">
        <v>70</v>
      </c>
      <c r="AP158" s="3">
        <v>28</v>
      </c>
      <c r="AQ158" s="281">
        <f t="shared" si="120"/>
        <v>71.555555555555557</v>
      </c>
      <c r="AR158" s="287">
        <f t="shared" si="122"/>
        <v>27320.326133333332</v>
      </c>
      <c r="AS158" s="93"/>
      <c r="AT158" s="4"/>
    </row>
    <row r="159" spans="1:46" ht="13.5" thickBot="1">
      <c r="A159" s="253">
        <f t="shared" si="105"/>
        <v>24</v>
      </c>
      <c r="B159" s="305">
        <v>2.4500000000000002</v>
      </c>
      <c r="C159" s="258">
        <f t="shared" si="106"/>
        <v>58.800000000000004</v>
      </c>
      <c r="D159" s="259">
        <v>1200</v>
      </c>
      <c r="E159" s="258">
        <f t="shared" si="92"/>
        <v>480</v>
      </c>
      <c r="F159" s="260">
        <f t="shared" si="107"/>
        <v>283.33333333333331</v>
      </c>
      <c r="G159" s="261">
        <f t="shared" si="108"/>
        <v>12</v>
      </c>
      <c r="H159" s="297">
        <f t="shared" si="109"/>
        <v>75.100160000000017</v>
      </c>
      <c r="I159" s="264"/>
      <c r="J159" s="265">
        <f t="shared" si="110"/>
        <v>35</v>
      </c>
      <c r="K159" s="264">
        <f t="shared" si="93"/>
        <v>1798.2</v>
      </c>
      <c r="L159" s="433">
        <f t="shared" si="94"/>
        <v>136</v>
      </c>
      <c r="M159" s="267">
        <f t="shared" si="111"/>
        <v>35</v>
      </c>
      <c r="N159" s="1061">
        <f t="shared" si="95"/>
        <v>382.5</v>
      </c>
      <c r="O159" s="259">
        <f>LOOKUP(N159,'Circuit Breakers'!$B$5:$B$38,'Circuit Breakers'!$C$5:$C$38)</f>
        <v>400</v>
      </c>
      <c r="P159" s="333">
        <f t="shared" si="96"/>
        <v>30</v>
      </c>
      <c r="Q159" s="1058">
        <f t="shared" si="112"/>
        <v>2337.6600000000003</v>
      </c>
      <c r="R159" s="1066" t="str">
        <f>LOOKUP(Q159,'Circuit Breakers'!$B$5:$B$38,'Circuit Breakers'!$C$5:$C$38)</f>
        <v>Check</v>
      </c>
      <c r="S159" s="267">
        <f t="shared" si="97"/>
        <v>30</v>
      </c>
      <c r="T159" s="264">
        <f t="shared" si="113"/>
        <v>1560</v>
      </c>
      <c r="U159" s="478" t="str">
        <f>LOOKUP(T159,'Circuit Breakers'!$B$5:$B$38,'Circuit Breakers'!$C$5:$C$38)</f>
        <v>Check</v>
      </c>
      <c r="V159" s="267">
        <f t="shared" si="114"/>
        <v>15</v>
      </c>
      <c r="W159" s="264">
        <f t="shared" si="98"/>
        <v>325.83333333333331</v>
      </c>
      <c r="X159" s="259" t="str">
        <f>LOOKUP(W159,'Wire-Cables Ampacities'!$B$5:$B$35,'Wire-Cables Ampacities'!$C$5:$C$35)</f>
        <v>250MCM</v>
      </c>
      <c r="Y159" s="267">
        <f t="shared" si="115"/>
        <v>10</v>
      </c>
      <c r="Z159" s="264">
        <f t="shared" si="99"/>
        <v>1978.0200000000002</v>
      </c>
      <c r="AA159" s="259" t="str">
        <f>LOOKUP(Z159,'Wire-Cables Ampacities'!$B$5:$B$35,'Wire-Cables Ampacities'!$C$5:$C$35)</f>
        <v>Buss</v>
      </c>
      <c r="AB159" s="1137">
        <f t="shared" si="116"/>
        <v>10</v>
      </c>
      <c r="AC159" s="264">
        <f t="shared" si="100"/>
        <v>1320</v>
      </c>
      <c r="AD159" s="259" t="str">
        <f>LOOKUP(AC159,'Wire-Cables Ampacities'!$B$5:$B$35,'Wire-Cables Ampacities'!$C$5:$C$35)</f>
        <v>Buss</v>
      </c>
      <c r="AE159" s="270">
        <f t="shared" si="117"/>
        <v>9.1999999999999993</v>
      </c>
      <c r="AF159" s="268">
        <f t="shared" si="121"/>
        <v>31391.706399999995</v>
      </c>
      <c r="AG159" s="253">
        <v>40</v>
      </c>
      <c r="AH159" s="254">
        <v>55</v>
      </c>
      <c r="AI159" s="267">
        <f t="shared" si="118"/>
        <v>20</v>
      </c>
      <c r="AJ159" s="268">
        <f t="shared" si="119"/>
        <v>1295.3599999999997</v>
      </c>
      <c r="AK159" s="273">
        <f t="shared" si="102"/>
        <v>14.392888888888885</v>
      </c>
      <c r="AL159" s="279">
        <f t="shared" si="103"/>
        <v>7.1964444444444426</v>
      </c>
      <c r="AM159" s="275">
        <v>1200</v>
      </c>
      <c r="AN159" s="264">
        <v>38</v>
      </c>
      <c r="AO159" s="276">
        <v>70</v>
      </c>
      <c r="AP159" s="276">
        <v>28</v>
      </c>
      <c r="AQ159" s="283">
        <f t="shared" si="120"/>
        <v>71.555555555555557</v>
      </c>
      <c r="AR159" s="289">
        <f t="shared" si="122"/>
        <v>30050.039733333328</v>
      </c>
      <c r="AS159" s="93"/>
      <c r="AT159" s="4"/>
    </row>
    <row r="161" spans="1:46" ht="13.5" thickBot="1"/>
    <row r="162" spans="1:46" ht="16.5" thickBot="1">
      <c r="A162" s="95" t="s">
        <v>77</v>
      </c>
      <c r="B162" s="96"/>
      <c r="C162" s="44"/>
      <c r="D162" s="86"/>
      <c r="E162" s="86"/>
      <c r="F162" s="86"/>
      <c r="G162" s="87"/>
      <c r="H162" s="290" t="s">
        <v>98</v>
      </c>
      <c r="I162" s="42"/>
      <c r="J162" s="51"/>
      <c r="K162" s="42"/>
      <c r="L162" s="40"/>
      <c r="M162" s="290" t="s">
        <v>83</v>
      </c>
      <c r="N162" s="42"/>
      <c r="O162" s="44"/>
      <c r="P162" s="44"/>
      <c r="Q162" s="44"/>
      <c r="R162" s="44"/>
      <c r="S162" s="44"/>
      <c r="T162" s="44"/>
      <c r="U162" s="6"/>
      <c r="V162" s="184" t="s">
        <v>84</v>
      </c>
      <c r="W162" s="44"/>
      <c r="X162" s="44"/>
      <c r="Y162" s="44"/>
      <c r="Z162" s="44"/>
      <c r="AA162" s="44"/>
      <c r="AB162" s="44"/>
      <c r="AC162" s="44"/>
      <c r="AD162" s="6"/>
      <c r="AE162" s="291" t="s">
        <v>62</v>
      </c>
      <c r="AF162" s="80"/>
      <c r="AG162" s="290" t="s">
        <v>90</v>
      </c>
      <c r="AH162" s="40"/>
      <c r="AI162" s="292" t="s">
        <v>87</v>
      </c>
      <c r="AJ162" s="90"/>
      <c r="AK162" s="90"/>
      <c r="AL162" s="49"/>
      <c r="AM162" s="189" t="s">
        <v>88</v>
      </c>
      <c r="AN162" s="90"/>
      <c r="AO162" s="90"/>
      <c r="AP162" s="90"/>
      <c r="AQ162" s="90"/>
      <c r="AR162" s="6"/>
      <c r="AS162" s="7"/>
    </row>
    <row r="163" spans="1:46" ht="13.5" thickBot="1">
      <c r="A163" s="97" t="s">
        <v>23</v>
      </c>
      <c r="B163" s="48"/>
      <c r="C163" s="189" t="s">
        <v>76</v>
      </c>
      <c r="D163" s="190"/>
      <c r="E163" s="189" t="s">
        <v>57</v>
      </c>
      <c r="F163" s="191"/>
      <c r="G163" s="192"/>
      <c r="H163" s="76"/>
      <c r="I163" s="90"/>
      <c r="J163" s="175"/>
      <c r="K163" s="90"/>
      <c r="L163" s="49"/>
      <c r="M163" s="47" t="s">
        <v>81</v>
      </c>
      <c r="N163" s="96"/>
      <c r="O163" s="49"/>
      <c r="P163" s="47" t="s">
        <v>82</v>
      </c>
      <c r="Q163" s="96"/>
      <c r="R163" s="49"/>
      <c r="S163" s="47" t="s">
        <v>80</v>
      </c>
      <c r="T163" s="96"/>
      <c r="U163" s="49"/>
      <c r="V163" s="76" t="s">
        <v>78</v>
      </c>
      <c r="W163" s="96"/>
      <c r="X163" s="48"/>
      <c r="Y163" s="76" t="s">
        <v>79</v>
      </c>
      <c r="Z163" s="96"/>
      <c r="AA163" s="48"/>
      <c r="AB163" s="47" t="s">
        <v>80</v>
      </c>
      <c r="AC163" s="96"/>
      <c r="AD163" s="48"/>
      <c r="AE163" s="176"/>
      <c r="AF163" s="177"/>
      <c r="AG163" s="205" t="s">
        <v>94</v>
      </c>
      <c r="AH163" s="179" t="s">
        <v>95</v>
      </c>
      <c r="AI163" s="178"/>
      <c r="AJ163" s="198"/>
      <c r="AK163" s="206" t="s">
        <v>66</v>
      </c>
      <c r="AL163" s="198" t="s">
        <v>66</v>
      </c>
      <c r="AM163" s="47" t="s">
        <v>68</v>
      </c>
      <c r="AN163" s="90"/>
      <c r="AO163" s="90"/>
      <c r="AP163" s="90"/>
      <c r="AQ163" s="49"/>
      <c r="AR163" s="80"/>
      <c r="AS163" s="7"/>
    </row>
    <row r="164" spans="1:46">
      <c r="A164" s="65">
        <v>72</v>
      </c>
      <c r="B164" s="67" t="s">
        <v>92</v>
      </c>
      <c r="C164" s="65" t="s">
        <v>93</v>
      </c>
      <c r="D164" s="67" t="s">
        <v>16</v>
      </c>
      <c r="E164" s="65" t="s">
        <v>99</v>
      </c>
      <c r="F164" s="18" t="s">
        <v>100</v>
      </c>
      <c r="G164" s="1130">
        <v>12</v>
      </c>
      <c r="H164" s="65" t="s">
        <v>27</v>
      </c>
      <c r="I164" s="18"/>
      <c r="J164" s="310">
        <v>35</v>
      </c>
      <c r="K164" s="18" t="s">
        <v>28</v>
      </c>
      <c r="L164" s="156" t="s">
        <v>29</v>
      </c>
      <c r="M164" s="310">
        <v>35</v>
      </c>
      <c r="N164" s="1049" t="s">
        <v>60</v>
      </c>
      <c r="O164" s="1062" t="s">
        <v>363</v>
      </c>
      <c r="P164" s="310">
        <v>30</v>
      </c>
      <c r="Q164" s="1049" t="s">
        <v>60</v>
      </c>
      <c r="R164" s="1062" t="s">
        <v>361</v>
      </c>
      <c r="S164" s="310">
        <v>30</v>
      </c>
      <c r="T164" s="1049" t="s">
        <v>60</v>
      </c>
      <c r="U164" s="1062" t="s">
        <v>361</v>
      </c>
      <c r="V164" s="310">
        <v>15</v>
      </c>
      <c r="W164" s="62" t="s">
        <v>60</v>
      </c>
      <c r="X164" s="1131" t="s">
        <v>85</v>
      </c>
      <c r="Y164" s="310">
        <v>10</v>
      </c>
      <c r="Z164" s="62" t="s">
        <v>60</v>
      </c>
      <c r="AA164" s="1131" t="s">
        <v>85</v>
      </c>
      <c r="AB164" s="310">
        <v>10</v>
      </c>
      <c r="AC164" s="62" t="s">
        <v>60</v>
      </c>
      <c r="AD164" s="1131" t="s">
        <v>85</v>
      </c>
      <c r="AE164" s="77"/>
      <c r="AF164" s="204"/>
      <c r="AG164" s="70">
        <v>40</v>
      </c>
      <c r="AH164" s="19">
        <v>55</v>
      </c>
      <c r="AI164" s="310">
        <v>20</v>
      </c>
      <c r="AJ164" s="71" t="s">
        <v>64</v>
      </c>
      <c r="AK164" s="79">
        <v>90</v>
      </c>
      <c r="AL164" s="19">
        <v>180</v>
      </c>
      <c r="AM164" s="284" t="s">
        <v>91</v>
      </c>
      <c r="AN164" s="18" t="s">
        <v>69</v>
      </c>
      <c r="AO164" s="18" t="s">
        <v>70</v>
      </c>
      <c r="AP164" s="18" t="s">
        <v>71</v>
      </c>
      <c r="AQ164" s="19" t="s">
        <v>73</v>
      </c>
      <c r="AR164" s="285" t="s">
        <v>64</v>
      </c>
      <c r="AS164" s="92"/>
    </row>
    <row r="165" spans="1:46" ht="13.5" thickBot="1">
      <c r="A165" s="187" t="s">
        <v>24</v>
      </c>
      <c r="B165" s="188" t="s">
        <v>53</v>
      </c>
      <c r="C165" s="187" t="s">
        <v>53</v>
      </c>
      <c r="D165" s="188" t="s">
        <v>22</v>
      </c>
      <c r="E165" s="187" t="s">
        <v>53</v>
      </c>
      <c r="F165" s="16" t="s">
        <v>22</v>
      </c>
      <c r="G165" s="1129" t="s">
        <v>55</v>
      </c>
      <c r="H165" s="187" t="s">
        <v>42</v>
      </c>
      <c r="I165" s="16"/>
      <c r="J165" s="1128" t="s">
        <v>59</v>
      </c>
      <c r="K165" s="16" t="s">
        <v>43</v>
      </c>
      <c r="L165" s="195" t="s">
        <v>44</v>
      </c>
      <c r="M165" s="1128" t="s">
        <v>59</v>
      </c>
      <c r="N165" s="1055" t="s">
        <v>22</v>
      </c>
      <c r="O165" s="188" t="s">
        <v>22</v>
      </c>
      <c r="P165" s="1128" t="s">
        <v>59</v>
      </c>
      <c r="Q165" s="1055" t="s">
        <v>22</v>
      </c>
      <c r="R165" s="188" t="s">
        <v>22</v>
      </c>
      <c r="S165" s="1128" t="s">
        <v>59</v>
      </c>
      <c r="T165" s="1055" t="s">
        <v>22</v>
      </c>
      <c r="U165" s="188" t="s">
        <v>22</v>
      </c>
      <c r="V165" s="1128" t="s">
        <v>59</v>
      </c>
      <c r="W165" s="16" t="s">
        <v>22</v>
      </c>
      <c r="X165" s="188" t="s">
        <v>86</v>
      </c>
      <c r="Y165" s="1128" t="s">
        <v>59</v>
      </c>
      <c r="Z165" s="16" t="s">
        <v>22</v>
      </c>
      <c r="AA165" s="188" t="s">
        <v>86</v>
      </c>
      <c r="AB165" s="1128" t="s">
        <v>59</v>
      </c>
      <c r="AC165" s="16" t="s">
        <v>22</v>
      </c>
      <c r="AD165" s="188" t="s">
        <v>86</v>
      </c>
      <c r="AE165" s="75" t="s">
        <v>63</v>
      </c>
      <c r="AF165" s="202" t="s">
        <v>67</v>
      </c>
      <c r="AG165" s="75" t="s">
        <v>61</v>
      </c>
      <c r="AH165" s="17" t="s">
        <v>61</v>
      </c>
      <c r="AI165" s="1128" t="s">
        <v>59</v>
      </c>
      <c r="AJ165" s="17" t="s">
        <v>65</v>
      </c>
      <c r="AK165" s="207" t="s">
        <v>89</v>
      </c>
      <c r="AL165" s="17" t="s">
        <v>89</v>
      </c>
      <c r="AM165" s="75" t="s">
        <v>72</v>
      </c>
      <c r="AN165" s="16" t="s">
        <v>74</v>
      </c>
      <c r="AO165" s="16" t="s">
        <v>74</v>
      </c>
      <c r="AP165" s="16" t="s">
        <v>74</v>
      </c>
      <c r="AQ165" s="17" t="s">
        <v>75</v>
      </c>
      <c r="AR165" s="200" t="s">
        <v>67</v>
      </c>
      <c r="AS165" s="46"/>
    </row>
    <row r="166" spans="1:46">
      <c r="A166" s="70"/>
      <c r="B166" s="19"/>
      <c r="C166" s="65"/>
      <c r="D166" s="67"/>
      <c r="E166" s="65"/>
      <c r="F166" s="18"/>
      <c r="G166" s="19"/>
      <c r="H166" s="65"/>
      <c r="I166" s="18"/>
      <c r="J166" s="73"/>
      <c r="K166" s="18"/>
      <c r="L166" s="156"/>
      <c r="M166" s="54"/>
      <c r="N166" s="1049"/>
      <c r="O166" s="67"/>
      <c r="P166" s="203"/>
      <c r="Q166" s="1049"/>
      <c r="R166" s="1063"/>
      <c r="S166" s="54"/>
      <c r="T166" s="1059"/>
      <c r="U166" s="67"/>
      <c r="V166" s="54"/>
      <c r="W166" s="269"/>
      <c r="X166" s="59"/>
      <c r="Y166" s="54"/>
      <c r="Z166" s="269"/>
      <c r="AA166" s="59"/>
      <c r="AB166" s="54"/>
      <c r="AC166" s="269"/>
      <c r="AD166" s="59"/>
      <c r="AE166" s="70"/>
      <c r="AF166" s="19"/>
      <c r="AG166" s="70"/>
      <c r="AH166" s="19"/>
      <c r="AI166" s="54"/>
      <c r="AJ166" s="19"/>
      <c r="AK166" s="70"/>
      <c r="AL166" s="197"/>
      <c r="AM166" s="70"/>
      <c r="AN166" s="18"/>
      <c r="AO166" s="18"/>
      <c r="AP166" s="18"/>
      <c r="AQ166" s="19"/>
      <c r="AR166" s="286"/>
      <c r="AS166" s="7"/>
    </row>
    <row r="167" spans="1:46">
      <c r="A167" s="72">
        <f>A$164/2</f>
        <v>36</v>
      </c>
      <c r="B167" s="61">
        <v>2.4500000000000002</v>
      </c>
      <c r="C167" s="301">
        <f>A167*B167</f>
        <v>88.2</v>
      </c>
      <c r="D167" s="68">
        <v>5</v>
      </c>
      <c r="E167" s="66">
        <f t="shared" ref="E167:E195" si="123">IF(L167/120*1000*1.5&lt;65,120,IF(L167/208*1000*1.5&lt;65,208,IF(L167/240*1000*1.5&lt;65,240,480)))</f>
        <v>120</v>
      </c>
      <c r="F167" s="45">
        <f>L167*1000/E167</f>
        <v>8.3333333333333339</v>
      </c>
      <c r="G167" s="94">
        <f>G$164</f>
        <v>12</v>
      </c>
      <c r="H167" s="295">
        <f>1.11*(1+G167/100)*C167</f>
        <v>109.65024000000003</v>
      </c>
      <c r="I167" s="25"/>
      <c r="J167" s="52">
        <f>J$164</f>
        <v>35</v>
      </c>
      <c r="K167" s="25">
        <f t="shared" ref="K167:K195" si="124">(1+J167/100)*D167*1.11</f>
        <v>7.4925000000000006</v>
      </c>
      <c r="L167" s="427">
        <f t="shared" ref="L167:L195" si="125">IF(CEILING(H167*K167/1000,0.25)&lt;10,CEILING(H167*K167/1000,0.25),IF(CEILING(H167*K167/1000,0.25)&lt;20,CEILING(H167*K167/1000,0.5),CEILING(H167*K167/1000,1)))</f>
        <v>1</v>
      </c>
      <c r="M167" s="55">
        <f>M$164</f>
        <v>35</v>
      </c>
      <c r="N167" s="838">
        <f t="shared" ref="N167:N195" si="126">(1+M167/100)*F167</f>
        <v>11.250000000000002</v>
      </c>
      <c r="O167" s="68">
        <f>LOOKUP(N167,'Circuit Breakers'!$B$5:$B$38,'Circuit Breakers'!$C$5:$C$38)</f>
        <v>15</v>
      </c>
      <c r="P167" s="199">
        <f t="shared" ref="P167:P195" si="127">P$164</f>
        <v>30</v>
      </c>
      <c r="Q167" s="1056">
        <f>(1+P167/100)*K167</f>
        <v>9.7402500000000014</v>
      </c>
      <c r="R167" s="1064">
        <f>LOOKUP(Q167,'Circuit Breakers'!$B$5:$B$38,'Circuit Breakers'!$C$5:$C$38)</f>
        <v>10</v>
      </c>
      <c r="S167" s="64">
        <f t="shared" ref="S167:S195" si="128">S$164</f>
        <v>30</v>
      </c>
      <c r="T167" s="25">
        <f>(1+S167/100)*D167</f>
        <v>6.5</v>
      </c>
      <c r="U167" s="158">
        <f>LOOKUP(T167,'Circuit Breakers'!$B$5:$B$38,'Circuit Breakers'!$C$5:$C$38)</f>
        <v>10</v>
      </c>
      <c r="V167" s="64">
        <f>V$164</f>
        <v>15</v>
      </c>
      <c r="W167" s="25">
        <f t="shared" ref="W167:W195" si="129">(1+V167/100)*F167</f>
        <v>9.5833333333333339</v>
      </c>
      <c r="X167" s="68" t="str">
        <f>LOOKUP(W167,'Wire-Cables Ampacities'!$B$5:$B$35,'Wire-Cables Ampacities'!$C$5:$C$35)</f>
        <v>#10</v>
      </c>
      <c r="Y167" s="64">
        <f>Y$164</f>
        <v>10</v>
      </c>
      <c r="Z167" s="25">
        <f t="shared" ref="Z167:Z195" si="130">(1+Y167/100)*K167</f>
        <v>8.2417500000000015</v>
      </c>
      <c r="AA167" s="68" t="str">
        <f>LOOKUP(Z167,'Wire-Cables Ampacities'!$B$5:$B$35,'Wire-Cables Ampacities'!$C$5:$C$35)</f>
        <v>#10</v>
      </c>
      <c r="AB167" s="64">
        <f>AB$164</f>
        <v>10</v>
      </c>
      <c r="AC167" s="25">
        <f t="shared" ref="AC167:AC195" si="131">(1+AB167/100)*D167</f>
        <v>5.5</v>
      </c>
      <c r="AD167" s="68" t="str">
        <f>LOOKUP(AC167,'Wire-Cables Ampacities'!$B$5:$B$35,'Wire-Cables Ampacities'!$C$5:$C$35)</f>
        <v>#10</v>
      </c>
      <c r="AE167" s="81">
        <f>(2*D167+0.05*L167*1000)/1000</f>
        <v>0.06</v>
      </c>
      <c r="AF167" s="56">
        <f t="shared" ref="AF167:AF183" si="132">AE167*3.412142*1000</f>
        <v>204.72851999999997</v>
      </c>
      <c r="AG167" s="72">
        <v>40</v>
      </c>
      <c r="AH167" s="15">
        <v>55</v>
      </c>
      <c r="AI167" s="64">
        <f>AI$164</f>
        <v>20</v>
      </c>
      <c r="AJ167" s="56">
        <f>1760*AE167/(AH167-AG167)*(1+AI167/100)</f>
        <v>8.4480000000000004</v>
      </c>
      <c r="AK167" s="271">
        <f t="shared" ref="AK167:AK195" si="133">AJ167/AK$20</f>
        <v>9.3866666666666668E-2</v>
      </c>
      <c r="AL167" s="277">
        <f t="shared" ref="AL167:AL195" si="134">AJ167/AL$20</f>
        <v>4.6933333333333334E-2</v>
      </c>
      <c r="AM167" s="58">
        <v>450</v>
      </c>
      <c r="AN167" s="25">
        <v>24</v>
      </c>
      <c r="AO167" s="3">
        <v>30</v>
      </c>
      <c r="AP167" s="3">
        <v>16</v>
      </c>
      <c r="AQ167" s="281">
        <f>((2*AO167*AN167)+2*(AO167*AP167)+(AN167*AP167))/144</f>
        <v>19.333333333333332</v>
      </c>
      <c r="AR167" s="287">
        <f t="shared" ref="AR167:AR183" si="135">AF167+(1.25*AQ167*(AG167-AH167))</f>
        <v>-157.77147999999997</v>
      </c>
      <c r="AS167" s="93"/>
      <c r="AT167" s="4"/>
    </row>
    <row r="168" spans="1:46">
      <c r="A168" s="98">
        <f t="shared" ref="A168:A195" si="136">A$164/2</f>
        <v>36</v>
      </c>
      <c r="B168" s="304">
        <v>2.4500000000000002</v>
      </c>
      <c r="C168" s="307">
        <f t="shared" ref="C168:C195" si="137">A168*B168</f>
        <v>88.2</v>
      </c>
      <c r="D168" s="101">
        <v>10</v>
      </c>
      <c r="E168" s="100">
        <f t="shared" si="123"/>
        <v>120</v>
      </c>
      <c r="F168" s="102">
        <f t="shared" ref="F168:F195" si="138">L168*1000/E168</f>
        <v>14.583333333333334</v>
      </c>
      <c r="G168" s="103">
        <f t="shared" ref="G168:G195" si="139">G$164</f>
        <v>12</v>
      </c>
      <c r="H168" s="296">
        <f t="shared" ref="H168:H195" si="140">1.11*(1+G168/100)*C168</f>
        <v>109.65024000000003</v>
      </c>
      <c r="I168" s="104"/>
      <c r="J168" s="180">
        <f t="shared" ref="J168:J195" si="141">J$164</f>
        <v>35</v>
      </c>
      <c r="K168" s="104">
        <f t="shared" si="124"/>
        <v>14.985000000000001</v>
      </c>
      <c r="L168" s="428">
        <f t="shared" si="125"/>
        <v>1.75</v>
      </c>
      <c r="M168" s="106">
        <f t="shared" ref="M168:M195" si="142">M$164</f>
        <v>35</v>
      </c>
      <c r="N168" s="1060">
        <f t="shared" si="126"/>
        <v>19.687500000000004</v>
      </c>
      <c r="O168" s="101">
        <f>LOOKUP(N168,'Circuit Breakers'!$B$5:$B$38,'Circuit Breakers'!$C$5:$C$38)</f>
        <v>20</v>
      </c>
      <c r="P168" s="262">
        <f t="shared" si="127"/>
        <v>30</v>
      </c>
      <c r="Q168" s="1057">
        <f t="shared" ref="Q168:Q195" si="143">(1+P168/100)*K168</f>
        <v>19.480500000000003</v>
      </c>
      <c r="R168" s="1065">
        <f>LOOKUP(Q168,'Circuit Breakers'!$B$5:$B$38,'Circuit Breakers'!$C$5:$C$38)</f>
        <v>20</v>
      </c>
      <c r="S168" s="106">
        <f t="shared" si="128"/>
        <v>30</v>
      </c>
      <c r="T168" s="104">
        <f t="shared" ref="T168:T195" si="144">(1+S168/100)*D168</f>
        <v>13</v>
      </c>
      <c r="U168" s="477">
        <f>LOOKUP(T168,'Circuit Breakers'!$B$5:$B$38,'Circuit Breakers'!$C$5:$C$38)</f>
        <v>15</v>
      </c>
      <c r="V168" s="106">
        <f t="shared" ref="V168:V195" si="145">V$164</f>
        <v>15</v>
      </c>
      <c r="W168" s="104">
        <f t="shared" si="129"/>
        <v>16.770833333333332</v>
      </c>
      <c r="X168" s="101" t="str">
        <f>LOOKUP(W168,'Wire-Cables Ampacities'!$B$5:$B$35,'Wire-Cables Ampacities'!$C$5:$C$35)</f>
        <v>#10</v>
      </c>
      <c r="Y168" s="106">
        <f t="shared" ref="Y168:Y195" si="146">Y$164</f>
        <v>10</v>
      </c>
      <c r="Z168" s="104">
        <f t="shared" si="130"/>
        <v>16.483500000000003</v>
      </c>
      <c r="AA168" s="101" t="str">
        <f>LOOKUP(Z168,'Wire-Cables Ampacities'!$B$5:$B$35,'Wire-Cables Ampacities'!$C$5:$C$35)</f>
        <v>#10</v>
      </c>
      <c r="AB168" s="106">
        <f t="shared" ref="AB168:AB195" si="147">AB$164</f>
        <v>10</v>
      </c>
      <c r="AC168" s="104">
        <f t="shared" si="131"/>
        <v>11</v>
      </c>
      <c r="AD168" s="101" t="str">
        <f>LOOKUP(AC168,'Wire-Cables Ampacities'!$B$5:$B$35,'Wire-Cables Ampacities'!$C$5:$C$35)</f>
        <v>#10</v>
      </c>
      <c r="AE168" s="107">
        <f t="shared" ref="AE168:AE195" si="148">(2*D168+0.05*L168*1000)/1000</f>
        <v>0.10750000000000001</v>
      </c>
      <c r="AF168" s="105">
        <f t="shared" si="132"/>
        <v>366.80526499999996</v>
      </c>
      <c r="AG168" s="98">
        <v>40</v>
      </c>
      <c r="AH168" s="99">
        <v>55</v>
      </c>
      <c r="AI168" s="106">
        <f t="shared" ref="AI168:AI195" si="149">AI$164</f>
        <v>20</v>
      </c>
      <c r="AJ168" s="105">
        <f t="shared" ref="AJ168:AJ195" si="150">1760*AE168/(AH168-AG168)*(1+AI168/100)</f>
        <v>15.136000000000001</v>
      </c>
      <c r="AK168" s="272">
        <f t="shared" si="133"/>
        <v>0.16817777777777779</v>
      </c>
      <c r="AL168" s="278">
        <f t="shared" si="134"/>
        <v>8.4088888888888894E-2</v>
      </c>
      <c r="AM168" s="109">
        <v>450</v>
      </c>
      <c r="AN168" s="104">
        <v>24</v>
      </c>
      <c r="AO168" s="110">
        <v>30</v>
      </c>
      <c r="AP168" s="110">
        <v>16</v>
      </c>
      <c r="AQ168" s="282">
        <f t="shared" ref="AQ168:AQ195" si="151">((2*AO168*AN168)+2*(AO168*AP168)+(AN168*AP168))/144</f>
        <v>19.333333333333332</v>
      </c>
      <c r="AR168" s="288">
        <f t="shared" si="135"/>
        <v>4.3052650000000199</v>
      </c>
      <c r="AS168" s="93"/>
      <c r="AT168" s="4"/>
    </row>
    <row r="169" spans="1:46">
      <c r="A169" s="72">
        <f t="shared" si="136"/>
        <v>36</v>
      </c>
      <c r="B169" s="61">
        <v>2.4500000000000002</v>
      </c>
      <c r="C169" s="301">
        <f t="shared" si="137"/>
        <v>88.2</v>
      </c>
      <c r="D169" s="68">
        <v>15</v>
      </c>
      <c r="E169" s="66">
        <f t="shared" si="123"/>
        <v>120</v>
      </c>
      <c r="F169" s="45">
        <f t="shared" si="138"/>
        <v>20.833333333333332</v>
      </c>
      <c r="G169" s="94">
        <f t="shared" si="139"/>
        <v>12</v>
      </c>
      <c r="H169" s="295">
        <f t="shared" si="140"/>
        <v>109.65024000000003</v>
      </c>
      <c r="I169" s="25"/>
      <c r="J169" s="52">
        <f t="shared" si="141"/>
        <v>35</v>
      </c>
      <c r="K169" s="25">
        <f t="shared" si="124"/>
        <v>22.477500000000003</v>
      </c>
      <c r="L169" s="427">
        <f t="shared" si="125"/>
        <v>2.5</v>
      </c>
      <c r="M169" s="64">
        <f t="shared" si="142"/>
        <v>35</v>
      </c>
      <c r="N169" s="838">
        <f t="shared" si="126"/>
        <v>28.125</v>
      </c>
      <c r="O169" s="68">
        <f>LOOKUP(N169,'Circuit Breakers'!$B$5:$B$38,'Circuit Breakers'!$C$5:$C$38)</f>
        <v>30</v>
      </c>
      <c r="P169" s="199">
        <f t="shared" si="127"/>
        <v>30</v>
      </c>
      <c r="Q169" s="1056">
        <f t="shared" si="143"/>
        <v>29.220750000000006</v>
      </c>
      <c r="R169" s="1064">
        <f>LOOKUP(Q169,'Circuit Breakers'!$B$5:$B$38,'Circuit Breakers'!$C$5:$C$38)</f>
        <v>30</v>
      </c>
      <c r="S169" s="64">
        <f t="shared" si="128"/>
        <v>30</v>
      </c>
      <c r="T169" s="25">
        <f t="shared" si="144"/>
        <v>19.5</v>
      </c>
      <c r="U169" s="158">
        <f>LOOKUP(T169,'Circuit Breakers'!$B$5:$B$38,'Circuit Breakers'!$C$5:$C$38)</f>
        <v>20</v>
      </c>
      <c r="V169" s="64">
        <f t="shared" si="145"/>
        <v>15</v>
      </c>
      <c r="W169" s="25">
        <f t="shared" si="129"/>
        <v>23.958333333333329</v>
      </c>
      <c r="X169" s="68" t="str">
        <f>LOOKUP(W169,'Wire-Cables Ampacities'!$B$5:$B$35,'Wire-Cables Ampacities'!$C$5:$C$35)</f>
        <v>#10</v>
      </c>
      <c r="Y169" s="64">
        <f t="shared" si="146"/>
        <v>10</v>
      </c>
      <c r="Z169" s="25">
        <f t="shared" si="130"/>
        <v>24.725250000000006</v>
      </c>
      <c r="AA169" s="68" t="str">
        <f>LOOKUP(Z169,'Wire-Cables Ampacities'!$B$5:$B$35,'Wire-Cables Ampacities'!$C$5:$C$35)</f>
        <v>#10</v>
      </c>
      <c r="AB169" s="64">
        <f t="shared" si="147"/>
        <v>10</v>
      </c>
      <c r="AC169" s="25">
        <f t="shared" si="131"/>
        <v>16.5</v>
      </c>
      <c r="AD169" s="68" t="str">
        <f>LOOKUP(AC169,'Wire-Cables Ampacities'!$B$5:$B$35,'Wire-Cables Ampacities'!$C$5:$C$35)</f>
        <v>#10</v>
      </c>
      <c r="AE169" s="81">
        <f t="shared" si="148"/>
        <v>0.155</v>
      </c>
      <c r="AF169" s="56">
        <f t="shared" si="132"/>
        <v>528.88201000000004</v>
      </c>
      <c r="AG169" s="72">
        <v>40</v>
      </c>
      <c r="AH169" s="15">
        <v>55</v>
      </c>
      <c r="AI169" s="64">
        <f t="shared" si="149"/>
        <v>20</v>
      </c>
      <c r="AJ169" s="56">
        <f t="shared" si="150"/>
        <v>21.824000000000002</v>
      </c>
      <c r="AK169" s="271">
        <f t="shared" si="133"/>
        <v>0.24248888888888892</v>
      </c>
      <c r="AL169" s="277">
        <f t="shared" si="134"/>
        <v>0.12124444444444446</v>
      </c>
      <c r="AM169" s="58">
        <v>600</v>
      </c>
      <c r="AN169" s="25">
        <v>24</v>
      </c>
      <c r="AO169" s="3">
        <v>48</v>
      </c>
      <c r="AP169" s="3">
        <v>16</v>
      </c>
      <c r="AQ169" s="281">
        <f t="shared" si="151"/>
        <v>29.333333333333332</v>
      </c>
      <c r="AR169" s="287">
        <f t="shared" si="135"/>
        <v>-21.117989999999963</v>
      </c>
      <c r="AS169" s="93"/>
      <c r="AT169" s="4"/>
    </row>
    <row r="170" spans="1:46">
      <c r="A170" s="72">
        <f t="shared" si="136"/>
        <v>36</v>
      </c>
      <c r="B170" s="61">
        <v>2.4500000000000002</v>
      </c>
      <c r="C170" s="301">
        <f t="shared" si="137"/>
        <v>88.2</v>
      </c>
      <c r="D170" s="68">
        <v>20</v>
      </c>
      <c r="E170" s="66">
        <f t="shared" si="123"/>
        <v>120</v>
      </c>
      <c r="F170" s="45">
        <f t="shared" si="138"/>
        <v>29.166666666666668</v>
      </c>
      <c r="G170" s="94">
        <f t="shared" si="139"/>
        <v>12</v>
      </c>
      <c r="H170" s="295">
        <f t="shared" si="140"/>
        <v>109.65024000000003</v>
      </c>
      <c r="I170" s="25"/>
      <c r="J170" s="52">
        <f t="shared" si="141"/>
        <v>35</v>
      </c>
      <c r="K170" s="25">
        <f t="shared" si="124"/>
        <v>29.970000000000002</v>
      </c>
      <c r="L170" s="427">
        <f t="shared" si="125"/>
        <v>3.5</v>
      </c>
      <c r="M170" s="55">
        <f t="shared" si="142"/>
        <v>35</v>
      </c>
      <c r="N170" s="838">
        <f t="shared" si="126"/>
        <v>39.375000000000007</v>
      </c>
      <c r="O170" s="68">
        <f>LOOKUP(N170,'Circuit Breakers'!$B$5:$B$38,'Circuit Breakers'!$C$5:$C$38)</f>
        <v>40</v>
      </c>
      <c r="P170" s="199">
        <f t="shared" si="127"/>
        <v>30</v>
      </c>
      <c r="Q170" s="1056">
        <f t="shared" si="143"/>
        <v>38.961000000000006</v>
      </c>
      <c r="R170" s="1064">
        <f>LOOKUP(Q170,'Circuit Breakers'!$B$5:$B$38,'Circuit Breakers'!$C$5:$C$38)</f>
        <v>40</v>
      </c>
      <c r="S170" s="64">
        <f t="shared" si="128"/>
        <v>30</v>
      </c>
      <c r="T170" s="25">
        <f t="shared" si="144"/>
        <v>26</v>
      </c>
      <c r="U170" s="158">
        <f>LOOKUP(T170,'Circuit Breakers'!$B$5:$B$38,'Circuit Breakers'!$C$5:$C$38)</f>
        <v>30</v>
      </c>
      <c r="V170" s="64">
        <f t="shared" si="145"/>
        <v>15</v>
      </c>
      <c r="W170" s="25">
        <f t="shared" si="129"/>
        <v>33.541666666666664</v>
      </c>
      <c r="X170" s="68" t="str">
        <f>LOOKUP(W170,'Wire-Cables Ampacities'!$B$5:$B$35,'Wire-Cables Ampacities'!$C$5:$C$35)</f>
        <v>#10</v>
      </c>
      <c r="Y170" s="64">
        <f t="shared" si="146"/>
        <v>10</v>
      </c>
      <c r="Z170" s="25">
        <f t="shared" si="130"/>
        <v>32.967000000000006</v>
      </c>
      <c r="AA170" s="68" t="str">
        <f>LOOKUP(Z170,'Wire-Cables Ampacities'!$B$5:$B$35,'Wire-Cables Ampacities'!$C$5:$C$35)</f>
        <v>#10</v>
      </c>
      <c r="AB170" s="64">
        <f t="shared" si="147"/>
        <v>10</v>
      </c>
      <c r="AC170" s="25">
        <f t="shared" si="131"/>
        <v>22</v>
      </c>
      <c r="AD170" s="68" t="str">
        <f>LOOKUP(AC170,'Wire-Cables Ampacities'!$B$5:$B$35,'Wire-Cables Ampacities'!$C$5:$C$35)</f>
        <v>#10</v>
      </c>
      <c r="AE170" s="81">
        <f t="shared" si="148"/>
        <v>0.21500000000000002</v>
      </c>
      <c r="AF170" s="56">
        <f t="shared" si="132"/>
        <v>733.61052999999993</v>
      </c>
      <c r="AG170" s="72">
        <v>40</v>
      </c>
      <c r="AH170" s="15">
        <v>55</v>
      </c>
      <c r="AI170" s="64">
        <f t="shared" si="149"/>
        <v>20</v>
      </c>
      <c r="AJ170" s="56">
        <f t="shared" si="150"/>
        <v>30.272000000000002</v>
      </c>
      <c r="AK170" s="271">
        <f t="shared" si="133"/>
        <v>0.33635555555555557</v>
      </c>
      <c r="AL170" s="277">
        <f t="shared" si="134"/>
        <v>0.16817777777777779</v>
      </c>
      <c r="AM170" s="58">
        <v>600</v>
      </c>
      <c r="AN170" s="25">
        <v>24</v>
      </c>
      <c r="AO170" s="3">
        <v>48</v>
      </c>
      <c r="AP170" s="3">
        <v>16</v>
      </c>
      <c r="AQ170" s="281">
        <f t="shared" si="151"/>
        <v>29.333333333333332</v>
      </c>
      <c r="AR170" s="287">
        <f t="shared" si="135"/>
        <v>183.61052999999993</v>
      </c>
      <c r="AS170" s="93"/>
      <c r="AT170" s="4"/>
    </row>
    <row r="171" spans="1:46">
      <c r="A171" s="98">
        <f t="shared" si="136"/>
        <v>36</v>
      </c>
      <c r="B171" s="304">
        <v>2.4500000000000002</v>
      </c>
      <c r="C171" s="307">
        <f t="shared" si="137"/>
        <v>88.2</v>
      </c>
      <c r="D171" s="101">
        <v>25</v>
      </c>
      <c r="E171" s="100">
        <f t="shared" si="123"/>
        <v>120</v>
      </c>
      <c r="F171" s="102">
        <f t="shared" si="138"/>
        <v>35.416666666666664</v>
      </c>
      <c r="G171" s="103">
        <f t="shared" si="139"/>
        <v>12</v>
      </c>
      <c r="H171" s="296">
        <f t="shared" si="140"/>
        <v>109.65024000000003</v>
      </c>
      <c r="I171" s="104"/>
      <c r="J171" s="180">
        <f t="shared" si="141"/>
        <v>35</v>
      </c>
      <c r="K171" s="104">
        <f t="shared" si="124"/>
        <v>37.462500000000006</v>
      </c>
      <c r="L171" s="428">
        <f t="shared" si="125"/>
        <v>4.25</v>
      </c>
      <c r="M171" s="106">
        <f t="shared" si="142"/>
        <v>35</v>
      </c>
      <c r="N171" s="1060">
        <f t="shared" si="126"/>
        <v>47.8125</v>
      </c>
      <c r="O171" s="101">
        <f>LOOKUP(N171,'Circuit Breakers'!$B$5:$B$38,'Circuit Breakers'!$C$5:$C$38)</f>
        <v>50</v>
      </c>
      <c r="P171" s="262">
        <f t="shared" si="127"/>
        <v>30</v>
      </c>
      <c r="Q171" s="1057">
        <f t="shared" si="143"/>
        <v>48.701250000000009</v>
      </c>
      <c r="R171" s="1065">
        <f>LOOKUP(Q171,'Circuit Breakers'!$B$5:$B$38,'Circuit Breakers'!$C$5:$C$38)</f>
        <v>50</v>
      </c>
      <c r="S171" s="106">
        <f t="shared" si="128"/>
        <v>30</v>
      </c>
      <c r="T171" s="104">
        <f t="shared" si="144"/>
        <v>32.5</v>
      </c>
      <c r="U171" s="477">
        <f>LOOKUP(T171,'Circuit Breakers'!$B$5:$B$38,'Circuit Breakers'!$C$5:$C$38)</f>
        <v>40</v>
      </c>
      <c r="V171" s="106">
        <f t="shared" si="145"/>
        <v>15</v>
      </c>
      <c r="W171" s="104">
        <f t="shared" si="129"/>
        <v>40.729166666666664</v>
      </c>
      <c r="X171" s="101" t="str">
        <f>LOOKUP(W171,'Wire-Cables Ampacities'!$B$5:$B$35,'Wire-Cables Ampacities'!$C$5:$C$35)</f>
        <v>#8</v>
      </c>
      <c r="Y171" s="106">
        <f t="shared" si="146"/>
        <v>10</v>
      </c>
      <c r="Z171" s="104">
        <f t="shared" si="130"/>
        <v>41.208750000000009</v>
      </c>
      <c r="AA171" s="101" t="str">
        <f>LOOKUP(Z171,'Wire-Cables Ampacities'!$B$5:$B$35,'Wire-Cables Ampacities'!$C$5:$C$35)</f>
        <v>#8</v>
      </c>
      <c r="AB171" s="106">
        <f t="shared" si="147"/>
        <v>10</v>
      </c>
      <c r="AC171" s="104">
        <f t="shared" si="131"/>
        <v>27.500000000000004</v>
      </c>
      <c r="AD171" s="101" t="str">
        <f>LOOKUP(AC171,'Wire-Cables Ampacities'!$B$5:$B$35,'Wire-Cables Ampacities'!$C$5:$C$35)</f>
        <v>#10</v>
      </c>
      <c r="AE171" s="107">
        <f t="shared" si="148"/>
        <v>0.26250000000000001</v>
      </c>
      <c r="AF171" s="105">
        <f t="shared" si="132"/>
        <v>895.687275</v>
      </c>
      <c r="AG171" s="98">
        <v>40</v>
      </c>
      <c r="AH171" s="99">
        <v>55</v>
      </c>
      <c r="AI171" s="106">
        <f t="shared" si="149"/>
        <v>20</v>
      </c>
      <c r="AJ171" s="105">
        <f t="shared" si="150"/>
        <v>36.96</v>
      </c>
      <c r="AK171" s="272">
        <f t="shared" si="133"/>
        <v>0.41066666666666668</v>
      </c>
      <c r="AL171" s="278">
        <f t="shared" si="134"/>
        <v>0.20533333333333334</v>
      </c>
      <c r="AM171" s="109">
        <v>600</v>
      </c>
      <c r="AN171" s="104">
        <v>24</v>
      </c>
      <c r="AO171" s="110">
        <v>48</v>
      </c>
      <c r="AP171" s="110">
        <v>16</v>
      </c>
      <c r="AQ171" s="282">
        <f t="shared" si="151"/>
        <v>29.333333333333332</v>
      </c>
      <c r="AR171" s="288">
        <f t="shared" si="135"/>
        <v>345.687275</v>
      </c>
      <c r="AS171" s="93"/>
      <c r="AT171" s="4"/>
    </row>
    <row r="172" spans="1:46">
      <c r="A172" s="72">
        <f t="shared" si="136"/>
        <v>36</v>
      </c>
      <c r="B172" s="61">
        <v>2.4500000000000002</v>
      </c>
      <c r="C172" s="301">
        <f t="shared" si="137"/>
        <v>88.2</v>
      </c>
      <c r="D172" s="68">
        <v>30</v>
      </c>
      <c r="E172" s="66">
        <f t="shared" si="123"/>
        <v>120</v>
      </c>
      <c r="F172" s="45">
        <f t="shared" si="138"/>
        <v>41.666666666666664</v>
      </c>
      <c r="G172" s="94">
        <f t="shared" si="139"/>
        <v>12</v>
      </c>
      <c r="H172" s="295">
        <f t="shared" si="140"/>
        <v>109.65024000000003</v>
      </c>
      <c r="I172" s="25"/>
      <c r="J172" s="52">
        <f t="shared" si="141"/>
        <v>35</v>
      </c>
      <c r="K172" s="25">
        <f t="shared" si="124"/>
        <v>44.955000000000005</v>
      </c>
      <c r="L172" s="427">
        <f t="shared" si="125"/>
        <v>5</v>
      </c>
      <c r="M172" s="64">
        <f t="shared" si="142"/>
        <v>35</v>
      </c>
      <c r="N172" s="838">
        <f t="shared" si="126"/>
        <v>56.25</v>
      </c>
      <c r="O172" s="68">
        <f>LOOKUP(N172,'Circuit Breakers'!$B$5:$B$38,'Circuit Breakers'!$C$5:$C$38)</f>
        <v>60</v>
      </c>
      <c r="P172" s="199">
        <f t="shared" si="127"/>
        <v>30</v>
      </c>
      <c r="Q172" s="1056">
        <f t="shared" si="143"/>
        <v>58.441500000000012</v>
      </c>
      <c r="R172" s="1064">
        <f>LOOKUP(Q172,'Circuit Breakers'!$B$5:$B$38,'Circuit Breakers'!$C$5:$C$38)</f>
        <v>60</v>
      </c>
      <c r="S172" s="64">
        <f t="shared" si="128"/>
        <v>30</v>
      </c>
      <c r="T172" s="25">
        <f t="shared" si="144"/>
        <v>39</v>
      </c>
      <c r="U172" s="158">
        <f>LOOKUP(T172,'Circuit Breakers'!$B$5:$B$38,'Circuit Breakers'!$C$5:$C$38)</f>
        <v>40</v>
      </c>
      <c r="V172" s="64">
        <f t="shared" si="145"/>
        <v>15</v>
      </c>
      <c r="W172" s="25">
        <f t="shared" si="129"/>
        <v>47.916666666666657</v>
      </c>
      <c r="X172" s="68" t="str">
        <f>LOOKUP(W172,'Wire-Cables Ampacities'!$B$5:$B$35,'Wire-Cables Ampacities'!$C$5:$C$35)</f>
        <v>#8</v>
      </c>
      <c r="Y172" s="64">
        <f t="shared" si="146"/>
        <v>10</v>
      </c>
      <c r="Z172" s="25">
        <f t="shared" si="130"/>
        <v>49.450500000000012</v>
      </c>
      <c r="AA172" s="68" t="str">
        <f>LOOKUP(Z172,'Wire-Cables Ampacities'!$B$5:$B$35,'Wire-Cables Ampacities'!$C$5:$C$35)</f>
        <v>#8</v>
      </c>
      <c r="AB172" s="64">
        <f t="shared" si="147"/>
        <v>10</v>
      </c>
      <c r="AC172" s="25">
        <f t="shared" si="131"/>
        <v>33</v>
      </c>
      <c r="AD172" s="68" t="str">
        <f>LOOKUP(AC172,'Wire-Cables Ampacities'!$B$5:$B$35,'Wire-Cables Ampacities'!$C$5:$C$35)</f>
        <v>#10</v>
      </c>
      <c r="AE172" s="81">
        <f t="shared" si="148"/>
        <v>0.31</v>
      </c>
      <c r="AF172" s="56">
        <f t="shared" si="132"/>
        <v>1057.7640200000001</v>
      </c>
      <c r="AG172" s="72">
        <v>40</v>
      </c>
      <c r="AH172" s="15">
        <v>55</v>
      </c>
      <c r="AI172" s="64">
        <f t="shared" si="149"/>
        <v>20</v>
      </c>
      <c r="AJ172" s="56">
        <f t="shared" si="150"/>
        <v>43.648000000000003</v>
      </c>
      <c r="AK172" s="271">
        <f t="shared" si="133"/>
        <v>0.48497777777777784</v>
      </c>
      <c r="AL172" s="277">
        <f t="shared" si="134"/>
        <v>0.24248888888888892</v>
      </c>
      <c r="AM172" s="58">
        <v>600</v>
      </c>
      <c r="AN172" s="25">
        <v>24</v>
      </c>
      <c r="AO172" s="3">
        <v>48</v>
      </c>
      <c r="AP172" s="3">
        <v>16</v>
      </c>
      <c r="AQ172" s="281">
        <f t="shared" si="151"/>
        <v>29.333333333333332</v>
      </c>
      <c r="AR172" s="287">
        <f t="shared" si="135"/>
        <v>507.76402000000007</v>
      </c>
      <c r="AS172" s="93"/>
      <c r="AT172" s="4"/>
    </row>
    <row r="173" spans="1:46">
      <c r="A173" s="72">
        <f t="shared" si="136"/>
        <v>36</v>
      </c>
      <c r="B173" s="61">
        <v>2.4500000000000002</v>
      </c>
      <c r="C173" s="301">
        <f t="shared" si="137"/>
        <v>88.2</v>
      </c>
      <c r="D173" s="68">
        <v>35</v>
      </c>
      <c r="E173" s="66">
        <f t="shared" si="123"/>
        <v>208</v>
      </c>
      <c r="F173" s="45">
        <f t="shared" si="138"/>
        <v>28.846153846153847</v>
      </c>
      <c r="G173" s="94">
        <f t="shared" si="139"/>
        <v>12</v>
      </c>
      <c r="H173" s="295">
        <f t="shared" si="140"/>
        <v>109.65024000000003</v>
      </c>
      <c r="I173" s="25"/>
      <c r="J173" s="52">
        <f t="shared" si="141"/>
        <v>35</v>
      </c>
      <c r="K173" s="25">
        <f t="shared" si="124"/>
        <v>52.447500000000005</v>
      </c>
      <c r="L173" s="427">
        <f t="shared" si="125"/>
        <v>6</v>
      </c>
      <c r="M173" s="64">
        <f t="shared" si="142"/>
        <v>35</v>
      </c>
      <c r="N173" s="838">
        <f t="shared" si="126"/>
        <v>38.942307692307693</v>
      </c>
      <c r="O173" s="68">
        <f>LOOKUP(N173,'Circuit Breakers'!$B$5:$B$38,'Circuit Breakers'!$C$5:$C$38)</f>
        <v>40</v>
      </c>
      <c r="P173" s="199">
        <f t="shared" si="127"/>
        <v>30</v>
      </c>
      <c r="Q173" s="1056">
        <f t="shared" si="143"/>
        <v>68.181750000000008</v>
      </c>
      <c r="R173" s="1064">
        <f>LOOKUP(Q173,'Circuit Breakers'!$B$5:$B$38,'Circuit Breakers'!$C$5:$C$38)</f>
        <v>70</v>
      </c>
      <c r="S173" s="64">
        <f t="shared" si="128"/>
        <v>30</v>
      </c>
      <c r="T173" s="25">
        <f t="shared" si="144"/>
        <v>45.5</v>
      </c>
      <c r="U173" s="158">
        <f>LOOKUP(T173,'Circuit Breakers'!$B$5:$B$38,'Circuit Breakers'!$C$5:$C$38)</f>
        <v>50</v>
      </c>
      <c r="V173" s="64">
        <f t="shared" si="145"/>
        <v>15</v>
      </c>
      <c r="W173" s="25">
        <f t="shared" si="129"/>
        <v>33.17307692307692</v>
      </c>
      <c r="X173" s="68" t="str">
        <f>LOOKUP(W173,'Wire-Cables Ampacities'!$B$5:$B$35,'Wire-Cables Ampacities'!$C$5:$C$35)</f>
        <v>#10</v>
      </c>
      <c r="Y173" s="64">
        <f t="shared" si="146"/>
        <v>10</v>
      </c>
      <c r="Z173" s="25">
        <f t="shared" si="130"/>
        <v>57.692250000000008</v>
      </c>
      <c r="AA173" s="68" t="str">
        <f>LOOKUP(Z173,'Wire-Cables Ampacities'!$B$5:$B$35,'Wire-Cables Ampacities'!$C$5:$C$35)</f>
        <v>#8</v>
      </c>
      <c r="AB173" s="64">
        <f t="shared" si="147"/>
        <v>10</v>
      </c>
      <c r="AC173" s="25">
        <f t="shared" si="131"/>
        <v>38.5</v>
      </c>
      <c r="AD173" s="68" t="str">
        <f>LOOKUP(AC173,'Wire-Cables Ampacities'!$B$5:$B$35,'Wire-Cables Ampacities'!$C$5:$C$35)</f>
        <v>#10</v>
      </c>
      <c r="AE173" s="81">
        <f t="shared" si="148"/>
        <v>0.37000000000000005</v>
      </c>
      <c r="AF173" s="56">
        <f t="shared" si="132"/>
        <v>1262.49254</v>
      </c>
      <c r="AG173" s="72">
        <v>40</v>
      </c>
      <c r="AH173" s="15">
        <v>55</v>
      </c>
      <c r="AI173" s="64">
        <f t="shared" si="149"/>
        <v>20</v>
      </c>
      <c r="AJ173" s="56">
        <f t="shared" si="150"/>
        <v>52.095999999999997</v>
      </c>
      <c r="AK173" s="271">
        <f t="shared" si="133"/>
        <v>0.57884444444444438</v>
      </c>
      <c r="AL173" s="277">
        <f t="shared" si="134"/>
        <v>0.28942222222222219</v>
      </c>
      <c r="AM173" s="58">
        <v>600</v>
      </c>
      <c r="AN173" s="25">
        <v>24</v>
      </c>
      <c r="AO173" s="3">
        <v>48</v>
      </c>
      <c r="AP173" s="3">
        <v>16</v>
      </c>
      <c r="AQ173" s="281">
        <f t="shared" si="151"/>
        <v>29.333333333333332</v>
      </c>
      <c r="AR173" s="287">
        <f t="shared" si="135"/>
        <v>712.49253999999996</v>
      </c>
      <c r="AS173" s="93"/>
      <c r="AT173" s="4"/>
    </row>
    <row r="174" spans="1:46">
      <c r="A174" s="98">
        <f t="shared" si="136"/>
        <v>36</v>
      </c>
      <c r="B174" s="304">
        <v>2.4500000000000002</v>
      </c>
      <c r="C174" s="307">
        <f t="shared" si="137"/>
        <v>88.2</v>
      </c>
      <c r="D174" s="101">
        <v>40</v>
      </c>
      <c r="E174" s="100">
        <f t="shared" si="123"/>
        <v>208</v>
      </c>
      <c r="F174" s="102">
        <f t="shared" si="138"/>
        <v>32.45192307692308</v>
      </c>
      <c r="G174" s="103">
        <f t="shared" si="139"/>
        <v>12</v>
      </c>
      <c r="H174" s="296">
        <f t="shared" si="140"/>
        <v>109.65024000000003</v>
      </c>
      <c r="I174" s="104"/>
      <c r="J174" s="180">
        <f t="shared" si="141"/>
        <v>35</v>
      </c>
      <c r="K174" s="104">
        <f t="shared" si="124"/>
        <v>59.940000000000005</v>
      </c>
      <c r="L174" s="428">
        <f t="shared" si="125"/>
        <v>6.75</v>
      </c>
      <c r="M174" s="106">
        <f t="shared" si="142"/>
        <v>35</v>
      </c>
      <c r="N174" s="1060">
        <f t="shared" si="126"/>
        <v>43.81009615384616</v>
      </c>
      <c r="O174" s="101">
        <f>LOOKUP(N174,'Circuit Breakers'!$B$5:$B$38,'Circuit Breakers'!$C$5:$C$38)</f>
        <v>50</v>
      </c>
      <c r="P174" s="262">
        <f t="shared" si="127"/>
        <v>30</v>
      </c>
      <c r="Q174" s="1057">
        <f t="shared" si="143"/>
        <v>77.922000000000011</v>
      </c>
      <c r="R174" s="1065">
        <f>LOOKUP(Q174,'Circuit Breakers'!$B$5:$B$38,'Circuit Breakers'!$C$5:$C$38)</f>
        <v>80</v>
      </c>
      <c r="S174" s="106">
        <f t="shared" si="128"/>
        <v>30</v>
      </c>
      <c r="T174" s="104">
        <f t="shared" si="144"/>
        <v>52</v>
      </c>
      <c r="U174" s="477">
        <f>LOOKUP(T174,'Circuit Breakers'!$B$5:$B$38,'Circuit Breakers'!$C$5:$C$38)</f>
        <v>60</v>
      </c>
      <c r="V174" s="106">
        <f t="shared" si="145"/>
        <v>15</v>
      </c>
      <c r="W174" s="104">
        <f t="shared" si="129"/>
        <v>37.31971153846154</v>
      </c>
      <c r="X174" s="101" t="str">
        <f>LOOKUP(W174,'Wire-Cables Ampacities'!$B$5:$B$35,'Wire-Cables Ampacities'!$C$5:$C$35)</f>
        <v>#10</v>
      </c>
      <c r="Y174" s="106">
        <f t="shared" si="146"/>
        <v>10</v>
      </c>
      <c r="Z174" s="104">
        <f t="shared" si="130"/>
        <v>65.934000000000012</v>
      </c>
      <c r="AA174" s="101" t="str">
        <f>LOOKUP(Z174,'Wire-Cables Ampacities'!$B$5:$B$35,'Wire-Cables Ampacities'!$C$5:$C$35)</f>
        <v>#6</v>
      </c>
      <c r="AB174" s="106">
        <f t="shared" si="147"/>
        <v>10</v>
      </c>
      <c r="AC174" s="104">
        <f t="shared" si="131"/>
        <v>44</v>
      </c>
      <c r="AD174" s="101" t="str">
        <f>LOOKUP(AC174,'Wire-Cables Ampacities'!$B$5:$B$35,'Wire-Cables Ampacities'!$C$5:$C$35)</f>
        <v>#8</v>
      </c>
      <c r="AE174" s="107">
        <f t="shared" si="148"/>
        <v>0.41749999999999998</v>
      </c>
      <c r="AF174" s="105">
        <f t="shared" si="132"/>
        <v>1424.5692849999998</v>
      </c>
      <c r="AG174" s="98">
        <v>40</v>
      </c>
      <c r="AH174" s="99">
        <v>55</v>
      </c>
      <c r="AI174" s="106">
        <f t="shared" si="149"/>
        <v>20</v>
      </c>
      <c r="AJ174" s="105">
        <f t="shared" si="150"/>
        <v>58.783999999999992</v>
      </c>
      <c r="AK174" s="272">
        <f t="shared" si="133"/>
        <v>0.65315555555555549</v>
      </c>
      <c r="AL174" s="278">
        <f t="shared" si="134"/>
        <v>0.32657777777777774</v>
      </c>
      <c r="AM174" s="109">
        <v>600</v>
      </c>
      <c r="AN174" s="104">
        <v>24</v>
      </c>
      <c r="AO174" s="110">
        <v>48</v>
      </c>
      <c r="AP174" s="110">
        <v>16</v>
      </c>
      <c r="AQ174" s="282">
        <f t="shared" si="151"/>
        <v>29.333333333333332</v>
      </c>
      <c r="AR174" s="288">
        <f t="shared" si="135"/>
        <v>874.56928499999981</v>
      </c>
      <c r="AS174" s="93"/>
      <c r="AT174" s="4"/>
    </row>
    <row r="175" spans="1:46">
      <c r="A175" s="72">
        <f t="shared" si="136"/>
        <v>36</v>
      </c>
      <c r="B175" s="61">
        <v>2.4500000000000002</v>
      </c>
      <c r="C175" s="301">
        <f t="shared" si="137"/>
        <v>88.2</v>
      </c>
      <c r="D175" s="68">
        <v>50</v>
      </c>
      <c r="E175" s="66">
        <f t="shared" si="123"/>
        <v>208</v>
      </c>
      <c r="F175" s="45">
        <f t="shared" si="138"/>
        <v>39.66346153846154</v>
      </c>
      <c r="G175" s="94">
        <f t="shared" si="139"/>
        <v>12</v>
      </c>
      <c r="H175" s="295">
        <f t="shared" si="140"/>
        <v>109.65024000000003</v>
      </c>
      <c r="I175" s="25"/>
      <c r="J175" s="52">
        <f t="shared" si="141"/>
        <v>35</v>
      </c>
      <c r="K175" s="25">
        <f t="shared" si="124"/>
        <v>74.925000000000011</v>
      </c>
      <c r="L175" s="427">
        <f t="shared" si="125"/>
        <v>8.25</v>
      </c>
      <c r="M175" s="64">
        <f t="shared" si="142"/>
        <v>35</v>
      </c>
      <c r="N175" s="838">
        <f t="shared" si="126"/>
        <v>53.54567307692308</v>
      </c>
      <c r="O175" s="68">
        <f>LOOKUP(N175,'Circuit Breakers'!$B$5:$B$38,'Circuit Breakers'!$C$5:$C$38)</f>
        <v>60</v>
      </c>
      <c r="P175" s="199">
        <f t="shared" si="127"/>
        <v>30</v>
      </c>
      <c r="Q175" s="1056">
        <f t="shared" si="143"/>
        <v>97.402500000000018</v>
      </c>
      <c r="R175" s="1064">
        <f>LOOKUP(Q175,'Circuit Breakers'!$B$5:$B$38,'Circuit Breakers'!$C$5:$C$38)</f>
        <v>100</v>
      </c>
      <c r="S175" s="64">
        <f t="shared" si="128"/>
        <v>30</v>
      </c>
      <c r="T175" s="25">
        <f t="shared" si="144"/>
        <v>65</v>
      </c>
      <c r="U175" s="158">
        <f>LOOKUP(T175,'Circuit Breakers'!$B$5:$B$38,'Circuit Breakers'!$C$5:$C$38)</f>
        <v>70</v>
      </c>
      <c r="V175" s="64">
        <f t="shared" si="145"/>
        <v>15</v>
      </c>
      <c r="W175" s="25">
        <f t="shared" si="129"/>
        <v>45.612980769230766</v>
      </c>
      <c r="X175" s="68" t="str">
        <f>LOOKUP(W175,'Wire-Cables Ampacities'!$B$5:$B$35,'Wire-Cables Ampacities'!$C$5:$C$35)</f>
        <v>#8</v>
      </c>
      <c r="Y175" s="64">
        <f t="shared" si="146"/>
        <v>10</v>
      </c>
      <c r="Z175" s="25">
        <f t="shared" si="130"/>
        <v>82.417500000000018</v>
      </c>
      <c r="AA175" s="68" t="str">
        <f>LOOKUP(Z175,'Wire-Cables Ampacities'!$B$5:$B$35,'Wire-Cables Ampacities'!$C$5:$C$35)</f>
        <v>#4</v>
      </c>
      <c r="AB175" s="64">
        <f t="shared" si="147"/>
        <v>10</v>
      </c>
      <c r="AC175" s="25">
        <f t="shared" si="131"/>
        <v>55.000000000000007</v>
      </c>
      <c r="AD175" s="68" t="str">
        <f>LOOKUP(AC175,'Wire-Cables Ampacities'!$B$5:$B$35,'Wire-Cables Ampacities'!$C$5:$C$35)</f>
        <v>#8</v>
      </c>
      <c r="AE175" s="81">
        <f t="shared" si="148"/>
        <v>0.51249999999999996</v>
      </c>
      <c r="AF175" s="56">
        <f t="shared" si="132"/>
        <v>1748.7227749999997</v>
      </c>
      <c r="AG175" s="72">
        <v>40</v>
      </c>
      <c r="AH175" s="15">
        <v>55</v>
      </c>
      <c r="AI175" s="64">
        <f t="shared" si="149"/>
        <v>20</v>
      </c>
      <c r="AJ175" s="56">
        <f t="shared" si="150"/>
        <v>72.159999999999982</v>
      </c>
      <c r="AK175" s="271">
        <f t="shared" si="133"/>
        <v>0.80177777777777759</v>
      </c>
      <c r="AL175" s="277">
        <f t="shared" si="134"/>
        <v>0.40088888888888879</v>
      </c>
      <c r="AM175" s="58">
        <v>800</v>
      </c>
      <c r="AN175" s="25">
        <v>34</v>
      </c>
      <c r="AO175" s="3">
        <v>48</v>
      </c>
      <c r="AP175" s="3">
        <v>28</v>
      </c>
      <c r="AQ175" s="281">
        <f t="shared" si="151"/>
        <v>47.944444444444443</v>
      </c>
      <c r="AR175" s="287">
        <f t="shared" si="135"/>
        <v>849.76444166666636</v>
      </c>
      <c r="AS175" s="93"/>
      <c r="AT175" s="4"/>
    </row>
    <row r="176" spans="1:46">
      <c r="A176" s="72">
        <f t="shared" si="136"/>
        <v>36</v>
      </c>
      <c r="B176" s="61">
        <v>2.4500000000000002</v>
      </c>
      <c r="C176" s="301">
        <f t="shared" si="137"/>
        <v>88.2</v>
      </c>
      <c r="D176" s="68">
        <v>60</v>
      </c>
      <c r="E176" s="66">
        <f t="shared" si="123"/>
        <v>240</v>
      </c>
      <c r="F176" s="45">
        <f t="shared" si="138"/>
        <v>41.666666666666664</v>
      </c>
      <c r="G176" s="94">
        <f t="shared" si="139"/>
        <v>12</v>
      </c>
      <c r="H176" s="295">
        <f t="shared" si="140"/>
        <v>109.65024000000003</v>
      </c>
      <c r="I176" s="25"/>
      <c r="J176" s="52">
        <f t="shared" si="141"/>
        <v>35</v>
      </c>
      <c r="K176" s="25">
        <f t="shared" si="124"/>
        <v>89.910000000000011</v>
      </c>
      <c r="L176" s="427">
        <f t="shared" si="125"/>
        <v>10</v>
      </c>
      <c r="M176" s="64">
        <f t="shared" si="142"/>
        <v>35</v>
      </c>
      <c r="N176" s="838">
        <f t="shared" si="126"/>
        <v>56.25</v>
      </c>
      <c r="O176" s="68">
        <f>LOOKUP(N176,'Circuit Breakers'!$B$5:$B$38,'Circuit Breakers'!$C$5:$C$38)</f>
        <v>60</v>
      </c>
      <c r="P176" s="199">
        <f t="shared" si="127"/>
        <v>30</v>
      </c>
      <c r="Q176" s="1056">
        <f t="shared" si="143"/>
        <v>116.88300000000002</v>
      </c>
      <c r="R176" s="1064">
        <f>LOOKUP(Q176,'Circuit Breakers'!$B$5:$B$38,'Circuit Breakers'!$C$5:$C$38)</f>
        <v>125</v>
      </c>
      <c r="S176" s="64">
        <f t="shared" si="128"/>
        <v>30</v>
      </c>
      <c r="T176" s="25">
        <f t="shared" si="144"/>
        <v>78</v>
      </c>
      <c r="U176" s="158">
        <f>LOOKUP(T176,'Circuit Breakers'!$B$5:$B$38,'Circuit Breakers'!$C$5:$C$38)</f>
        <v>80</v>
      </c>
      <c r="V176" s="64">
        <f t="shared" si="145"/>
        <v>15</v>
      </c>
      <c r="W176" s="25">
        <f t="shared" si="129"/>
        <v>47.916666666666657</v>
      </c>
      <c r="X176" s="68" t="str">
        <f>LOOKUP(W176,'Wire-Cables Ampacities'!$B$5:$B$35,'Wire-Cables Ampacities'!$C$5:$C$35)</f>
        <v>#8</v>
      </c>
      <c r="Y176" s="64">
        <f t="shared" si="146"/>
        <v>10</v>
      </c>
      <c r="Z176" s="25">
        <f t="shared" si="130"/>
        <v>98.901000000000025</v>
      </c>
      <c r="AA176" s="68" t="str">
        <f>LOOKUP(Z176,'Wire-Cables Ampacities'!$B$5:$B$35,'Wire-Cables Ampacities'!$C$5:$C$35)</f>
        <v>#4</v>
      </c>
      <c r="AB176" s="64">
        <f t="shared" si="147"/>
        <v>10</v>
      </c>
      <c r="AC176" s="25">
        <f t="shared" si="131"/>
        <v>66</v>
      </c>
      <c r="AD176" s="68" t="str">
        <f>LOOKUP(AC176,'Wire-Cables Ampacities'!$B$5:$B$35,'Wire-Cables Ampacities'!$C$5:$C$35)</f>
        <v>#6</v>
      </c>
      <c r="AE176" s="81">
        <f t="shared" si="148"/>
        <v>0.62</v>
      </c>
      <c r="AF176" s="56">
        <f t="shared" si="132"/>
        <v>2115.5280400000001</v>
      </c>
      <c r="AG176" s="72">
        <v>40</v>
      </c>
      <c r="AH176" s="15">
        <v>55</v>
      </c>
      <c r="AI176" s="64">
        <f t="shared" si="149"/>
        <v>20</v>
      </c>
      <c r="AJ176" s="56">
        <f t="shared" si="150"/>
        <v>87.296000000000006</v>
      </c>
      <c r="AK176" s="271">
        <f t="shared" si="133"/>
        <v>0.96995555555555568</v>
      </c>
      <c r="AL176" s="277">
        <f t="shared" si="134"/>
        <v>0.48497777777777784</v>
      </c>
      <c r="AM176" s="58">
        <v>800</v>
      </c>
      <c r="AN176" s="25">
        <v>34</v>
      </c>
      <c r="AO176" s="3">
        <v>48</v>
      </c>
      <c r="AP176" s="3">
        <v>28</v>
      </c>
      <c r="AQ176" s="281">
        <f t="shared" si="151"/>
        <v>47.944444444444443</v>
      </c>
      <c r="AR176" s="287">
        <f t="shared" si="135"/>
        <v>1216.5697066666667</v>
      </c>
      <c r="AS176" s="93"/>
      <c r="AT176" s="4"/>
    </row>
    <row r="177" spans="1:46">
      <c r="A177" s="98">
        <f t="shared" si="136"/>
        <v>36</v>
      </c>
      <c r="B177" s="304">
        <v>2.4500000000000002</v>
      </c>
      <c r="C177" s="307">
        <f t="shared" si="137"/>
        <v>88.2</v>
      </c>
      <c r="D177" s="101">
        <v>75</v>
      </c>
      <c r="E177" s="100">
        <f t="shared" si="123"/>
        <v>480</v>
      </c>
      <c r="F177" s="102">
        <f t="shared" si="138"/>
        <v>26.041666666666668</v>
      </c>
      <c r="G177" s="103">
        <f t="shared" si="139"/>
        <v>12</v>
      </c>
      <c r="H177" s="296">
        <f t="shared" si="140"/>
        <v>109.65024000000003</v>
      </c>
      <c r="I177" s="104"/>
      <c r="J177" s="180">
        <f t="shared" si="141"/>
        <v>35</v>
      </c>
      <c r="K177" s="104">
        <f t="shared" si="124"/>
        <v>112.3875</v>
      </c>
      <c r="L177" s="428">
        <f t="shared" si="125"/>
        <v>12.5</v>
      </c>
      <c r="M177" s="106">
        <f t="shared" si="142"/>
        <v>35</v>
      </c>
      <c r="N177" s="1060">
        <f t="shared" si="126"/>
        <v>35.156250000000007</v>
      </c>
      <c r="O177" s="101">
        <f>LOOKUP(N177,'Circuit Breakers'!$B$5:$B$38,'Circuit Breakers'!$C$5:$C$38)</f>
        <v>40</v>
      </c>
      <c r="P177" s="262">
        <f t="shared" si="127"/>
        <v>30</v>
      </c>
      <c r="Q177" s="1057">
        <f t="shared" si="143"/>
        <v>146.10375000000002</v>
      </c>
      <c r="R177" s="1065">
        <f>LOOKUP(Q177,'Circuit Breakers'!$B$5:$B$38,'Circuit Breakers'!$C$5:$C$38)</f>
        <v>150</v>
      </c>
      <c r="S177" s="106">
        <f t="shared" si="128"/>
        <v>30</v>
      </c>
      <c r="T177" s="104">
        <f t="shared" si="144"/>
        <v>97.5</v>
      </c>
      <c r="U177" s="477">
        <f>LOOKUP(T177,'Circuit Breakers'!$B$5:$B$38,'Circuit Breakers'!$C$5:$C$38)</f>
        <v>100</v>
      </c>
      <c r="V177" s="106">
        <f t="shared" si="145"/>
        <v>15</v>
      </c>
      <c r="W177" s="104">
        <f t="shared" si="129"/>
        <v>29.947916666666664</v>
      </c>
      <c r="X177" s="101" t="str">
        <f>LOOKUP(W177,'Wire-Cables Ampacities'!$B$5:$B$35,'Wire-Cables Ampacities'!$C$5:$C$35)</f>
        <v>#10</v>
      </c>
      <c r="Y177" s="106">
        <f t="shared" si="146"/>
        <v>10</v>
      </c>
      <c r="Z177" s="104">
        <f t="shared" si="130"/>
        <v>123.62625000000001</v>
      </c>
      <c r="AA177" s="101" t="str">
        <f>LOOKUP(Z177,'Wire-Cables Ampacities'!$B$5:$B$35,'Wire-Cables Ampacities'!$C$5:$C$35)</f>
        <v>#2</v>
      </c>
      <c r="AB177" s="106">
        <f t="shared" si="147"/>
        <v>10</v>
      </c>
      <c r="AC177" s="104">
        <f t="shared" si="131"/>
        <v>82.5</v>
      </c>
      <c r="AD177" s="101" t="str">
        <f>LOOKUP(AC177,'Wire-Cables Ampacities'!$B$5:$B$35,'Wire-Cables Ampacities'!$C$5:$C$35)</f>
        <v>#4</v>
      </c>
      <c r="AE177" s="107">
        <f t="shared" si="148"/>
        <v>0.77500000000000002</v>
      </c>
      <c r="AF177" s="105">
        <f t="shared" si="132"/>
        <v>2644.41005</v>
      </c>
      <c r="AG177" s="98">
        <v>40</v>
      </c>
      <c r="AH177" s="99">
        <v>55</v>
      </c>
      <c r="AI177" s="106">
        <f t="shared" si="149"/>
        <v>20</v>
      </c>
      <c r="AJ177" s="105">
        <f t="shared" si="150"/>
        <v>109.12</v>
      </c>
      <c r="AK177" s="272">
        <f t="shared" si="133"/>
        <v>1.2124444444444444</v>
      </c>
      <c r="AL177" s="278">
        <f t="shared" si="134"/>
        <v>0.60622222222222222</v>
      </c>
      <c r="AM177" s="109">
        <v>800</v>
      </c>
      <c r="AN177" s="104">
        <v>34</v>
      </c>
      <c r="AO177" s="110">
        <v>48</v>
      </c>
      <c r="AP177" s="110">
        <v>28</v>
      </c>
      <c r="AQ177" s="282">
        <f t="shared" si="151"/>
        <v>47.944444444444443</v>
      </c>
      <c r="AR177" s="288">
        <f t="shared" si="135"/>
        <v>1745.4517166666665</v>
      </c>
      <c r="AS177" s="93"/>
      <c r="AT177" s="4"/>
    </row>
    <row r="178" spans="1:46">
      <c r="A178" s="72">
        <f t="shared" si="136"/>
        <v>36</v>
      </c>
      <c r="B178" s="61">
        <v>2.4500000000000002</v>
      </c>
      <c r="C178" s="301">
        <f t="shared" si="137"/>
        <v>88.2</v>
      </c>
      <c r="D178" s="68">
        <v>100</v>
      </c>
      <c r="E178" s="66">
        <f t="shared" si="123"/>
        <v>480</v>
      </c>
      <c r="F178" s="45">
        <f t="shared" si="138"/>
        <v>34.375</v>
      </c>
      <c r="G178" s="94">
        <f t="shared" si="139"/>
        <v>12</v>
      </c>
      <c r="H178" s="295">
        <f t="shared" si="140"/>
        <v>109.65024000000003</v>
      </c>
      <c r="I178" s="25"/>
      <c r="J178" s="52">
        <f t="shared" si="141"/>
        <v>35</v>
      </c>
      <c r="K178" s="25">
        <f t="shared" si="124"/>
        <v>149.85000000000002</v>
      </c>
      <c r="L178" s="427">
        <f t="shared" si="125"/>
        <v>16.5</v>
      </c>
      <c r="M178" s="64">
        <f t="shared" si="142"/>
        <v>35</v>
      </c>
      <c r="N178" s="838">
        <f t="shared" si="126"/>
        <v>46.40625</v>
      </c>
      <c r="O178" s="68">
        <f>LOOKUP(N178,'Circuit Breakers'!$B$5:$B$38,'Circuit Breakers'!$C$5:$C$38)</f>
        <v>50</v>
      </c>
      <c r="P178" s="199">
        <f t="shared" si="127"/>
        <v>30</v>
      </c>
      <c r="Q178" s="1056">
        <f t="shared" si="143"/>
        <v>194.80500000000004</v>
      </c>
      <c r="R178" s="1064">
        <f>LOOKUP(Q178,'Circuit Breakers'!$B$5:$B$38,'Circuit Breakers'!$C$5:$C$38)</f>
        <v>200</v>
      </c>
      <c r="S178" s="64">
        <f t="shared" si="128"/>
        <v>30</v>
      </c>
      <c r="T178" s="25">
        <f t="shared" si="144"/>
        <v>130</v>
      </c>
      <c r="U178" s="158">
        <f>LOOKUP(T178,'Circuit Breakers'!$B$5:$B$38,'Circuit Breakers'!$C$5:$C$38)</f>
        <v>150</v>
      </c>
      <c r="V178" s="64">
        <f t="shared" si="145"/>
        <v>15</v>
      </c>
      <c r="W178" s="25">
        <f t="shared" si="129"/>
        <v>39.53125</v>
      </c>
      <c r="X178" s="68" t="str">
        <f>LOOKUP(W178,'Wire-Cables Ampacities'!$B$5:$B$35,'Wire-Cables Ampacities'!$C$5:$C$35)</f>
        <v>#10</v>
      </c>
      <c r="Y178" s="64">
        <f t="shared" si="146"/>
        <v>10</v>
      </c>
      <c r="Z178" s="25">
        <f t="shared" si="130"/>
        <v>164.83500000000004</v>
      </c>
      <c r="AA178" s="68" t="str">
        <f>LOOKUP(Z178,'Wire-Cables Ampacities'!$B$5:$B$35,'Wire-Cables Ampacities'!$C$5:$C$35)</f>
        <v>#1</v>
      </c>
      <c r="AB178" s="64">
        <f t="shared" si="147"/>
        <v>10</v>
      </c>
      <c r="AC178" s="25">
        <f t="shared" si="131"/>
        <v>110.00000000000001</v>
      </c>
      <c r="AD178" s="68" t="str">
        <f>LOOKUP(AC178,'Wire-Cables Ampacities'!$B$5:$B$35,'Wire-Cables Ampacities'!$C$5:$C$35)</f>
        <v>#3</v>
      </c>
      <c r="AE178" s="81">
        <f t="shared" si="148"/>
        <v>1.0249999999999999</v>
      </c>
      <c r="AF178" s="56">
        <f t="shared" si="132"/>
        <v>3497.4455499999995</v>
      </c>
      <c r="AG178" s="72">
        <v>40</v>
      </c>
      <c r="AH178" s="15">
        <v>55</v>
      </c>
      <c r="AI178" s="64">
        <f t="shared" si="149"/>
        <v>20</v>
      </c>
      <c r="AJ178" s="56">
        <f t="shared" si="150"/>
        <v>144.31999999999996</v>
      </c>
      <c r="AK178" s="271">
        <f t="shared" si="133"/>
        <v>1.6035555555555552</v>
      </c>
      <c r="AL178" s="277">
        <f t="shared" si="134"/>
        <v>0.80177777777777759</v>
      </c>
      <c r="AM178" s="58">
        <v>800</v>
      </c>
      <c r="AN178" s="25">
        <v>34</v>
      </c>
      <c r="AO178" s="3">
        <v>48</v>
      </c>
      <c r="AP178" s="3">
        <v>28</v>
      </c>
      <c r="AQ178" s="281">
        <f t="shared" si="151"/>
        <v>47.944444444444443</v>
      </c>
      <c r="AR178" s="287">
        <f t="shared" si="135"/>
        <v>2598.487216666666</v>
      </c>
      <c r="AS178" s="93"/>
      <c r="AT178" s="4"/>
    </row>
    <row r="179" spans="1:46">
      <c r="A179" s="72">
        <f t="shared" si="136"/>
        <v>36</v>
      </c>
      <c r="B179" s="61">
        <v>2.4500000000000002</v>
      </c>
      <c r="C179" s="301">
        <f t="shared" si="137"/>
        <v>88.2</v>
      </c>
      <c r="D179" s="68">
        <v>125</v>
      </c>
      <c r="E179" s="66">
        <f t="shared" si="123"/>
        <v>480</v>
      </c>
      <c r="F179" s="45">
        <f t="shared" si="138"/>
        <v>43.75</v>
      </c>
      <c r="G179" s="94">
        <f t="shared" si="139"/>
        <v>12</v>
      </c>
      <c r="H179" s="295">
        <f t="shared" si="140"/>
        <v>109.65024000000003</v>
      </c>
      <c r="I179" s="25"/>
      <c r="J179" s="52">
        <f t="shared" si="141"/>
        <v>35</v>
      </c>
      <c r="K179" s="25">
        <f t="shared" si="124"/>
        <v>187.31250000000003</v>
      </c>
      <c r="L179" s="427">
        <f t="shared" si="125"/>
        <v>21</v>
      </c>
      <c r="M179" s="64">
        <f t="shared" si="142"/>
        <v>35</v>
      </c>
      <c r="N179" s="838">
        <f t="shared" si="126"/>
        <v>59.062500000000007</v>
      </c>
      <c r="O179" s="68">
        <f>LOOKUP(N179,'Circuit Breakers'!$B$5:$B$38,'Circuit Breakers'!$C$5:$C$38)</f>
        <v>60</v>
      </c>
      <c r="P179" s="199">
        <f t="shared" si="127"/>
        <v>30</v>
      </c>
      <c r="Q179" s="1056">
        <f t="shared" si="143"/>
        <v>243.50625000000005</v>
      </c>
      <c r="R179" s="1064">
        <f>LOOKUP(Q179,'Circuit Breakers'!$B$5:$B$38,'Circuit Breakers'!$C$5:$C$38)</f>
        <v>250</v>
      </c>
      <c r="S179" s="64">
        <f t="shared" si="128"/>
        <v>30</v>
      </c>
      <c r="T179" s="25">
        <f t="shared" si="144"/>
        <v>162.5</v>
      </c>
      <c r="U179" s="158">
        <f>LOOKUP(T179,'Circuit Breakers'!$B$5:$B$38,'Circuit Breakers'!$C$5:$C$38)</f>
        <v>175</v>
      </c>
      <c r="V179" s="64">
        <f t="shared" si="145"/>
        <v>15</v>
      </c>
      <c r="W179" s="25">
        <f t="shared" si="129"/>
        <v>50.312499999999993</v>
      </c>
      <c r="X179" s="68" t="str">
        <f>LOOKUP(W179,'Wire-Cables Ampacities'!$B$5:$B$35,'Wire-Cables Ampacities'!$C$5:$C$35)</f>
        <v>#8</v>
      </c>
      <c r="Y179" s="64">
        <f t="shared" si="146"/>
        <v>10</v>
      </c>
      <c r="Z179" s="25">
        <f t="shared" si="130"/>
        <v>206.04375000000005</v>
      </c>
      <c r="AA179" s="68" t="str">
        <f>LOOKUP(Z179,'Wire-Cables Ampacities'!$B$5:$B$35,'Wire-Cables Ampacities'!$C$5:$C$35)</f>
        <v>#2/0</v>
      </c>
      <c r="AB179" s="64">
        <f t="shared" si="147"/>
        <v>10</v>
      </c>
      <c r="AC179" s="25">
        <f t="shared" si="131"/>
        <v>137.5</v>
      </c>
      <c r="AD179" s="68" t="str">
        <f>LOOKUP(AC179,'Wire-Cables Ampacities'!$B$5:$B$35,'Wire-Cables Ampacities'!$C$5:$C$35)</f>
        <v>#2</v>
      </c>
      <c r="AE179" s="81">
        <f t="shared" si="148"/>
        <v>1.3</v>
      </c>
      <c r="AF179" s="56">
        <f t="shared" si="132"/>
        <v>4435.7846</v>
      </c>
      <c r="AG179" s="72">
        <v>40</v>
      </c>
      <c r="AH179" s="15">
        <v>55</v>
      </c>
      <c r="AI179" s="64">
        <f t="shared" si="149"/>
        <v>20</v>
      </c>
      <c r="AJ179" s="56">
        <f t="shared" si="150"/>
        <v>183.04</v>
      </c>
      <c r="AK179" s="271">
        <f t="shared" si="133"/>
        <v>2.0337777777777779</v>
      </c>
      <c r="AL179" s="277">
        <f t="shared" si="134"/>
        <v>1.016888888888889</v>
      </c>
      <c r="AM179" s="58">
        <v>800</v>
      </c>
      <c r="AN179" s="25">
        <v>34</v>
      </c>
      <c r="AO179" s="3">
        <v>48</v>
      </c>
      <c r="AP179" s="3">
        <v>28</v>
      </c>
      <c r="AQ179" s="281">
        <f t="shared" si="151"/>
        <v>47.944444444444443</v>
      </c>
      <c r="AR179" s="287">
        <f t="shared" si="135"/>
        <v>3536.8262666666665</v>
      </c>
      <c r="AS179" s="93"/>
      <c r="AT179" s="4"/>
    </row>
    <row r="180" spans="1:46">
      <c r="A180" s="98">
        <f t="shared" si="136"/>
        <v>36</v>
      </c>
      <c r="B180" s="304">
        <v>2.4500000000000002</v>
      </c>
      <c r="C180" s="307">
        <f t="shared" si="137"/>
        <v>88.2</v>
      </c>
      <c r="D180" s="101">
        <v>150</v>
      </c>
      <c r="E180" s="100">
        <f t="shared" si="123"/>
        <v>480</v>
      </c>
      <c r="F180" s="102">
        <f t="shared" si="138"/>
        <v>52.083333333333336</v>
      </c>
      <c r="G180" s="103">
        <f t="shared" si="139"/>
        <v>12</v>
      </c>
      <c r="H180" s="296">
        <f t="shared" si="140"/>
        <v>109.65024000000003</v>
      </c>
      <c r="I180" s="104"/>
      <c r="J180" s="180">
        <f t="shared" si="141"/>
        <v>35</v>
      </c>
      <c r="K180" s="104">
        <f t="shared" si="124"/>
        <v>224.77500000000001</v>
      </c>
      <c r="L180" s="428">
        <f t="shared" si="125"/>
        <v>25</v>
      </c>
      <c r="M180" s="106">
        <f t="shared" si="142"/>
        <v>35</v>
      </c>
      <c r="N180" s="1060">
        <f t="shared" si="126"/>
        <v>70.312500000000014</v>
      </c>
      <c r="O180" s="101">
        <f>LOOKUP(N180,'Circuit Breakers'!$B$5:$B$38,'Circuit Breakers'!$C$5:$C$38)</f>
        <v>80</v>
      </c>
      <c r="P180" s="262">
        <f t="shared" si="127"/>
        <v>30</v>
      </c>
      <c r="Q180" s="1057">
        <f t="shared" si="143"/>
        <v>292.20750000000004</v>
      </c>
      <c r="R180" s="1065">
        <f>LOOKUP(Q180,'Circuit Breakers'!$B$5:$B$38,'Circuit Breakers'!$C$5:$C$38)</f>
        <v>300</v>
      </c>
      <c r="S180" s="106">
        <f t="shared" si="128"/>
        <v>30</v>
      </c>
      <c r="T180" s="104">
        <f t="shared" si="144"/>
        <v>195</v>
      </c>
      <c r="U180" s="477">
        <f>LOOKUP(T180,'Circuit Breakers'!$B$5:$B$38,'Circuit Breakers'!$C$5:$C$38)</f>
        <v>200</v>
      </c>
      <c r="V180" s="106">
        <f t="shared" si="145"/>
        <v>15</v>
      </c>
      <c r="W180" s="104">
        <f t="shared" si="129"/>
        <v>59.895833333333329</v>
      </c>
      <c r="X180" s="101" t="str">
        <f>LOOKUP(W180,'Wire-Cables Ampacities'!$B$5:$B$35,'Wire-Cables Ampacities'!$C$5:$C$35)</f>
        <v>#8</v>
      </c>
      <c r="Y180" s="106">
        <f t="shared" si="146"/>
        <v>10</v>
      </c>
      <c r="Z180" s="104">
        <f t="shared" si="130"/>
        <v>247.25250000000003</v>
      </c>
      <c r="AA180" s="101" t="str">
        <f>LOOKUP(Z180,'Wire-Cables Ampacities'!$B$5:$B$35,'Wire-Cables Ampacities'!$C$5:$C$35)</f>
        <v>#3/0</v>
      </c>
      <c r="AB180" s="106">
        <f t="shared" si="147"/>
        <v>10</v>
      </c>
      <c r="AC180" s="104">
        <f t="shared" si="131"/>
        <v>165</v>
      </c>
      <c r="AD180" s="101" t="str">
        <f>LOOKUP(AC180,'Wire-Cables Ampacities'!$B$5:$B$35,'Wire-Cables Ampacities'!$C$5:$C$35)</f>
        <v>#1</v>
      </c>
      <c r="AE180" s="107">
        <f t="shared" si="148"/>
        <v>1.55</v>
      </c>
      <c r="AF180" s="105">
        <f t="shared" si="132"/>
        <v>5288.8200999999999</v>
      </c>
      <c r="AG180" s="98">
        <v>40</v>
      </c>
      <c r="AH180" s="99">
        <v>55</v>
      </c>
      <c r="AI180" s="106">
        <f t="shared" si="149"/>
        <v>20</v>
      </c>
      <c r="AJ180" s="105">
        <f t="shared" si="150"/>
        <v>218.24</v>
      </c>
      <c r="AK180" s="272">
        <f t="shared" si="133"/>
        <v>2.4248888888888889</v>
      </c>
      <c r="AL180" s="278">
        <f t="shared" si="134"/>
        <v>1.2124444444444444</v>
      </c>
      <c r="AM180" s="109">
        <v>800</v>
      </c>
      <c r="AN180" s="104">
        <v>34</v>
      </c>
      <c r="AO180" s="110">
        <v>48</v>
      </c>
      <c r="AP180" s="110">
        <v>28</v>
      </c>
      <c r="AQ180" s="282">
        <f t="shared" si="151"/>
        <v>47.944444444444443</v>
      </c>
      <c r="AR180" s="288">
        <f t="shared" si="135"/>
        <v>4389.8617666666669</v>
      </c>
      <c r="AS180" s="93"/>
      <c r="AT180" s="4"/>
    </row>
    <row r="181" spans="1:46">
      <c r="A181" s="72">
        <f t="shared" si="136"/>
        <v>36</v>
      </c>
      <c r="B181" s="61">
        <v>2.4500000000000002</v>
      </c>
      <c r="C181" s="301">
        <f t="shared" si="137"/>
        <v>88.2</v>
      </c>
      <c r="D181" s="68">
        <v>175</v>
      </c>
      <c r="E181" s="66">
        <f t="shared" si="123"/>
        <v>480</v>
      </c>
      <c r="F181" s="45">
        <f t="shared" si="138"/>
        <v>60.416666666666664</v>
      </c>
      <c r="G181" s="94">
        <f t="shared" si="139"/>
        <v>12</v>
      </c>
      <c r="H181" s="295">
        <f t="shared" si="140"/>
        <v>109.65024000000003</v>
      </c>
      <c r="I181" s="25"/>
      <c r="J181" s="52">
        <f t="shared" si="141"/>
        <v>35</v>
      </c>
      <c r="K181" s="25">
        <f t="shared" si="124"/>
        <v>262.23750000000007</v>
      </c>
      <c r="L181" s="427">
        <f t="shared" si="125"/>
        <v>29</v>
      </c>
      <c r="M181" s="64">
        <f t="shared" si="142"/>
        <v>35</v>
      </c>
      <c r="N181" s="838">
        <f t="shared" si="126"/>
        <v>81.5625</v>
      </c>
      <c r="O181" s="68">
        <f>LOOKUP(N181,'Circuit Breakers'!$B$5:$B$38,'Circuit Breakers'!$C$5:$C$38)</f>
        <v>90</v>
      </c>
      <c r="P181" s="199">
        <f t="shared" si="127"/>
        <v>30</v>
      </c>
      <c r="Q181" s="1056">
        <f t="shared" si="143"/>
        <v>340.90875000000011</v>
      </c>
      <c r="R181" s="1064">
        <f>LOOKUP(Q181,'Circuit Breakers'!$B$5:$B$38,'Circuit Breakers'!$C$5:$C$38)</f>
        <v>350</v>
      </c>
      <c r="S181" s="64">
        <f t="shared" si="128"/>
        <v>30</v>
      </c>
      <c r="T181" s="25">
        <f t="shared" si="144"/>
        <v>227.5</v>
      </c>
      <c r="U181" s="158">
        <f>LOOKUP(T181,'Circuit Breakers'!$B$5:$B$38,'Circuit Breakers'!$C$5:$C$38)</f>
        <v>250</v>
      </c>
      <c r="V181" s="64">
        <f t="shared" si="145"/>
        <v>15</v>
      </c>
      <c r="W181" s="25">
        <f t="shared" si="129"/>
        <v>69.479166666666657</v>
      </c>
      <c r="X181" s="68" t="str">
        <f>LOOKUP(W181,'Wire-Cables Ampacities'!$B$5:$B$35,'Wire-Cables Ampacities'!$C$5:$C$35)</f>
        <v>#6</v>
      </c>
      <c r="Y181" s="64">
        <f t="shared" si="146"/>
        <v>10</v>
      </c>
      <c r="Z181" s="25">
        <f t="shared" si="130"/>
        <v>288.46125000000012</v>
      </c>
      <c r="AA181" s="68" t="str">
        <f>LOOKUP(Z181,'Wire-Cables Ampacities'!$B$5:$B$35,'Wire-Cables Ampacities'!$C$5:$C$35)</f>
        <v>#4/0</v>
      </c>
      <c r="AB181" s="64">
        <f t="shared" si="147"/>
        <v>10</v>
      </c>
      <c r="AC181" s="25">
        <f t="shared" si="131"/>
        <v>192.50000000000003</v>
      </c>
      <c r="AD181" s="68" t="str">
        <f>LOOKUP(AC181,'Wire-Cables Ampacities'!$B$5:$B$35,'Wire-Cables Ampacities'!$C$5:$C$35)</f>
        <v>#1/0</v>
      </c>
      <c r="AE181" s="81">
        <f t="shared" si="148"/>
        <v>1.8000000000000003</v>
      </c>
      <c r="AF181" s="56">
        <f t="shared" si="132"/>
        <v>6141.8556000000008</v>
      </c>
      <c r="AG181" s="72">
        <v>40</v>
      </c>
      <c r="AH181" s="15">
        <v>55</v>
      </c>
      <c r="AI181" s="64">
        <f t="shared" si="149"/>
        <v>20</v>
      </c>
      <c r="AJ181" s="56">
        <f t="shared" si="150"/>
        <v>253.44</v>
      </c>
      <c r="AK181" s="271">
        <f t="shared" si="133"/>
        <v>2.8159999999999998</v>
      </c>
      <c r="AL181" s="277">
        <f t="shared" si="134"/>
        <v>1.4079999999999999</v>
      </c>
      <c r="AM181" s="58">
        <v>1200</v>
      </c>
      <c r="AN181" s="25">
        <v>38</v>
      </c>
      <c r="AO181" s="3">
        <v>70</v>
      </c>
      <c r="AP181" s="3">
        <v>28</v>
      </c>
      <c r="AQ181" s="281">
        <f t="shared" si="151"/>
        <v>71.555555555555557</v>
      </c>
      <c r="AR181" s="287">
        <f t="shared" si="135"/>
        <v>4800.1889333333338</v>
      </c>
      <c r="AS181" s="93"/>
      <c r="AT181" s="4"/>
    </row>
    <row r="182" spans="1:46">
      <c r="A182" s="72">
        <f t="shared" si="136"/>
        <v>36</v>
      </c>
      <c r="B182" s="61">
        <v>2.4500000000000002</v>
      </c>
      <c r="C182" s="301">
        <f t="shared" si="137"/>
        <v>88.2</v>
      </c>
      <c r="D182" s="68">
        <v>200</v>
      </c>
      <c r="E182" s="66">
        <f t="shared" si="123"/>
        <v>480</v>
      </c>
      <c r="F182" s="45">
        <f t="shared" si="138"/>
        <v>68.75</v>
      </c>
      <c r="G182" s="94">
        <f t="shared" si="139"/>
        <v>12</v>
      </c>
      <c r="H182" s="295">
        <f t="shared" si="140"/>
        <v>109.65024000000003</v>
      </c>
      <c r="I182" s="25"/>
      <c r="J182" s="52">
        <f t="shared" si="141"/>
        <v>35</v>
      </c>
      <c r="K182" s="25">
        <f t="shared" si="124"/>
        <v>299.70000000000005</v>
      </c>
      <c r="L182" s="427">
        <f t="shared" si="125"/>
        <v>33</v>
      </c>
      <c r="M182" s="64">
        <f t="shared" si="142"/>
        <v>35</v>
      </c>
      <c r="N182" s="838">
        <f t="shared" si="126"/>
        <v>92.8125</v>
      </c>
      <c r="O182" s="68">
        <f>LOOKUP(N182,'Circuit Breakers'!$B$5:$B$38,'Circuit Breakers'!$C$5:$C$38)</f>
        <v>100</v>
      </c>
      <c r="P182" s="199">
        <f t="shared" si="127"/>
        <v>30</v>
      </c>
      <c r="Q182" s="1056">
        <f t="shared" si="143"/>
        <v>389.61000000000007</v>
      </c>
      <c r="R182" s="1064">
        <f>LOOKUP(Q182,'Circuit Breakers'!$B$5:$B$38,'Circuit Breakers'!$C$5:$C$38)</f>
        <v>400</v>
      </c>
      <c r="S182" s="64">
        <f t="shared" si="128"/>
        <v>30</v>
      </c>
      <c r="T182" s="25">
        <f t="shared" si="144"/>
        <v>260</v>
      </c>
      <c r="U182" s="158">
        <f>LOOKUP(T182,'Circuit Breakers'!$B$5:$B$38,'Circuit Breakers'!$C$5:$C$38)</f>
        <v>300</v>
      </c>
      <c r="V182" s="64">
        <f t="shared" si="145"/>
        <v>15</v>
      </c>
      <c r="W182" s="25">
        <f t="shared" si="129"/>
        <v>79.0625</v>
      </c>
      <c r="X182" s="68" t="str">
        <f>LOOKUP(W182,'Wire-Cables Ampacities'!$B$5:$B$35,'Wire-Cables Ampacities'!$C$5:$C$35)</f>
        <v>#6</v>
      </c>
      <c r="Y182" s="64">
        <f t="shared" si="146"/>
        <v>10</v>
      </c>
      <c r="Z182" s="25">
        <f t="shared" si="130"/>
        <v>329.67000000000007</v>
      </c>
      <c r="AA182" s="68" t="str">
        <f>LOOKUP(Z182,'Wire-Cables Ampacities'!$B$5:$B$35,'Wire-Cables Ampacities'!$C$5:$C$35)</f>
        <v>250MCM</v>
      </c>
      <c r="AB182" s="64">
        <f t="shared" si="147"/>
        <v>10</v>
      </c>
      <c r="AC182" s="25">
        <f t="shared" si="131"/>
        <v>220.00000000000003</v>
      </c>
      <c r="AD182" s="68" t="str">
        <f>LOOKUP(AC182,'Wire-Cables Ampacities'!$B$5:$B$35,'Wire-Cables Ampacities'!$C$5:$C$35)</f>
        <v>#2/0</v>
      </c>
      <c r="AE182" s="81">
        <f t="shared" si="148"/>
        <v>2.0499999999999998</v>
      </c>
      <c r="AF182" s="56">
        <f t="shared" si="132"/>
        <v>6994.8910999999989</v>
      </c>
      <c r="AG182" s="72">
        <v>40</v>
      </c>
      <c r="AH182" s="15">
        <v>55</v>
      </c>
      <c r="AI182" s="64">
        <f t="shared" si="149"/>
        <v>20</v>
      </c>
      <c r="AJ182" s="56">
        <f t="shared" si="150"/>
        <v>288.63999999999993</v>
      </c>
      <c r="AK182" s="271">
        <f t="shared" si="133"/>
        <v>3.2071111111111104</v>
      </c>
      <c r="AL182" s="277">
        <f t="shared" si="134"/>
        <v>1.6035555555555552</v>
      </c>
      <c r="AM182" s="58">
        <v>1200</v>
      </c>
      <c r="AN182" s="25">
        <v>38</v>
      </c>
      <c r="AO182" s="3">
        <v>70</v>
      </c>
      <c r="AP182" s="3">
        <v>28</v>
      </c>
      <c r="AQ182" s="281">
        <f t="shared" si="151"/>
        <v>71.555555555555557</v>
      </c>
      <c r="AR182" s="287">
        <f t="shared" si="135"/>
        <v>5653.2244333333319</v>
      </c>
      <c r="AS182" s="93"/>
      <c r="AT182" s="4"/>
    </row>
    <row r="183" spans="1:46">
      <c r="A183" s="98">
        <f t="shared" si="136"/>
        <v>36</v>
      </c>
      <c r="B183" s="304">
        <v>2.4500000000000002</v>
      </c>
      <c r="C183" s="307">
        <f t="shared" si="137"/>
        <v>88.2</v>
      </c>
      <c r="D183" s="101">
        <v>250</v>
      </c>
      <c r="E183" s="100">
        <f t="shared" si="123"/>
        <v>480</v>
      </c>
      <c r="F183" s="102">
        <f t="shared" si="138"/>
        <v>87.5</v>
      </c>
      <c r="G183" s="103">
        <f t="shared" si="139"/>
        <v>12</v>
      </c>
      <c r="H183" s="296">
        <f t="shared" si="140"/>
        <v>109.65024000000003</v>
      </c>
      <c r="I183" s="104"/>
      <c r="J183" s="180">
        <f t="shared" si="141"/>
        <v>35</v>
      </c>
      <c r="K183" s="104">
        <f t="shared" si="124"/>
        <v>374.62500000000006</v>
      </c>
      <c r="L183" s="428">
        <f t="shared" si="125"/>
        <v>42</v>
      </c>
      <c r="M183" s="106">
        <f t="shared" si="142"/>
        <v>35</v>
      </c>
      <c r="N183" s="1060">
        <f t="shared" si="126"/>
        <v>118.12500000000001</v>
      </c>
      <c r="O183" s="101">
        <f>LOOKUP(N183,'Circuit Breakers'!$B$5:$B$38,'Circuit Breakers'!$C$5:$C$38)</f>
        <v>125</v>
      </c>
      <c r="P183" s="262">
        <f t="shared" si="127"/>
        <v>30</v>
      </c>
      <c r="Q183" s="1057">
        <f t="shared" si="143"/>
        <v>487.0125000000001</v>
      </c>
      <c r="R183" s="1065">
        <f>LOOKUP(Q183,'Circuit Breakers'!$B$5:$B$38,'Circuit Breakers'!$C$5:$C$38)</f>
        <v>500</v>
      </c>
      <c r="S183" s="106">
        <f t="shared" si="128"/>
        <v>30</v>
      </c>
      <c r="T183" s="104">
        <f t="shared" si="144"/>
        <v>325</v>
      </c>
      <c r="U183" s="477">
        <f>LOOKUP(T183,'Circuit Breakers'!$B$5:$B$38,'Circuit Breakers'!$C$5:$C$38)</f>
        <v>350</v>
      </c>
      <c r="V183" s="106">
        <f t="shared" si="145"/>
        <v>15</v>
      </c>
      <c r="W183" s="104">
        <f t="shared" si="129"/>
        <v>100.62499999999999</v>
      </c>
      <c r="X183" s="101" t="str">
        <f>LOOKUP(W183,'Wire-Cables Ampacities'!$B$5:$B$35,'Wire-Cables Ampacities'!$C$5:$C$35)</f>
        <v>#4</v>
      </c>
      <c r="Y183" s="106">
        <f t="shared" si="146"/>
        <v>10</v>
      </c>
      <c r="Z183" s="104">
        <f t="shared" si="130"/>
        <v>412.08750000000009</v>
      </c>
      <c r="AA183" s="101" t="str">
        <f>LOOKUP(Z183,'Wire-Cables Ampacities'!$B$5:$B$35,'Wire-Cables Ampacities'!$C$5:$C$35)</f>
        <v>#2/0 2x</v>
      </c>
      <c r="AB183" s="106">
        <f t="shared" si="147"/>
        <v>10</v>
      </c>
      <c r="AC183" s="104">
        <f t="shared" si="131"/>
        <v>275</v>
      </c>
      <c r="AD183" s="101" t="str">
        <f>LOOKUP(AC183,'Wire-Cables Ampacities'!$B$5:$B$35,'Wire-Cables Ampacities'!$C$5:$C$35)</f>
        <v>#4/0</v>
      </c>
      <c r="AE183" s="107">
        <f t="shared" si="148"/>
        <v>2.6</v>
      </c>
      <c r="AF183" s="105">
        <f t="shared" si="132"/>
        <v>8871.5691999999999</v>
      </c>
      <c r="AG183" s="98">
        <v>40</v>
      </c>
      <c r="AH183" s="99">
        <v>55</v>
      </c>
      <c r="AI183" s="106">
        <f t="shared" si="149"/>
        <v>20</v>
      </c>
      <c r="AJ183" s="105">
        <f t="shared" si="150"/>
        <v>366.08</v>
      </c>
      <c r="AK183" s="272">
        <f t="shared" si="133"/>
        <v>4.0675555555555558</v>
      </c>
      <c r="AL183" s="278">
        <f t="shared" si="134"/>
        <v>2.0337777777777779</v>
      </c>
      <c r="AM183" s="109">
        <v>1200</v>
      </c>
      <c r="AN183" s="104">
        <v>38</v>
      </c>
      <c r="AO183" s="110">
        <v>70</v>
      </c>
      <c r="AP183" s="110">
        <v>28</v>
      </c>
      <c r="AQ183" s="282">
        <f t="shared" si="151"/>
        <v>71.555555555555557</v>
      </c>
      <c r="AR183" s="288">
        <f t="shared" si="135"/>
        <v>7529.9025333333329</v>
      </c>
      <c r="AS183" s="93"/>
      <c r="AT183" s="4"/>
    </row>
    <row r="184" spans="1:46">
      <c r="A184" s="72">
        <f t="shared" si="136"/>
        <v>36</v>
      </c>
      <c r="B184" s="61">
        <v>2.4500000000000002</v>
      </c>
      <c r="C184" s="301">
        <f t="shared" si="137"/>
        <v>88.2</v>
      </c>
      <c r="D184" s="68">
        <v>300</v>
      </c>
      <c r="E184" s="66">
        <f t="shared" si="123"/>
        <v>480</v>
      </c>
      <c r="F184" s="45">
        <f t="shared" si="138"/>
        <v>104.16666666666667</v>
      </c>
      <c r="G184" s="94">
        <f t="shared" si="139"/>
        <v>12</v>
      </c>
      <c r="H184" s="295">
        <f t="shared" si="140"/>
        <v>109.65024000000003</v>
      </c>
      <c r="I184" s="25"/>
      <c r="J184" s="52">
        <f t="shared" si="141"/>
        <v>35</v>
      </c>
      <c r="K184" s="25">
        <f t="shared" si="124"/>
        <v>449.55</v>
      </c>
      <c r="L184" s="427">
        <f t="shared" si="125"/>
        <v>50</v>
      </c>
      <c r="M184" s="64">
        <f t="shared" si="142"/>
        <v>35</v>
      </c>
      <c r="N184" s="838">
        <f t="shared" si="126"/>
        <v>140.62500000000003</v>
      </c>
      <c r="O184" s="68">
        <f>LOOKUP(N184,'Circuit Breakers'!$B$5:$B$38,'Circuit Breakers'!$C$5:$C$38)</f>
        <v>150</v>
      </c>
      <c r="P184" s="199">
        <f t="shared" si="127"/>
        <v>30</v>
      </c>
      <c r="Q184" s="1056">
        <f t="shared" si="143"/>
        <v>584.41500000000008</v>
      </c>
      <c r="R184" s="1064">
        <f>LOOKUP(Q184,'Circuit Breakers'!$B$5:$B$38,'Circuit Breakers'!$C$5:$C$38)</f>
        <v>600</v>
      </c>
      <c r="S184" s="64">
        <f t="shared" si="128"/>
        <v>30</v>
      </c>
      <c r="T184" s="25">
        <f t="shared" si="144"/>
        <v>390</v>
      </c>
      <c r="U184" s="158">
        <f>LOOKUP(T184,'Circuit Breakers'!$B$5:$B$38,'Circuit Breakers'!$C$5:$C$38)</f>
        <v>400</v>
      </c>
      <c r="V184" s="64">
        <f t="shared" si="145"/>
        <v>15</v>
      </c>
      <c r="W184" s="25">
        <f t="shared" si="129"/>
        <v>119.79166666666666</v>
      </c>
      <c r="X184" s="68" t="str">
        <f>LOOKUP(W184,'Wire-Cables Ampacities'!$B$5:$B$35,'Wire-Cables Ampacities'!$C$5:$C$35)</f>
        <v>#3</v>
      </c>
      <c r="Y184" s="64">
        <f t="shared" si="146"/>
        <v>10</v>
      </c>
      <c r="Z184" s="25">
        <f t="shared" si="130"/>
        <v>494.50500000000005</v>
      </c>
      <c r="AA184" s="68" t="str">
        <f>LOOKUP(Z184,'Wire-Cables Ampacities'!$B$5:$B$35,'Wire-Cables Ampacities'!$C$5:$C$35)</f>
        <v>#3/0 2x</v>
      </c>
      <c r="AB184" s="64">
        <f t="shared" si="147"/>
        <v>10</v>
      </c>
      <c r="AC184" s="25">
        <f t="shared" si="131"/>
        <v>330</v>
      </c>
      <c r="AD184" s="68" t="str">
        <f>LOOKUP(AC184,'Wire-Cables Ampacities'!$B$5:$B$35,'Wire-Cables Ampacities'!$C$5:$C$35)</f>
        <v>250MCM</v>
      </c>
      <c r="AE184" s="81">
        <f t="shared" si="148"/>
        <v>3.1</v>
      </c>
      <c r="AF184" s="56">
        <f t="shared" ref="AF184:AF195" si="152">AE184*3.412142*1000</f>
        <v>10577.6402</v>
      </c>
      <c r="AG184" s="72">
        <v>40</v>
      </c>
      <c r="AH184" s="15">
        <v>55</v>
      </c>
      <c r="AI184" s="64">
        <f t="shared" si="149"/>
        <v>20</v>
      </c>
      <c r="AJ184" s="56">
        <f t="shared" si="150"/>
        <v>436.48</v>
      </c>
      <c r="AK184" s="271">
        <f t="shared" si="133"/>
        <v>4.8497777777777777</v>
      </c>
      <c r="AL184" s="277">
        <f t="shared" si="134"/>
        <v>2.4248888888888889</v>
      </c>
      <c r="AM184" s="58">
        <v>1200</v>
      </c>
      <c r="AN184" s="25">
        <v>38</v>
      </c>
      <c r="AO184" s="3">
        <v>70</v>
      </c>
      <c r="AP184" s="3">
        <v>28</v>
      </c>
      <c r="AQ184" s="281">
        <f t="shared" si="151"/>
        <v>71.555555555555557</v>
      </c>
      <c r="AR184" s="287">
        <f t="shared" ref="AR184:AR195" si="153">AF184+(1.25*AQ184*(AG184-AH184))</f>
        <v>9235.9735333333338</v>
      </c>
      <c r="AS184" s="93"/>
      <c r="AT184" s="4"/>
    </row>
    <row r="185" spans="1:46">
      <c r="A185" s="72">
        <f t="shared" si="136"/>
        <v>36</v>
      </c>
      <c r="B185" s="61">
        <v>2.4500000000000002</v>
      </c>
      <c r="C185" s="301">
        <f t="shared" si="137"/>
        <v>88.2</v>
      </c>
      <c r="D185" s="68">
        <v>350</v>
      </c>
      <c r="E185" s="66">
        <f t="shared" si="123"/>
        <v>480</v>
      </c>
      <c r="F185" s="45">
        <f t="shared" si="138"/>
        <v>120.83333333333333</v>
      </c>
      <c r="G185" s="94">
        <f t="shared" si="139"/>
        <v>12</v>
      </c>
      <c r="H185" s="295">
        <f t="shared" si="140"/>
        <v>109.65024000000003</v>
      </c>
      <c r="I185" s="25"/>
      <c r="J185" s="52">
        <f t="shared" si="141"/>
        <v>35</v>
      </c>
      <c r="K185" s="25">
        <f t="shared" si="124"/>
        <v>524.47500000000014</v>
      </c>
      <c r="L185" s="427">
        <f t="shared" si="125"/>
        <v>58</v>
      </c>
      <c r="M185" s="64">
        <f t="shared" si="142"/>
        <v>35</v>
      </c>
      <c r="N185" s="838">
        <f t="shared" si="126"/>
        <v>163.125</v>
      </c>
      <c r="O185" s="68">
        <f>LOOKUP(N185,'Circuit Breakers'!$B$5:$B$38,'Circuit Breakers'!$C$5:$C$38)</f>
        <v>175</v>
      </c>
      <c r="P185" s="199">
        <f t="shared" si="127"/>
        <v>30</v>
      </c>
      <c r="Q185" s="1056">
        <f t="shared" si="143"/>
        <v>681.81750000000022</v>
      </c>
      <c r="R185" s="1064">
        <f>LOOKUP(Q185,'Circuit Breakers'!$B$5:$B$38,'Circuit Breakers'!$C$5:$C$38)</f>
        <v>700</v>
      </c>
      <c r="S185" s="64">
        <f t="shared" si="128"/>
        <v>30</v>
      </c>
      <c r="T185" s="25">
        <f t="shared" si="144"/>
        <v>455</v>
      </c>
      <c r="U185" s="158">
        <f>LOOKUP(T185,'Circuit Breakers'!$B$5:$B$38,'Circuit Breakers'!$C$5:$C$38)</f>
        <v>500</v>
      </c>
      <c r="V185" s="64">
        <f t="shared" si="145"/>
        <v>15</v>
      </c>
      <c r="W185" s="25">
        <f t="shared" si="129"/>
        <v>138.95833333333331</v>
      </c>
      <c r="X185" s="68" t="str">
        <f>LOOKUP(W185,'Wire-Cables Ampacities'!$B$5:$B$35,'Wire-Cables Ampacities'!$C$5:$C$35)</f>
        <v>#2</v>
      </c>
      <c r="Y185" s="64">
        <f t="shared" si="146"/>
        <v>10</v>
      </c>
      <c r="Z185" s="25">
        <f t="shared" si="130"/>
        <v>576.92250000000024</v>
      </c>
      <c r="AA185" s="68" t="str">
        <f>LOOKUP(Z185,'Wire-Cables Ampacities'!$B$5:$B$35,'Wire-Cables Ampacities'!$C$5:$C$35)</f>
        <v>#4/0 2x</v>
      </c>
      <c r="AB185" s="64">
        <f t="shared" si="147"/>
        <v>10</v>
      </c>
      <c r="AC185" s="25">
        <f t="shared" si="131"/>
        <v>385.00000000000006</v>
      </c>
      <c r="AD185" s="68" t="str">
        <f>LOOKUP(AC185,'Wire-Cables Ampacities'!$B$5:$B$35,'Wire-Cables Ampacities'!$C$5:$C$35)</f>
        <v>#2/0 2x</v>
      </c>
      <c r="AE185" s="81">
        <f t="shared" si="148"/>
        <v>3.6000000000000005</v>
      </c>
      <c r="AF185" s="56">
        <f t="shared" si="152"/>
        <v>12283.711200000002</v>
      </c>
      <c r="AG185" s="72">
        <v>40</v>
      </c>
      <c r="AH185" s="15">
        <v>55</v>
      </c>
      <c r="AI185" s="64">
        <f t="shared" si="149"/>
        <v>20</v>
      </c>
      <c r="AJ185" s="56">
        <f t="shared" si="150"/>
        <v>506.88</v>
      </c>
      <c r="AK185" s="271">
        <f t="shared" si="133"/>
        <v>5.6319999999999997</v>
      </c>
      <c r="AL185" s="277">
        <f t="shared" si="134"/>
        <v>2.8159999999999998</v>
      </c>
      <c r="AM185" s="58">
        <v>1200</v>
      </c>
      <c r="AN185" s="25">
        <v>38</v>
      </c>
      <c r="AO185" s="3">
        <v>70</v>
      </c>
      <c r="AP185" s="3">
        <v>28</v>
      </c>
      <c r="AQ185" s="281">
        <f t="shared" si="151"/>
        <v>71.555555555555557</v>
      </c>
      <c r="AR185" s="287">
        <f t="shared" si="153"/>
        <v>10942.044533333335</v>
      </c>
      <c r="AS185" s="93"/>
      <c r="AT185" s="4"/>
    </row>
    <row r="186" spans="1:46">
      <c r="A186" s="98">
        <f t="shared" si="136"/>
        <v>36</v>
      </c>
      <c r="B186" s="304">
        <v>2.4500000000000002</v>
      </c>
      <c r="C186" s="307">
        <f t="shared" si="137"/>
        <v>88.2</v>
      </c>
      <c r="D186" s="101">
        <v>400</v>
      </c>
      <c r="E186" s="100">
        <f t="shared" si="123"/>
        <v>480</v>
      </c>
      <c r="F186" s="102">
        <f t="shared" si="138"/>
        <v>137.5</v>
      </c>
      <c r="G186" s="103">
        <f t="shared" si="139"/>
        <v>12</v>
      </c>
      <c r="H186" s="296">
        <f t="shared" si="140"/>
        <v>109.65024000000003</v>
      </c>
      <c r="I186" s="104"/>
      <c r="J186" s="180">
        <f t="shared" si="141"/>
        <v>35</v>
      </c>
      <c r="K186" s="104">
        <f t="shared" si="124"/>
        <v>599.40000000000009</v>
      </c>
      <c r="L186" s="428">
        <f t="shared" si="125"/>
        <v>66</v>
      </c>
      <c r="M186" s="106">
        <f t="shared" si="142"/>
        <v>35</v>
      </c>
      <c r="N186" s="1060">
        <f t="shared" si="126"/>
        <v>185.625</v>
      </c>
      <c r="O186" s="101">
        <f>LOOKUP(N186,'Circuit Breakers'!$B$5:$B$38,'Circuit Breakers'!$C$5:$C$38)</f>
        <v>200</v>
      </c>
      <c r="P186" s="262">
        <f t="shared" si="127"/>
        <v>30</v>
      </c>
      <c r="Q186" s="1057">
        <f t="shared" si="143"/>
        <v>779.22000000000014</v>
      </c>
      <c r="R186" s="1065">
        <f>LOOKUP(Q186,'Circuit Breakers'!$B$5:$B$38,'Circuit Breakers'!$C$5:$C$38)</f>
        <v>800</v>
      </c>
      <c r="S186" s="106">
        <f t="shared" si="128"/>
        <v>30</v>
      </c>
      <c r="T186" s="104">
        <f t="shared" si="144"/>
        <v>520</v>
      </c>
      <c r="U186" s="477">
        <f>LOOKUP(T186,'Circuit Breakers'!$B$5:$B$38,'Circuit Breakers'!$C$5:$C$38)</f>
        <v>600</v>
      </c>
      <c r="V186" s="106">
        <f t="shared" si="145"/>
        <v>15</v>
      </c>
      <c r="W186" s="104">
        <f t="shared" si="129"/>
        <v>158.125</v>
      </c>
      <c r="X186" s="101" t="str">
        <f>LOOKUP(W186,'Wire-Cables Ampacities'!$B$5:$B$35,'Wire-Cables Ampacities'!$C$5:$C$35)</f>
        <v>#1</v>
      </c>
      <c r="Y186" s="106">
        <f t="shared" si="146"/>
        <v>10</v>
      </c>
      <c r="Z186" s="104">
        <f t="shared" si="130"/>
        <v>659.34000000000015</v>
      </c>
      <c r="AA186" s="101" t="str">
        <f>LOOKUP(Z186,'Wire-Cables Ampacities'!$B$5:$B$35,'Wire-Cables Ampacities'!$C$5:$C$35)</f>
        <v>300MCM 2x</v>
      </c>
      <c r="AB186" s="106">
        <f t="shared" si="147"/>
        <v>10</v>
      </c>
      <c r="AC186" s="104">
        <f t="shared" si="131"/>
        <v>440.00000000000006</v>
      </c>
      <c r="AD186" s="101" t="str">
        <f>LOOKUP(AC186,'Wire-Cables Ampacities'!$B$5:$B$35,'Wire-Cables Ampacities'!$C$5:$C$35)</f>
        <v>#3/0 2x</v>
      </c>
      <c r="AE186" s="107">
        <f t="shared" si="148"/>
        <v>4.0999999999999996</v>
      </c>
      <c r="AF186" s="105">
        <f t="shared" si="152"/>
        <v>13989.782199999998</v>
      </c>
      <c r="AG186" s="98">
        <v>40</v>
      </c>
      <c r="AH186" s="99">
        <v>55</v>
      </c>
      <c r="AI186" s="106">
        <f t="shared" si="149"/>
        <v>20</v>
      </c>
      <c r="AJ186" s="105">
        <f t="shared" si="150"/>
        <v>577.27999999999986</v>
      </c>
      <c r="AK186" s="272">
        <f t="shared" si="133"/>
        <v>6.4142222222222207</v>
      </c>
      <c r="AL186" s="278">
        <f t="shared" si="134"/>
        <v>3.2071111111111104</v>
      </c>
      <c r="AM186" s="109">
        <v>1200</v>
      </c>
      <c r="AN186" s="104">
        <v>38</v>
      </c>
      <c r="AO186" s="110">
        <v>70</v>
      </c>
      <c r="AP186" s="110">
        <v>28</v>
      </c>
      <c r="AQ186" s="282">
        <f t="shared" si="151"/>
        <v>71.555555555555557</v>
      </c>
      <c r="AR186" s="288">
        <f t="shared" si="153"/>
        <v>12648.115533333332</v>
      </c>
      <c r="AS186" s="93"/>
      <c r="AT186" s="4"/>
    </row>
    <row r="187" spans="1:46">
      <c r="A187" s="72">
        <f t="shared" si="136"/>
        <v>36</v>
      </c>
      <c r="B187" s="61">
        <v>2.4500000000000002</v>
      </c>
      <c r="C187" s="301">
        <f t="shared" si="137"/>
        <v>88.2</v>
      </c>
      <c r="D187" s="68">
        <v>450</v>
      </c>
      <c r="E187" s="66">
        <f t="shared" si="123"/>
        <v>480</v>
      </c>
      <c r="F187" s="45">
        <f t="shared" si="138"/>
        <v>154.16666666666666</v>
      </c>
      <c r="G187" s="94">
        <f t="shared" si="139"/>
        <v>12</v>
      </c>
      <c r="H187" s="295">
        <f t="shared" si="140"/>
        <v>109.65024000000003</v>
      </c>
      <c r="I187" s="25"/>
      <c r="J187" s="52">
        <f t="shared" si="141"/>
        <v>35</v>
      </c>
      <c r="K187" s="25">
        <f t="shared" si="124"/>
        <v>674.32500000000005</v>
      </c>
      <c r="L187" s="427">
        <f t="shared" si="125"/>
        <v>74</v>
      </c>
      <c r="M187" s="64">
        <f t="shared" si="142"/>
        <v>35</v>
      </c>
      <c r="N187" s="838">
        <f t="shared" si="126"/>
        <v>208.125</v>
      </c>
      <c r="O187" s="68">
        <f>LOOKUP(N187,'Circuit Breakers'!$B$5:$B$38,'Circuit Breakers'!$C$5:$C$38)</f>
        <v>225</v>
      </c>
      <c r="P187" s="199">
        <f t="shared" si="127"/>
        <v>30</v>
      </c>
      <c r="Q187" s="1056">
        <f t="shared" si="143"/>
        <v>876.62250000000006</v>
      </c>
      <c r="R187" s="1064">
        <f>LOOKUP(Q187,'Circuit Breakers'!$B$5:$B$38,'Circuit Breakers'!$C$5:$C$38)</f>
        <v>900</v>
      </c>
      <c r="S187" s="64">
        <f t="shared" si="128"/>
        <v>30</v>
      </c>
      <c r="T187" s="25">
        <f t="shared" si="144"/>
        <v>585</v>
      </c>
      <c r="U187" s="158">
        <f>LOOKUP(T187,'Circuit Breakers'!$B$5:$B$38,'Circuit Breakers'!$C$5:$C$38)</f>
        <v>600</v>
      </c>
      <c r="V187" s="64">
        <f t="shared" si="145"/>
        <v>15</v>
      </c>
      <c r="W187" s="25">
        <f t="shared" si="129"/>
        <v>177.29166666666663</v>
      </c>
      <c r="X187" s="68" t="str">
        <f>LOOKUP(W187,'Wire-Cables Ampacities'!$B$5:$B$35,'Wire-Cables Ampacities'!$C$5:$C$35)</f>
        <v>#1/0</v>
      </c>
      <c r="Y187" s="64">
        <f t="shared" si="146"/>
        <v>10</v>
      </c>
      <c r="Z187" s="25">
        <f t="shared" si="130"/>
        <v>741.75750000000016</v>
      </c>
      <c r="AA187" s="68" t="str">
        <f>LOOKUP(Z187,'Wire-Cables Ampacities'!$B$5:$B$35,'Wire-Cables Ampacities'!$C$5:$C$35)</f>
        <v>Buss</v>
      </c>
      <c r="AB187" s="64">
        <f t="shared" si="147"/>
        <v>10</v>
      </c>
      <c r="AC187" s="25">
        <f t="shared" si="131"/>
        <v>495.00000000000006</v>
      </c>
      <c r="AD187" s="68" t="str">
        <f>LOOKUP(AC187,'Wire-Cables Ampacities'!$B$5:$B$35,'Wire-Cables Ampacities'!$C$5:$C$35)</f>
        <v>#3/0 2x</v>
      </c>
      <c r="AE187" s="81">
        <f t="shared" si="148"/>
        <v>4.5999999999999996</v>
      </c>
      <c r="AF187" s="56">
        <f t="shared" si="152"/>
        <v>15695.853199999998</v>
      </c>
      <c r="AG187" s="72">
        <v>40</v>
      </c>
      <c r="AH187" s="15">
        <v>55</v>
      </c>
      <c r="AI187" s="64">
        <f t="shared" si="149"/>
        <v>20</v>
      </c>
      <c r="AJ187" s="56">
        <f t="shared" si="150"/>
        <v>647.67999999999984</v>
      </c>
      <c r="AK187" s="271">
        <f t="shared" si="133"/>
        <v>7.1964444444444426</v>
      </c>
      <c r="AL187" s="277">
        <f t="shared" si="134"/>
        <v>3.5982222222222213</v>
      </c>
      <c r="AM187" s="58">
        <v>1200</v>
      </c>
      <c r="AN187" s="25">
        <v>38</v>
      </c>
      <c r="AO187" s="3">
        <v>70</v>
      </c>
      <c r="AP187" s="3">
        <v>28</v>
      </c>
      <c r="AQ187" s="281">
        <f t="shared" si="151"/>
        <v>71.555555555555557</v>
      </c>
      <c r="AR187" s="287">
        <f t="shared" si="153"/>
        <v>14354.186533333332</v>
      </c>
      <c r="AS187" s="93"/>
      <c r="AT187" s="4"/>
    </row>
    <row r="188" spans="1:46">
      <c r="A188" s="72">
        <f t="shared" si="136"/>
        <v>36</v>
      </c>
      <c r="B188" s="61">
        <v>2.4500000000000002</v>
      </c>
      <c r="C188" s="301">
        <f t="shared" si="137"/>
        <v>88.2</v>
      </c>
      <c r="D188" s="68">
        <v>500</v>
      </c>
      <c r="E188" s="66">
        <f t="shared" si="123"/>
        <v>480</v>
      </c>
      <c r="F188" s="45">
        <f t="shared" si="138"/>
        <v>172.91666666666666</v>
      </c>
      <c r="G188" s="94">
        <f t="shared" si="139"/>
        <v>12</v>
      </c>
      <c r="H188" s="295">
        <f t="shared" si="140"/>
        <v>109.65024000000003</v>
      </c>
      <c r="I188" s="25"/>
      <c r="J188" s="52">
        <f t="shared" si="141"/>
        <v>35</v>
      </c>
      <c r="K188" s="25">
        <f t="shared" si="124"/>
        <v>749.25000000000011</v>
      </c>
      <c r="L188" s="427">
        <f t="shared" si="125"/>
        <v>83</v>
      </c>
      <c r="M188" s="64">
        <f t="shared" si="142"/>
        <v>35</v>
      </c>
      <c r="N188" s="838">
        <f t="shared" si="126"/>
        <v>233.4375</v>
      </c>
      <c r="O188" s="68">
        <f>LOOKUP(N188,'Circuit Breakers'!$B$5:$B$38,'Circuit Breakers'!$C$5:$C$38)</f>
        <v>250</v>
      </c>
      <c r="P188" s="199">
        <f t="shared" si="127"/>
        <v>30</v>
      </c>
      <c r="Q188" s="1056">
        <f t="shared" si="143"/>
        <v>974.0250000000002</v>
      </c>
      <c r="R188" s="1064">
        <f>LOOKUP(Q188,'Circuit Breakers'!$B$5:$B$38,'Circuit Breakers'!$C$5:$C$38)</f>
        <v>1000</v>
      </c>
      <c r="S188" s="64">
        <f t="shared" si="128"/>
        <v>30</v>
      </c>
      <c r="T188" s="25">
        <f t="shared" si="144"/>
        <v>650</v>
      </c>
      <c r="U188" s="158">
        <f>LOOKUP(T188,'Circuit Breakers'!$B$5:$B$38,'Circuit Breakers'!$C$5:$C$38)</f>
        <v>700</v>
      </c>
      <c r="V188" s="64">
        <f t="shared" si="145"/>
        <v>15</v>
      </c>
      <c r="W188" s="25">
        <f t="shared" si="129"/>
        <v>198.85416666666663</v>
      </c>
      <c r="X188" s="68" t="str">
        <f>LOOKUP(W188,'Wire-Cables Ampacities'!$B$5:$B$35,'Wire-Cables Ampacities'!$C$5:$C$35)</f>
        <v>#2/0</v>
      </c>
      <c r="Y188" s="64">
        <f t="shared" si="146"/>
        <v>10</v>
      </c>
      <c r="Z188" s="25">
        <f t="shared" si="130"/>
        <v>824.17500000000018</v>
      </c>
      <c r="AA188" s="68" t="str">
        <f>LOOKUP(Z188,'Wire-Cables Ampacities'!$B$5:$B$35,'Wire-Cables Ampacities'!$C$5:$C$35)</f>
        <v>Buss</v>
      </c>
      <c r="AB188" s="64">
        <f t="shared" si="147"/>
        <v>10</v>
      </c>
      <c r="AC188" s="25">
        <f t="shared" si="131"/>
        <v>550</v>
      </c>
      <c r="AD188" s="68" t="str">
        <f>LOOKUP(AC188,'Wire-Cables Ampacities'!$B$5:$B$35,'Wire-Cables Ampacities'!$C$5:$C$35)</f>
        <v>#4/0 2x</v>
      </c>
      <c r="AE188" s="81">
        <f t="shared" si="148"/>
        <v>5.15</v>
      </c>
      <c r="AF188" s="56">
        <f t="shared" si="152"/>
        <v>17572.531300000002</v>
      </c>
      <c r="AG188" s="72">
        <v>40</v>
      </c>
      <c r="AH188" s="15">
        <v>55</v>
      </c>
      <c r="AI188" s="64">
        <f t="shared" si="149"/>
        <v>20</v>
      </c>
      <c r="AJ188" s="56">
        <f t="shared" si="150"/>
        <v>725.12</v>
      </c>
      <c r="AK188" s="271">
        <f t="shared" si="133"/>
        <v>8.0568888888888885</v>
      </c>
      <c r="AL188" s="277">
        <f t="shared" si="134"/>
        <v>4.0284444444444443</v>
      </c>
      <c r="AM188" s="58">
        <v>1200</v>
      </c>
      <c r="AN188" s="25">
        <v>38</v>
      </c>
      <c r="AO188" s="3">
        <v>70</v>
      </c>
      <c r="AP188" s="3">
        <v>28</v>
      </c>
      <c r="AQ188" s="281">
        <f t="shared" si="151"/>
        <v>71.555555555555557</v>
      </c>
      <c r="AR188" s="287">
        <f t="shared" si="153"/>
        <v>16230.864633333336</v>
      </c>
      <c r="AS188" s="93"/>
      <c r="AT188" s="4"/>
    </row>
    <row r="189" spans="1:46">
      <c r="A189" s="98">
        <f t="shared" si="136"/>
        <v>36</v>
      </c>
      <c r="B189" s="304">
        <v>2.4500000000000002</v>
      </c>
      <c r="C189" s="307">
        <f t="shared" si="137"/>
        <v>88.2</v>
      </c>
      <c r="D189" s="101">
        <v>600</v>
      </c>
      <c r="E189" s="100">
        <f t="shared" si="123"/>
        <v>480</v>
      </c>
      <c r="F189" s="102">
        <f t="shared" si="138"/>
        <v>206.25</v>
      </c>
      <c r="G189" s="103">
        <f t="shared" si="139"/>
        <v>12</v>
      </c>
      <c r="H189" s="296">
        <f t="shared" si="140"/>
        <v>109.65024000000003</v>
      </c>
      <c r="I189" s="104"/>
      <c r="J189" s="180">
        <f t="shared" si="141"/>
        <v>35</v>
      </c>
      <c r="K189" s="104">
        <f t="shared" si="124"/>
        <v>899.1</v>
      </c>
      <c r="L189" s="428">
        <f t="shared" si="125"/>
        <v>99</v>
      </c>
      <c r="M189" s="106">
        <f t="shared" si="142"/>
        <v>35</v>
      </c>
      <c r="N189" s="1060">
        <f t="shared" si="126"/>
        <v>278.4375</v>
      </c>
      <c r="O189" s="101">
        <f>LOOKUP(N189,'Circuit Breakers'!$B$5:$B$38,'Circuit Breakers'!$C$5:$C$38)</f>
        <v>300</v>
      </c>
      <c r="P189" s="262">
        <f t="shared" si="127"/>
        <v>30</v>
      </c>
      <c r="Q189" s="1057">
        <f t="shared" si="143"/>
        <v>1168.8300000000002</v>
      </c>
      <c r="R189" s="1065">
        <f>LOOKUP(Q189,'Circuit Breakers'!$B$5:$B$38,'Circuit Breakers'!$C$5:$C$38)</f>
        <v>1200</v>
      </c>
      <c r="S189" s="106">
        <f t="shared" si="128"/>
        <v>30</v>
      </c>
      <c r="T189" s="104">
        <f t="shared" si="144"/>
        <v>780</v>
      </c>
      <c r="U189" s="477">
        <f>LOOKUP(T189,'Circuit Breakers'!$B$5:$B$38,'Circuit Breakers'!$C$5:$C$38)</f>
        <v>800</v>
      </c>
      <c r="V189" s="106">
        <f t="shared" si="145"/>
        <v>15</v>
      </c>
      <c r="W189" s="104">
        <f t="shared" si="129"/>
        <v>237.18749999999997</v>
      </c>
      <c r="X189" s="101" t="str">
        <f>LOOKUP(W189,'Wire-Cables Ampacities'!$B$5:$B$35,'Wire-Cables Ampacities'!$C$5:$C$35)</f>
        <v>#3/0</v>
      </c>
      <c r="Y189" s="106">
        <f t="shared" si="146"/>
        <v>10</v>
      </c>
      <c r="Z189" s="104">
        <f t="shared" si="130"/>
        <v>989.0100000000001</v>
      </c>
      <c r="AA189" s="101" t="str">
        <f>LOOKUP(Z189,'Wire-Cables Ampacities'!$B$5:$B$35,'Wire-Cables Ampacities'!$C$5:$C$35)</f>
        <v>Buss</v>
      </c>
      <c r="AB189" s="106">
        <f t="shared" si="147"/>
        <v>10</v>
      </c>
      <c r="AC189" s="104">
        <f t="shared" si="131"/>
        <v>660</v>
      </c>
      <c r="AD189" s="101" t="str">
        <f>LOOKUP(AC189,'Wire-Cables Ampacities'!$B$5:$B$35,'Wire-Cables Ampacities'!$C$5:$C$35)</f>
        <v>300MCM 2x</v>
      </c>
      <c r="AE189" s="107">
        <f t="shared" si="148"/>
        <v>6.15</v>
      </c>
      <c r="AF189" s="105">
        <f t="shared" si="152"/>
        <v>20984.673300000002</v>
      </c>
      <c r="AG189" s="98">
        <v>40</v>
      </c>
      <c r="AH189" s="99">
        <v>55</v>
      </c>
      <c r="AI189" s="106">
        <f t="shared" si="149"/>
        <v>20</v>
      </c>
      <c r="AJ189" s="105">
        <f t="shared" si="150"/>
        <v>865.92</v>
      </c>
      <c r="AK189" s="272">
        <f t="shared" si="133"/>
        <v>9.6213333333333324</v>
      </c>
      <c r="AL189" s="278">
        <f t="shared" si="134"/>
        <v>4.8106666666666662</v>
      </c>
      <c r="AM189" s="109">
        <v>1200</v>
      </c>
      <c r="AN189" s="104">
        <v>38</v>
      </c>
      <c r="AO189" s="110">
        <v>70</v>
      </c>
      <c r="AP189" s="110">
        <v>28</v>
      </c>
      <c r="AQ189" s="282">
        <f t="shared" si="151"/>
        <v>71.555555555555557</v>
      </c>
      <c r="AR189" s="288">
        <f t="shared" si="153"/>
        <v>19643.006633333334</v>
      </c>
      <c r="AS189" s="93"/>
      <c r="AT189" s="4"/>
    </row>
    <row r="190" spans="1:46">
      <c r="A190" s="72">
        <f t="shared" si="136"/>
        <v>36</v>
      </c>
      <c r="B190" s="61">
        <v>2.4500000000000002</v>
      </c>
      <c r="C190" s="301">
        <f t="shared" si="137"/>
        <v>88.2</v>
      </c>
      <c r="D190" s="68">
        <v>700</v>
      </c>
      <c r="E190" s="66">
        <f t="shared" si="123"/>
        <v>480</v>
      </c>
      <c r="F190" s="45">
        <f t="shared" si="138"/>
        <v>241.66666666666666</v>
      </c>
      <c r="G190" s="94">
        <f t="shared" si="139"/>
        <v>12</v>
      </c>
      <c r="H190" s="295">
        <f t="shared" si="140"/>
        <v>109.65024000000003</v>
      </c>
      <c r="I190" s="25"/>
      <c r="J190" s="52">
        <f t="shared" si="141"/>
        <v>35</v>
      </c>
      <c r="K190" s="25">
        <f t="shared" si="124"/>
        <v>1048.9500000000003</v>
      </c>
      <c r="L190" s="427">
        <f t="shared" si="125"/>
        <v>116</v>
      </c>
      <c r="M190" s="64">
        <f t="shared" si="142"/>
        <v>35</v>
      </c>
      <c r="N190" s="838">
        <f t="shared" si="126"/>
        <v>326.25</v>
      </c>
      <c r="O190" s="68">
        <f>LOOKUP(N190,'Circuit Breakers'!$B$5:$B$38,'Circuit Breakers'!$C$5:$C$38)</f>
        <v>350</v>
      </c>
      <c r="P190" s="199">
        <f t="shared" si="127"/>
        <v>30</v>
      </c>
      <c r="Q190" s="1056">
        <f t="shared" si="143"/>
        <v>1363.6350000000004</v>
      </c>
      <c r="R190" s="1064" t="str">
        <f>LOOKUP(Q190,'Circuit Breakers'!$B$5:$B$38,'Circuit Breakers'!$C$5:$C$38)</f>
        <v>Check</v>
      </c>
      <c r="S190" s="64">
        <f t="shared" si="128"/>
        <v>30</v>
      </c>
      <c r="T190" s="25">
        <f t="shared" si="144"/>
        <v>910</v>
      </c>
      <c r="U190" s="158">
        <f>LOOKUP(T190,'Circuit Breakers'!$B$5:$B$38,'Circuit Breakers'!$C$5:$C$38)</f>
        <v>1000</v>
      </c>
      <c r="V190" s="64">
        <f t="shared" si="145"/>
        <v>15</v>
      </c>
      <c r="W190" s="25">
        <f t="shared" si="129"/>
        <v>277.91666666666663</v>
      </c>
      <c r="X190" s="68" t="str">
        <f>LOOKUP(W190,'Wire-Cables Ampacities'!$B$5:$B$35,'Wire-Cables Ampacities'!$C$5:$C$35)</f>
        <v>#4/0</v>
      </c>
      <c r="Y190" s="64">
        <f t="shared" si="146"/>
        <v>10</v>
      </c>
      <c r="Z190" s="25">
        <f t="shared" si="130"/>
        <v>1153.8450000000005</v>
      </c>
      <c r="AA190" s="68" t="str">
        <f>LOOKUP(Z190,'Wire-Cables Ampacities'!$B$5:$B$35,'Wire-Cables Ampacities'!$C$5:$C$35)</f>
        <v>Buss</v>
      </c>
      <c r="AB190" s="64">
        <f t="shared" si="147"/>
        <v>10</v>
      </c>
      <c r="AC190" s="25">
        <f t="shared" si="131"/>
        <v>770.00000000000011</v>
      </c>
      <c r="AD190" s="68" t="str">
        <f>LOOKUP(AC190,'Wire-Cables Ampacities'!$B$5:$B$35,'Wire-Cables Ampacities'!$C$5:$C$35)</f>
        <v>Buss</v>
      </c>
      <c r="AE190" s="81">
        <f t="shared" si="148"/>
        <v>7.2000000000000011</v>
      </c>
      <c r="AF190" s="56">
        <f t="shared" si="152"/>
        <v>24567.422400000003</v>
      </c>
      <c r="AG190" s="72">
        <v>40</v>
      </c>
      <c r="AH190" s="15">
        <v>55</v>
      </c>
      <c r="AI190" s="64">
        <f t="shared" si="149"/>
        <v>20</v>
      </c>
      <c r="AJ190" s="56">
        <f t="shared" si="150"/>
        <v>1013.76</v>
      </c>
      <c r="AK190" s="271">
        <f t="shared" si="133"/>
        <v>11.263999999999999</v>
      </c>
      <c r="AL190" s="277">
        <f t="shared" si="134"/>
        <v>5.6319999999999997</v>
      </c>
      <c r="AM190" s="58">
        <v>1200</v>
      </c>
      <c r="AN190" s="25">
        <v>38</v>
      </c>
      <c r="AO190" s="3">
        <v>70</v>
      </c>
      <c r="AP190" s="3">
        <v>28</v>
      </c>
      <c r="AQ190" s="281">
        <f t="shared" si="151"/>
        <v>71.555555555555557</v>
      </c>
      <c r="AR190" s="287">
        <f t="shared" si="153"/>
        <v>23225.755733333335</v>
      </c>
      <c r="AS190" s="93"/>
      <c r="AT190" s="4"/>
    </row>
    <row r="191" spans="1:46">
      <c r="A191" s="72">
        <f t="shared" si="136"/>
        <v>36</v>
      </c>
      <c r="B191" s="61">
        <v>2.4500000000000002</v>
      </c>
      <c r="C191" s="301">
        <f t="shared" si="137"/>
        <v>88.2</v>
      </c>
      <c r="D191" s="68">
        <v>800</v>
      </c>
      <c r="E191" s="66">
        <f t="shared" si="123"/>
        <v>480</v>
      </c>
      <c r="F191" s="45">
        <f t="shared" si="138"/>
        <v>275</v>
      </c>
      <c r="G191" s="94">
        <f t="shared" si="139"/>
        <v>12</v>
      </c>
      <c r="H191" s="295">
        <f t="shared" si="140"/>
        <v>109.65024000000003</v>
      </c>
      <c r="I191" s="25"/>
      <c r="J191" s="52">
        <f t="shared" si="141"/>
        <v>35</v>
      </c>
      <c r="K191" s="25">
        <f t="shared" si="124"/>
        <v>1198.8000000000002</v>
      </c>
      <c r="L191" s="427">
        <f t="shared" si="125"/>
        <v>132</v>
      </c>
      <c r="M191" s="64">
        <f t="shared" si="142"/>
        <v>35</v>
      </c>
      <c r="N191" s="838">
        <f t="shared" si="126"/>
        <v>371.25</v>
      </c>
      <c r="O191" s="68">
        <f>LOOKUP(N191,'Circuit Breakers'!$B$5:$B$38,'Circuit Breakers'!$C$5:$C$38)</f>
        <v>400</v>
      </c>
      <c r="P191" s="199">
        <f t="shared" si="127"/>
        <v>30</v>
      </c>
      <c r="Q191" s="1056">
        <f t="shared" si="143"/>
        <v>1558.4400000000003</v>
      </c>
      <c r="R191" s="1064" t="str">
        <f>LOOKUP(Q191,'Circuit Breakers'!$B$5:$B$38,'Circuit Breakers'!$C$5:$C$38)</f>
        <v>Check</v>
      </c>
      <c r="S191" s="64">
        <f t="shared" si="128"/>
        <v>30</v>
      </c>
      <c r="T191" s="25">
        <f t="shared" si="144"/>
        <v>1040</v>
      </c>
      <c r="U191" s="158">
        <f>LOOKUP(T191,'Circuit Breakers'!$B$5:$B$38,'Circuit Breakers'!$C$5:$C$38)</f>
        <v>1200</v>
      </c>
      <c r="V191" s="64">
        <f t="shared" si="145"/>
        <v>15</v>
      </c>
      <c r="W191" s="25">
        <f t="shared" si="129"/>
        <v>316.25</v>
      </c>
      <c r="X191" s="68" t="str">
        <f>LOOKUP(W191,'Wire-Cables Ampacities'!$B$5:$B$35,'Wire-Cables Ampacities'!$C$5:$C$35)</f>
        <v>250MCM</v>
      </c>
      <c r="Y191" s="64">
        <f t="shared" si="146"/>
        <v>10</v>
      </c>
      <c r="Z191" s="25">
        <f t="shared" si="130"/>
        <v>1318.6800000000003</v>
      </c>
      <c r="AA191" s="68" t="str">
        <f>LOOKUP(Z191,'Wire-Cables Ampacities'!$B$5:$B$35,'Wire-Cables Ampacities'!$C$5:$C$35)</f>
        <v>Buss</v>
      </c>
      <c r="AB191" s="64">
        <f t="shared" si="147"/>
        <v>10</v>
      </c>
      <c r="AC191" s="25">
        <f t="shared" si="131"/>
        <v>880.00000000000011</v>
      </c>
      <c r="AD191" s="68" t="str">
        <f>LOOKUP(AC191,'Wire-Cables Ampacities'!$B$5:$B$35,'Wire-Cables Ampacities'!$C$5:$C$35)</f>
        <v>Buss</v>
      </c>
      <c r="AE191" s="81">
        <f t="shared" si="148"/>
        <v>8.1999999999999993</v>
      </c>
      <c r="AF191" s="56">
        <f t="shared" si="152"/>
        <v>27979.564399999996</v>
      </c>
      <c r="AG191" s="72">
        <v>40</v>
      </c>
      <c r="AH191" s="15">
        <v>55</v>
      </c>
      <c r="AI191" s="64">
        <f t="shared" si="149"/>
        <v>20</v>
      </c>
      <c r="AJ191" s="56">
        <f t="shared" si="150"/>
        <v>1154.5599999999997</v>
      </c>
      <c r="AK191" s="271">
        <f t="shared" si="133"/>
        <v>12.828444444444441</v>
      </c>
      <c r="AL191" s="277">
        <f t="shared" si="134"/>
        <v>6.4142222222222207</v>
      </c>
      <c r="AM191" s="58">
        <v>1200</v>
      </c>
      <c r="AN191" s="25">
        <v>38</v>
      </c>
      <c r="AO191" s="3">
        <v>70</v>
      </c>
      <c r="AP191" s="3">
        <v>28</v>
      </c>
      <c r="AQ191" s="281">
        <f t="shared" si="151"/>
        <v>71.555555555555557</v>
      </c>
      <c r="AR191" s="287">
        <f t="shared" si="153"/>
        <v>26637.897733333328</v>
      </c>
      <c r="AS191" s="93"/>
      <c r="AT191" s="4"/>
    </row>
    <row r="192" spans="1:46">
      <c r="A192" s="98">
        <f t="shared" si="136"/>
        <v>36</v>
      </c>
      <c r="B192" s="304">
        <v>2.4500000000000002</v>
      </c>
      <c r="C192" s="307">
        <f t="shared" si="137"/>
        <v>88.2</v>
      </c>
      <c r="D192" s="101">
        <v>900</v>
      </c>
      <c r="E192" s="100">
        <f t="shared" si="123"/>
        <v>480</v>
      </c>
      <c r="F192" s="102">
        <f t="shared" si="138"/>
        <v>308.33333333333331</v>
      </c>
      <c r="G192" s="103">
        <f t="shared" si="139"/>
        <v>12</v>
      </c>
      <c r="H192" s="296">
        <f t="shared" si="140"/>
        <v>109.65024000000003</v>
      </c>
      <c r="I192" s="104"/>
      <c r="J192" s="180">
        <f t="shared" si="141"/>
        <v>35</v>
      </c>
      <c r="K192" s="104">
        <f t="shared" si="124"/>
        <v>1348.65</v>
      </c>
      <c r="L192" s="428">
        <f t="shared" si="125"/>
        <v>148</v>
      </c>
      <c r="M192" s="106">
        <f t="shared" si="142"/>
        <v>35</v>
      </c>
      <c r="N192" s="1060">
        <f t="shared" si="126"/>
        <v>416.25</v>
      </c>
      <c r="O192" s="101">
        <f>LOOKUP(N192,'Circuit Breakers'!$B$5:$B$38,'Circuit Breakers'!$C$5:$C$38)</f>
        <v>450</v>
      </c>
      <c r="P192" s="262">
        <f t="shared" si="127"/>
        <v>30</v>
      </c>
      <c r="Q192" s="1057">
        <f t="shared" si="143"/>
        <v>1753.2450000000001</v>
      </c>
      <c r="R192" s="1065" t="str">
        <f>LOOKUP(Q192,'Circuit Breakers'!$B$5:$B$38,'Circuit Breakers'!$C$5:$C$38)</f>
        <v>Check</v>
      </c>
      <c r="S192" s="106">
        <f t="shared" si="128"/>
        <v>30</v>
      </c>
      <c r="T192" s="104">
        <f t="shared" si="144"/>
        <v>1170</v>
      </c>
      <c r="U192" s="477">
        <f>LOOKUP(T192,'Circuit Breakers'!$B$5:$B$38,'Circuit Breakers'!$C$5:$C$38)</f>
        <v>1200</v>
      </c>
      <c r="V192" s="106">
        <f t="shared" si="145"/>
        <v>15</v>
      </c>
      <c r="W192" s="104">
        <f t="shared" si="129"/>
        <v>354.58333333333326</v>
      </c>
      <c r="X192" s="101" t="str">
        <f>LOOKUP(W192,'Wire-Cables Ampacities'!$B$5:$B$35,'Wire-Cables Ampacities'!$C$5:$C$35)</f>
        <v>300MCM</v>
      </c>
      <c r="Y192" s="106">
        <f t="shared" si="146"/>
        <v>10</v>
      </c>
      <c r="Z192" s="104">
        <f t="shared" si="130"/>
        <v>1483.5150000000003</v>
      </c>
      <c r="AA192" s="101" t="str">
        <f>LOOKUP(Z192,'Wire-Cables Ampacities'!$B$5:$B$35,'Wire-Cables Ampacities'!$C$5:$C$35)</f>
        <v>Buss</v>
      </c>
      <c r="AB192" s="106">
        <f t="shared" si="147"/>
        <v>10</v>
      </c>
      <c r="AC192" s="104">
        <f t="shared" si="131"/>
        <v>990.00000000000011</v>
      </c>
      <c r="AD192" s="101" t="str">
        <f>LOOKUP(AC192,'Wire-Cables Ampacities'!$B$5:$B$35,'Wire-Cables Ampacities'!$C$5:$C$35)</f>
        <v>Buss</v>
      </c>
      <c r="AE192" s="107">
        <f t="shared" si="148"/>
        <v>9.1999999999999993</v>
      </c>
      <c r="AF192" s="105">
        <f t="shared" si="152"/>
        <v>31391.706399999995</v>
      </c>
      <c r="AG192" s="98">
        <v>40</v>
      </c>
      <c r="AH192" s="99">
        <v>55</v>
      </c>
      <c r="AI192" s="106">
        <f t="shared" si="149"/>
        <v>20</v>
      </c>
      <c r="AJ192" s="105">
        <f t="shared" si="150"/>
        <v>1295.3599999999997</v>
      </c>
      <c r="AK192" s="272">
        <f t="shared" si="133"/>
        <v>14.392888888888885</v>
      </c>
      <c r="AL192" s="278">
        <f t="shared" si="134"/>
        <v>7.1964444444444426</v>
      </c>
      <c r="AM192" s="109">
        <v>1200</v>
      </c>
      <c r="AN192" s="104">
        <v>38</v>
      </c>
      <c r="AO192" s="110">
        <v>70</v>
      </c>
      <c r="AP192" s="110">
        <v>28</v>
      </c>
      <c r="AQ192" s="282">
        <f t="shared" si="151"/>
        <v>71.555555555555557</v>
      </c>
      <c r="AR192" s="288">
        <f t="shared" si="153"/>
        <v>30050.039733333328</v>
      </c>
      <c r="AS192" s="93"/>
      <c r="AT192" s="4"/>
    </row>
    <row r="193" spans="1:46">
      <c r="A193" s="72">
        <f t="shared" si="136"/>
        <v>36</v>
      </c>
      <c r="B193" s="61">
        <v>2.4500000000000002</v>
      </c>
      <c r="C193" s="301">
        <f t="shared" si="137"/>
        <v>88.2</v>
      </c>
      <c r="D193" s="68">
        <v>1000</v>
      </c>
      <c r="E193" s="66">
        <f t="shared" si="123"/>
        <v>480</v>
      </c>
      <c r="F193" s="45">
        <f t="shared" si="138"/>
        <v>343.75</v>
      </c>
      <c r="G193" s="94">
        <f t="shared" si="139"/>
        <v>12</v>
      </c>
      <c r="H193" s="295">
        <f t="shared" si="140"/>
        <v>109.65024000000003</v>
      </c>
      <c r="I193" s="25"/>
      <c r="J193" s="52">
        <f t="shared" si="141"/>
        <v>35</v>
      </c>
      <c r="K193" s="25">
        <f t="shared" si="124"/>
        <v>1498.5000000000002</v>
      </c>
      <c r="L193" s="427">
        <f t="shared" si="125"/>
        <v>165</v>
      </c>
      <c r="M193" s="64">
        <f t="shared" si="142"/>
        <v>35</v>
      </c>
      <c r="N193" s="838">
        <f t="shared" si="126"/>
        <v>464.06250000000006</v>
      </c>
      <c r="O193" s="68">
        <f>LOOKUP(N193,'Circuit Breakers'!$B$5:$B$38,'Circuit Breakers'!$C$5:$C$38)</f>
        <v>500</v>
      </c>
      <c r="P193" s="199">
        <f t="shared" si="127"/>
        <v>30</v>
      </c>
      <c r="Q193" s="1056">
        <f t="shared" si="143"/>
        <v>1948.0500000000004</v>
      </c>
      <c r="R193" s="1064" t="str">
        <f>LOOKUP(Q193,'Circuit Breakers'!$B$5:$B$38,'Circuit Breakers'!$C$5:$C$38)</f>
        <v>Check</v>
      </c>
      <c r="S193" s="64">
        <f t="shared" si="128"/>
        <v>30</v>
      </c>
      <c r="T193" s="25">
        <f t="shared" si="144"/>
        <v>1300</v>
      </c>
      <c r="U193" s="158" t="str">
        <f>LOOKUP(T193,'Circuit Breakers'!$B$5:$B$38,'Circuit Breakers'!$C$5:$C$38)</f>
        <v>Check</v>
      </c>
      <c r="V193" s="64">
        <f t="shared" si="145"/>
        <v>15</v>
      </c>
      <c r="W193" s="25">
        <f t="shared" si="129"/>
        <v>395.31249999999994</v>
      </c>
      <c r="X193" s="68" t="str">
        <f>LOOKUP(W193,'Wire-Cables Ampacities'!$B$5:$B$35,'Wire-Cables Ampacities'!$C$5:$C$35)</f>
        <v>#2/0 2x</v>
      </c>
      <c r="Y193" s="64">
        <f t="shared" si="146"/>
        <v>10</v>
      </c>
      <c r="Z193" s="25">
        <f t="shared" si="130"/>
        <v>1648.3500000000004</v>
      </c>
      <c r="AA193" s="68" t="str">
        <f>LOOKUP(Z193,'Wire-Cables Ampacities'!$B$5:$B$35,'Wire-Cables Ampacities'!$C$5:$C$35)</f>
        <v>Buss</v>
      </c>
      <c r="AB193" s="64">
        <f t="shared" si="147"/>
        <v>10</v>
      </c>
      <c r="AC193" s="25">
        <f t="shared" si="131"/>
        <v>1100</v>
      </c>
      <c r="AD193" s="68" t="str">
        <f>LOOKUP(AC193,'Wire-Cables Ampacities'!$B$5:$B$35,'Wire-Cables Ampacities'!$C$5:$C$35)</f>
        <v>Buss</v>
      </c>
      <c r="AE193" s="81">
        <f t="shared" si="148"/>
        <v>10.25</v>
      </c>
      <c r="AF193" s="56">
        <f t="shared" si="152"/>
        <v>34974.455499999996</v>
      </c>
      <c r="AG193" s="72">
        <v>40</v>
      </c>
      <c r="AH193" s="15">
        <v>55</v>
      </c>
      <c r="AI193" s="64">
        <f t="shared" si="149"/>
        <v>20</v>
      </c>
      <c r="AJ193" s="56">
        <f t="shared" si="150"/>
        <v>1443.2</v>
      </c>
      <c r="AK193" s="271">
        <f t="shared" si="133"/>
        <v>16.035555555555558</v>
      </c>
      <c r="AL193" s="277">
        <f t="shared" si="134"/>
        <v>8.0177777777777788</v>
      </c>
      <c r="AM193" s="58">
        <v>1200</v>
      </c>
      <c r="AN193" s="25">
        <v>38</v>
      </c>
      <c r="AO193" s="3">
        <v>70</v>
      </c>
      <c r="AP193" s="3">
        <v>28</v>
      </c>
      <c r="AQ193" s="281">
        <f t="shared" si="151"/>
        <v>71.555555555555557</v>
      </c>
      <c r="AR193" s="287">
        <f t="shared" si="153"/>
        <v>33632.788833333332</v>
      </c>
      <c r="AS193" s="93"/>
      <c r="AT193" s="4"/>
    </row>
    <row r="194" spans="1:46">
      <c r="A194" s="72">
        <f t="shared" si="136"/>
        <v>36</v>
      </c>
      <c r="B194" s="61">
        <v>2.4500000000000002</v>
      </c>
      <c r="C194" s="301">
        <f t="shared" si="137"/>
        <v>88.2</v>
      </c>
      <c r="D194" s="68">
        <v>1100</v>
      </c>
      <c r="E194" s="66">
        <f t="shared" si="123"/>
        <v>480</v>
      </c>
      <c r="F194" s="45">
        <f t="shared" si="138"/>
        <v>377.08333333333331</v>
      </c>
      <c r="G194" s="94">
        <f t="shared" si="139"/>
        <v>12</v>
      </c>
      <c r="H194" s="295">
        <f t="shared" si="140"/>
        <v>109.65024000000003</v>
      </c>
      <c r="I194" s="25"/>
      <c r="J194" s="52">
        <f t="shared" si="141"/>
        <v>35</v>
      </c>
      <c r="K194" s="25">
        <f t="shared" si="124"/>
        <v>1648.3500000000001</v>
      </c>
      <c r="L194" s="427">
        <f t="shared" si="125"/>
        <v>181</v>
      </c>
      <c r="M194" s="64">
        <f t="shared" si="142"/>
        <v>35</v>
      </c>
      <c r="N194" s="838">
        <f t="shared" si="126"/>
        <v>509.0625</v>
      </c>
      <c r="O194" s="68">
        <f>LOOKUP(N194,'Circuit Breakers'!$B$5:$B$38,'Circuit Breakers'!$C$5:$C$38)</f>
        <v>600</v>
      </c>
      <c r="P194" s="199">
        <f t="shared" si="127"/>
        <v>30</v>
      </c>
      <c r="Q194" s="1056">
        <f t="shared" si="143"/>
        <v>2142.8550000000005</v>
      </c>
      <c r="R194" s="1064" t="str">
        <f>LOOKUP(Q194,'Circuit Breakers'!$B$5:$B$38,'Circuit Breakers'!$C$5:$C$38)</f>
        <v>Check</v>
      </c>
      <c r="S194" s="64">
        <f t="shared" si="128"/>
        <v>30</v>
      </c>
      <c r="T194" s="25">
        <f t="shared" si="144"/>
        <v>1430</v>
      </c>
      <c r="U194" s="158" t="str">
        <f>LOOKUP(T194,'Circuit Breakers'!$B$5:$B$38,'Circuit Breakers'!$C$5:$C$38)</f>
        <v>Check</v>
      </c>
      <c r="V194" s="64">
        <f t="shared" si="145"/>
        <v>15</v>
      </c>
      <c r="W194" s="25">
        <f t="shared" si="129"/>
        <v>433.64583333333326</v>
      </c>
      <c r="X194" s="68" t="str">
        <f>LOOKUP(W194,'Wire-Cables Ampacities'!$B$5:$B$35,'Wire-Cables Ampacities'!$C$5:$C$35)</f>
        <v>#2/0 2x</v>
      </c>
      <c r="Y194" s="64">
        <f t="shared" si="146"/>
        <v>10</v>
      </c>
      <c r="Z194" s="25">
        <f t="shared" si="130"/>
        <v>1813.1850000000004</v>
      </c>
      <c r="AA194" s="68" t="str">
        <f>LOOKUP(Z194,'Wire-Cables Ampacities'!$B$5:$B$35,'Wire-Cables Ampacities'!$C$5:$C$35)</f>
        <v>Buss</v>
      </c>
      <c r="AB194" s="64">
        <f t="shared" si="147"/>
        <v>10</v>
      </c>
      <c r="AC194" s="25">
        <f t="shared" si="131"/>
        <v>1210</v>
      </c>
      <c r="AD194" s="68" t="str">
        <f>LOOKUP(AC194,'Wire-Cables Ampacities'!$B$5:$B$35,'Wire-Cables Ampacities'!$C$5:$C$35)</f>
        <v>Buss</v>
      </c>
      <c r="AE194" s="81">
        <f t="shared" si="148"/>
        <v>11.25</v>
      </c>
      <c r="AF194" s="56">
        <f t="shared" si="152"/>
        <v>38386.597500000003</v>
      </c>
      <c r="AG194" s="72">
        <v>40</v>
      </c>
      <c r="AH194" s="15">
        <v>55</v>
      </c>
      <c r="AI194" s="64">
        <f t="shared" si="149"/>
        <v>20</v>
      </c>
      <c r="AJ194" s="56">
        <f t="shared" si="150"/>
        <v>1584</v>
      </c>
      <c r="AK194" s="271">
        <f t="shared" si="133"/>
        <v>17.600000000000001</v>
      </c>
      <c r="AL194" s="277">
        <f t="shared" si="134"/>
        <v>8.8000000000000007</v>
      </c>
      <c r="AM194" s="58">
        <v>1200</v>
      </c>
      <c r="AN194" s="25">
        <v>38</v>
      </c>
      <c r="AO194" s="3">
        <v>70</v>
      </c>
      <c r="AP194" s="3">
        <v>28</v>
      </c>
      <c r="AQ194" s="281">
        <f t="shared" si="151"/>
        <v>71.555555555555557</v>
      </c>
      <c r="AR194" s="287">
        <f t="shared" si="153"/>
        <v>37044.930833333339</v>
      </c>
      <c r="AS194" s="93"/>
      <c r="AT194" s="4"/>
    </row>
    <row r="195" spans="1:46" ht="13.5" thickBot="1">
      <c r="A195" s="253">
        <f t="shared" si="136"/>
        <v>36</v>
      </c>
      <c r="B195" s="305">
        <v>2.4500000000000002</v>
      </c>
      <c r="C195" s="308">
        <f t="shared" si="137"/>
        <v>88.2</v>
      </c>
      <c r="D195" s="259">
        <v>1200</v>
      </c>
      <c r="E195" s="258">
        <f t="shared" si="123"/>
        <v>480</v>
      </c>
      <c r="F195" s="260">
        <f t="shared" si="138"/>
        <v>412.5</v>
      </c>
      <c r="G195" s="261">
        <f t="shared" si="139"/>
        <v>12</v>
      </c>
      <c r="H195" s="297">
        <f t="shared" si="140"/>
        <v>109.65024000000003</v>
      </c>
      <c r="I195" s="264"/>
      <c r="J195" s="265">
        <f t="shared" si="141"/>
        <v>35</v>
      </c>
      <c r="K195" s="264">
        <f t="shared" si="124"/>
        <v>1798.2</v>
      </c>
      <c r="L195" s="433">
        <f t="shared" si="125"/>
        <v>198</v>
      </c>
      <c r="M195" s="267">
        <f t="shared" si="142"/>
        <v>35</v>
      </c>
      <c r="N195" s="1061">
        <f t="shared" si="126"/>
        <v>556.875</v>
      </c>
      <c r="O195" s="259">
        <f>LOOKUP(N195,'Circuit Breakers'!$B$5:$B$38,'Circuit Breakers'!$C$5:$C$38)</f>
        <v>600</v>
      </c>
      <c r="P195" s="333">
        <f t="shared" si="127"/>
        <v>30</v>
      </c>
      <c r="Q195" s="1058">
        <f t="shared" si="143"/>
        <v>2337.6600000000003</v>
      </c>
      <c r="R195" s="1066" t="str">
        <f>LOOKUP(Q195,'Circuit Breakers'!$B$5:$B$38,'Circuit Breakers'!$C$5:$C$38)</f>
        <v>Check</v>
      </c>
      <c r="S195" s="267">
        <f t="shared" si="128"/>
        <v>30</v>
      </c>
      <c r="T195" s="264">
        <f t="shared" si="144"/>
        <v>1560</v>
      </c>
      <c r="U195" s="478" t="str">
        <f>LOOKUP(T195,'Circuit Breakers'!$B$5:$B$38,'Circuit Breakers'!$C$5:$C$38)</f>
        <v>Check</v>
      </c>
      <c r="V195" s="267">
        <f t="shared" si="145"/>
        <v>15</v>
      </c>
      <c r="W195" s="264">
        <f t="shared" si="129"/>
        <v>474.37499999999994</v>
      </c>
      <c r="X195" s="259" t="str">
        <f>LOOKUP(W195,'Wire-Cables Ampacities'!$B$5:$B$35,'Wire-Cables Ampacities'!$C$5:$C$35)</f>
        <v>#3/0 2x</v>
      </c>
      <c r="Y195" s="267">
        <f t="shared" si="146"/>
        <v>10</v>
      </c>
      <c r="Z195" s="264">
        <f t="shared" si="130"/>
        <v>1978.0200000000002</v>
      </c>
      <c r="AA195" s="259" t="str">
        <f>LOOKUP(Z195,'Wire-Cables Ampacities'!$B$5:$B$35,'Wire-Cables Ampacities'!$C$5:$C$35)</f>
        <v>Buss</v>
      </c>
      <c r="AB195" s="267">
        <f t="shared" si="147"/>
        <v>10</v>
      </c>
      <c r="AC195" s="264">
        <f t="shared" si="131"/>
        <v>1320</v>
      </c>
      <c r="AD195" s="259" t="str">
        <f>LOOKUP(AC195,'Wire-Cables Ampacities'!$B$5:$B$35,'Wire-Cables Ampacities'!$C$5:$C$35)</f>
        <v>Buss</v>
      </c>
      <c r="AE195" s="270">
        <f t="shared" si="148"/>
        <v>12.3</v>
      </c>
      <c r="AF195" s="268">
        <f t="shared" si="152"/>
        <v>41969.346600000004</v>
      </c>
      <c r="AG195" s="253">
        <v>40</v>
      </c>
      <c r="AH195" s="254">
        <v>55</v>
      </c>
      <c r="AI195" s="267">
        <f t="shared" si="149"/>
        <v>20</v>
      </c>
      <c r="AJ195" s="268">
        <f t="shared" si="150"/>
        <v>1731.84</v>
      </c>
      <c r="AK195" s="273">
        <f t="shared" si="133"/>
        <v>19.242666666666665</v>
      </c>
      <c r="AL195" s="279">
        <f t="shared" si="134"/>
        <v>9.6213333333333324</v>
      </c>
      <c r="AM195" s="275">
        <v>1200</v>
      </c>
      <c r="AN195" s="264">
        <v>38</v>
      </c>
      <c r="AO195" s="276">
        <v>70</v>
      </c>
      <c r="AP195" s="276">
        <v>28</v>
      </c>
      <c r="AQ195" s="283">
        <f t="shared" si="151"/>
        <v>71.555555555555557</v>
      </c>
      <c r="AR195" s="289">
        <f t="shared" si="153"/>
        <v>40627.67993333334</v>
      </c>
      <c r="AS195" s="93"/>
      <c r="AT195" s="4"/>
    </row>
    <row r="197" spans="1:46" ht="13.5" thickBot="1"/>
    <row r="198" spans="1:46" ht="16.5" thickBot="1">
      <c r="A198" s="95" t="s">
        <v>77</v>
      </c>
      <c r="B198" s="96"/>
      <c r="C198" s="44"/>
      <c r="D198" s="86"/>
      <c r="E198" s="86"/>
      <c r="F198" s="86"/>
      <c r="G198" s="87"/>
      <c r="H198" s="290" t="s">
        <v>98</v>
      </c>
      <c r="I198" s="42"/>
      <c r="J198" s="51"/>
      <c r="K198" s="42"/>
      <c r="L198" s="40"/>
      <c r="M198" s="290" t="s">
        <v>83</v>
      </c>
      <c r="N198" s="42"/>
      <c r="O198" s="44"/>
      <c r="P198" s="44"/>
      <c r="Q198" s="44"/>
      <c r="R198" s="44"/>
      <c r="S198" s="44"/>
      <c r="T198" s="44"/>
      <c r="U198" s="6"/>
      <c r="V198" s="184" t="s">
        <v>84</v>
      </c>
      <c r="W198" s="44"/>
      <c r="X198" s="44"/>
      <c r="Y198" s="44"/>
      <c r="Z198" s="44"/>
      <c r="AA198" s="44"/>
      <c r="AB198" s="44"/>
      <c r="AC198" s="44"/>
      <c r="AD198" s="6"/>
      <c r="AE198" s="291" t="s">
        <v>62</v>
      </c>
      <c r="AF198" s="80"/>
      <c r="AG198" s="290" t="s">
        <v>90</v>
      </c>
      <c r="AH198" s="40"/>
      <c r="AI198" s="292" t="s">
        <v>87</v>
      </c>
      <c r="AJ198" s="90"/>
      <c r="AK198" s="90"/>
      <c r="AL198" s="49"/>
      <c r="AM198" s="189" t="s">
        <v>88</v>
      </c>
      <c r="AN198" s="90"/>
      <c r="AO198" s="90"/>
      <c r="AP198" s="90"/>
      <c r="AQ198" s="90"/>
      <c r="AR198" s="6"/>
      <c r="AS198" s="7"/>
    </row>
    <row r="199" spans="1:46" ht="13.5" thickBot="1">
      <c r="A199" s="97" t="s">
        <v>23</v>
      </c>
      <c r="B199" s="48"/>
      <c r="C199" s="189" t="s">
        <v>76</v>
      </c>
      <c r="D199" s="190"/>
      <c r="E199" s="189" t="s">
        <v>57</v>
      </c>
      <c r="F199" s="191"/>
      <c r="G199" s="192"/>
      <c r="H199" s="76"/>
      <c r="I199" s="90"/>
      <c r="J199" s="175"/>
      <c r="K199" s="90"/>
      <c r="L199" s="49"/>
      <c r="M199" s="47" t="s">
        <v>81</v>
      </c>
      <c r="N199" s="96"/>
      <c r="O199" s="49"/>
      <c r="P199" s="47" t="s">
        <v>82</v>
      </c>
      <c r="Q199" s="96"/>
      <c r="R199" s="49"/>
      <c r="S199" s="47" t="s">
        <v>80</v>
      </c>
      <c r="T199" s="96"/>
      <c r="U199" s="49"/>
      <c r="V199" s="76" t="s">
        <v>78</v>
      </c>
      <c r="W199" s="96"/>
      <c r="X199" s="48"/>
      <c r="Y199" s="76" t="s">
        <v>79</v>
      </c>
      <c r="Z199" s="96"/>
      <c r="AA199" s="48"/>
      <c r="AB199" s="47" t="s">
        <v>80</v>
      </c>
      <c r="AC199" s="96"/>
      <c r="AD199" s="48"/>
      <c r="AE199" s="176"/>
      <c r="AF199" s="177"/>
      <c r="AG199" s="205" t="s">
        <v>94</v>
      </c>
      <c r="AH199" s="179" t="s">
        <v>95</v>
      </c>
      <c r="AI199" s="178"/>
      <c r="AJ199" s="198"/>
      <c r="AK199" s="206" t="s">
        <v>66</v>
      </c>
      <c r="AL199" s="198" t="s">
        <v>66</v>
      </c>
      <c r="AM199" s="47" t="s">
        <v>68</v>
      </c>
      <c r="AN199" s="90"/>
      <c r="AO199" s="90"/>
      <c r="AP199" s="90"/>
      <c r="AQ199" s="49"/>
      <c r="AR199" s="80"/>
      <c r="AS199" s="7"/>
    </row>
    <row r="200" spans="1:46">
      <c r="A200" s="65">
        <v>120</v>
      </c>
      <c r="B200" s="67" t="s">
        <v>92</v>
      </c>
      <c r="C200" s="65" t="s">
        <v>93</v>
      </c>
      <c r="D200" s="67" t="s">
        <v>16</v>
      </c>
      <c r="E200" s="65" t="s">
        <v>99</v>
      </c>
      <c r="F200" s="18" t="s">
        <v>100</v>
      </c>
      <c r="G200" s="1130">
        <v>12</v>
      </c>
      <c r="H200" s="65" t="s">
        <v>27</v>
      </c>
      <c r="I200" s="18"/>
      <c r="J200" s="310">
        <v>35</v>
      </c>
      <c r="K200" s="18" t="s">
        <v>28</v>
      </c>
      <c r="L200" s="156" t="s">
        <v>29</v>
      </c>
      <c r="M200" s="310">
        <v>35</v>
      </c>
      <c r="N200" s="1049" t="s">
        <v>60</v>
      </c>
      <c r="O200" s="1062" t="s">
        <v>363</v>
      </c>
      <c r="P200" s="310">
        <v>30</v>
      </c>
      <c r="Q200" s="1049" t="s">
        <v>60</v>
      </c>
      <c r="R200" s="1062" t="s">
        <v>361</v>
      </c>
      <c r="S200" s="310">
        <v>30</v>
      </c>
      <c r="T200" s="1049" t="s">
        <v>60</v>
      </c>
      <c r="U200" s="1062" t="s">
        <v>361</v>
      </c>
      <c r="V200" s="310">
        <v>15</v>
      </c>
      <c r="W200" s="62" t="s">
        <v>60</v>
      </c>
      <c r="X200" s="1131" t="s">
        <v>85</v>
      </c>
      <c r="Y200" s="310">
        <v>10</v>
      </c>
      <c r="Z200" s="62" t="s">
        <v>60</v>
      </c>
      <c r="AA200" s="1131" t="s">
        <v>85</v>
      </c>
      <c r="AB200" s="310">
        <v>10</v>
      </c>
      <c r="AC200" s="62" t="s">
        <v>60</v>
      </c>
      <c r="AD200" s="1131" t="s">
        <v>85</v>
      </c>
      <c r="AE200" s="77"/>
      <c r="AF200" s="204"/>
      <c r="AG200" s="70">
        <v>40</v>
      </c>
      <c r="AH200" s="19">
        <v>55</v>
      </c>
      <c r="AI200" s="310">
        <v>20</v>
      </c>
      <c r="AJ200" s="71" t="s">
        <v>64</v>
      </c>
      <c r="AK200" s="79">
        <v>90</v>
      </c>
      <c r="AL200" s="19">
        <v>180</v>
      </c>
      <c r="AM200" s="284" t="s">
        <v>91</v>
      </c>
      <c r="AN200" s="18" t="s">
        <v>69</v>
      </c>
      <c r="AO200" s="18" t="s">
        <v>70</v>
      </c>
      <c r="AP200" s="18" t="s">
        <v>71</v>
      </c>
      <c r="AQ200" s="19" t="s">
        <v>73</v>
      </c>
      <c r="AR200" s="285" t="s">
        <v>64</v>
      </c>
      <c r="AS200" s="92"/>
    </row>
    <row r="201" spans="1:46" ht="13.5" thickBot="1">
      <c r="A201" s="187" t="s">
        <v>24</v>
      </c>
      <c r="B201" s="188" t="s">
        <v>53</v>
      </c>
      <c r="C201" s="306" t="s">
        <v>53</v>
      </c>
      <c r="D201" s="255" t="s">
        <v>22</v>
      </c>
      <c r="E201" s="187" t="s">
        <v>53</v>
      </c>
      <c r="F201" s="16" t="s">
        <v>22</v>
      </c>
      <c r="G201" s="1129" t="s">
        <v>55</v>
      </c>
      <c r="H201" s="187" t="s">
        <v>42</v>
      </c>
      <c r="I201" s="16"/>
      <c r="J201" s="1128" t="s">
        <v>59</v>
      </c>
      <c r="K201" s="16" t="s">
        <v>43</v>
      </c>
      <c r="L201" s="195" t="s">
        <v>44</v>
      </c>
      <c r="M201" s="1128" t="s">
        <v>59</v>
      </c>
      <c r="N201" s="1055" t="s">
        <v>22</v>
      </c>
      <c r="O201" s="188" t="s">
        <v>22</v>
      </c>
      <c r="P201" s="1128" t="s">
        <v>59</v>
      </c>
      <c r="Q201" s="1055" t="s">
        <v>22</v>
      </c>
      <c r="R201" s="188" t="s">
        <v>22</v>
      </c>
      <c r="S201" s="1128" t="s">
        <v>59</v>
      </c>
      <c r="T201" s="1055" t="s">
        <v>22</v>
      </c>
      <c r="U201" s="188" t="s">
        <v>22</v>
      </c>
      <c r="V201" s="1128" t="s">
        <v>59</v>
      </c>
      <c r="W201" s="16" t="s">
        <v>22</v>
      </c>
      <c r="X201" s="188" t="s">
        <v>86</v>
      </c>
      <c r="Y201" s="1128" t="s">
        <v>59</v>
      </c>
      <c r="Z201" s="16" t="s">
        <v>22</v>
      </c>
      <c r="AA201" s="188" t="s">
        <v>86</v>
      </c>
      <c r="AB201" s="1128" t="s">
        <v>59</v>
      </c>
      <c r="AC201" s="16" t="s">
        <v>22</v>
      </c>
      <c r="AD201" s="188" t="s">
        <v>86</v>
      </c>
      <c r="AE201" s="75" t="s">
        <v>63</v>
      </c>
      <c r="AF201" s="202" t="s">
        <v>67</v>
      </c>
      <c r="AG201" s="75" t="s">
        <v>61</v>
      </c>
      <c r="AH201" s="17" t="s">
        <v>61</v>
      </c>
      <c r="AI201" s="1128" t="s">
        <v>59</v>
      </c>
      <c r="AJ201" s="17" t="s">
        <v>65</v>
      </c>
      <c r="AK201" s="207" t="s">
        <v>89</v>
      </c>
      <c r="AL201" s="17" t="s">
        <v>89</v>
      </c>
      <c r="AM201" s="75" t="s">
        <v>72</v>
      </c>
      <c r="AN201" s="16" t="s">
        <v>74</v>
      </c>
      <c r="AO201" s="16" t="s">
        <v>74</v>
      </c>
      <c r="AP201" s="16" t="s">
        <v>74</v>
      </c>
      <c r="AQ201" s="17" t="s">
        <v>75</v>
      </c>
      <c r="AR201" s="200" t="s">
        <v>67</v>
      </c>
      <c r="AS201" s="46"/>
    </row>
    <row r="202" spans="1:46">
      <c r="A202" s="70"/>
      <c r="B202" s="197"/>
      <c r="C202" s="65"/>
      <c r="D202" s="67"/>
      <c r="E202" s="302"/>
      <c r="F202" s="18"/>
      <c r="G202" s="19"/>
      <c r="H202" s="65"/>
      <c r="I202" s="18"/>
      <c r="J202" s="73"/>
      <c r="K202" s="18"/>
      <c r="L202" s="156"/>
      <c r="M202" s="54"/>
      <c r="N202" s="1049"/>
      <c r="O202" s="67"/>
      <c r="P202" s="203"/>
      <c r="Q202" s="1049"/>
      <c r="R202" s="1063"/>
      <c r="S202" s="54"/>
      <c r="T202" s="1059"/>
      <c r="U202" s="67"/>
      <c r="V202" s="54"/>
      <c r="W202" s="269"/>
      <c r="X202" s="59"/>
      <c r="Y202" s="54"/>
      <c r="Z202" s="269"/>
      <c r="AA202" s="59"/>
      <c r="AB202" s="54"/>
      <c r="AC202" s="269"/>
      <c r="AD202" s="59"/>
      <c r="AE202" s="70"/>
      <c r="AF202" s="19"/>
      <c r="AG202" s="70"/>
      <c r="AH202" s="19"/>
      <c r="AI202" s="54"/>
      <c r="AJ202" s="19"/>
      <c r="AK202" s="70"/>
      <c r="AL202" s="197"/>
      <c r="AM202" s="70"/>
      <c r="AN202" s="18"/>
      <c r="AO202" s="18"/>
      <c r="AP202" s="18"/>
      <c r="AQ202" s="19"/>
      <c r="AR202" s="286"/>
      <c r="AS202" s="7"/>
    </row>
    <row r="203" spans="1:46">
      <c r="A203" s="72">
        <f>A$200/2</f>
        <v>60</v>
      </c>
      <c r="B203" s="61">
        <v>2.4500000000000002</v>
      </c>
      <c r="C203" s="66">
        <f>A203*B203</f>
        <v>147</v>
      </c>
      <c r="D203" s="68">
        <v>5.5</v>
      </c>
      <c r="E203" s="186">
        <f t="shared" ref="E203:E231" si="154">IF(L203/120*1000*1.5&lt;65,120,IF(L203/208*1000*1.5&lt;65,208,IF(L203/240*1000*1.5&lt;65,240,480)))</f>
        <v>120</v>
      </c>
      <c r="F203" s="45">
        <f>L203*1000/E203</f>
        <v>14.583333333333334</v>
      </c>
      <c r="G203" s="94">
        <f>G$200</f>
        <v>12</v>
      </c>
      <c r="H203" s="295">
        <f>1.11*(1+G203/100)*C203</f>
        <v>182.75040000000004</v>
      </c>
      <c r="I203" s="25"/>
      <c r="J203" s="52">
        <f>J$200</f>
        <v>35</v>
      </c>
      <c r="K203" s="25">
        <f>(1+J203/100)*D203*1.11</f>
        <v>8.2417500000000015</v>
      </c>
      <c r="L203" s="427">
        <f t="shared" ref="L203:L231" si="155">IF(CEILING(H203*K203/1000,0.25)&lt;10,CEILING(H203*K203/1000,0.25),IF(CEILING(H203*K203/1000,0.25)&lt;20,CEILING(H203*K203/1000,0.5),CEILING(H203*K203/1000,1)))</f>
        <v>1.75</v>
      </c>
      <c r="M203" s="55">
        <f>M$200</f>
        <v>35</v>
      </c>
      <c r="N203" s="838">
        <f t="shared" ref="N203:N231" si="156">(1+M203/100)*F203</f>
        <v>19.687500000000004</v>
      </c>
      <c r="O203" s="68">
        <f>LOOKUP(N203,'Circuit Breakers'!$B$5:$B$38,'Circuit Breakers'!$C$5:$C$38)</f>
        <v>20</v>
      </c>
      <c r="P203" s="199">
        <f t="shared" ref="P203:P231" si="157">P$200</f>
        <v>30</v>
      </c>
      <c r="Q203" s="1056">
        <f>(1+P203/100)*K203</f>
        <v>10.714275000000002</v>
      </c>
      <c r="R203" s="1064">
        <f>LOOKUP(Q203,'Circuit Breakers'!$B$5:$B$38,'Circuit Breakers'!$C$5:$C$38)</f>
        <v>15</v>
      </c>
      <c r="S203" s="64">
        <f t="shared" ref="S203:S231" si="158">S$200</f>
        <v>30</v>
      </c>
      <c r="T203" s="25">
        <f>(1+S203/100)*D203</f>
        <v>7.15</v>
      </c>
      <c r="U203" s="158">
        <f>LOOKUP(T203,'Circuit Breakers'!$B$5:$B$38,'Circuit Breakers'!$C$5:$C$38)</f>
        <v>10</v>
      </c>
      <c r="V203" s="64">
        <f>V$200</f>
        <v>15</v>
      </c>
      <c r="W203" s="25">
        <f t="shared" ref="W203:W231" si="159">(1+V203/100)*F203</f>
        <v>16.770833333333332</v>
      </c>
      <c r="X203" s="68" t="str">
        <f>LOOKUP(W203,'Wire-Cables Ampacities'!$B$5:$B$35,'Wire-Cables Ampacities'!$C$5:$C$35)</f>
        <v>#10</v>
      </c>
      <c r="Y203" s="64">
        <f>Y$200</f>
        <v>10</v>
      </c>
      <c r="Z203" s="25">
        <f t="shared" ref="Z203:Z231" si="160">(1+Y203/100)*K203</f>
        <v>9.0659250000000018</v>
      </c>
      <c r="AA203" s="68" t="str">
        <f>LOOKUP(Z203,'Wire-Cables Ampacities'!$B$5:$B$35,'Wire-Cables Ampacities'!$C$5:$C$35)</f>
        <v>#10</v>
      </c>
      <c r="AB203" s="64">
        <f>AB$200</f>
        <v>10</v>
      </c>
      <c r="AC203" s="25">
        <f t="shared" ref="AC203:AC231" si="161">(1+AB203/100)*D203</f>
        <v>6.0500000000000007</v>
      </c>
      <c r="AD203" s="68" t="str">
        <f>LOOKUP(AC203,'Wire-Cables Ampacities'!$B$5:$B$35,'Wire-Cables Ampacities'!$C$5:$C$35)</f>
        <v>#10</v>
      </c>
      <c r="AE203" s="81">
        <f>(2*D203+0.05*L203*1000)/1000</f>
        <v>9.8500000000000018E-2</v>
      </c>
      <c r="AF203" s="56">
        <f t="shared" ref="AF203:AF219" si="162">AE203*3.412142*1000</f>
        <v>336.09598700000004</v>
      </c>
      <c r="AG203" s="72">
        <v>40</v>
      </c>
      <c r="AH203" s="15">
        <v>55</v>
      </c>
      <c r="AI203" s="64">
        <f>AI$200</f>
        <v>20</v>
      </c>
      <c r="AJ203" s="56">
        <f>1760*AE203/(AH203-AG203)*(1+AI203/100)</f>
        <v>13.868800000000002</v>
      </c>
      <c r="AK203" s="271">
        <f t="shared" ref="AK203:AK231" si="163">AJ203/AK$20</f>
        <v>0.15409777777777781</v>
      </c>
      <c r="AL203" s="277">
        <f t="shared" ref="AL203:AL231" si="164">AJ203/AL$20</f>
        <v>7.7048888888888903E-2</v>
      </c>
      <c r="AM203" s="58">
        <v>450</v>
      </c>
      <c r="AN203" s="25">
        <v>24</v>
      </c>
      <c r="AO203" s="3">
        <v>30</v>
      </c>
      <c r="AP203" s="3">
        <v>16</v>
      </c>
      <c r="AQ203" s="281">
        <f>((2*AO203*AN203)+2*(AO203*AP203)+(AN203*AP203))/144</f>
        <v>19.333333333333332</v>
      </c>
      <c r="AR203" s="287">
        <f t="shared" ref="AR203:AR219" si="165">AF203+(1.25*AQ203*(AG203-AH203))</f>
        <v>-26.404012999999907</v>
      </c>
      <c r="AS203" s="93"/>
      <c r="AT203" s="4"/>
    </row>
    <row r="204" spans="1:46">
      <c r="A204" s="98">
        <f t="shared" ref="A204:A231" si="166">A$200/2</f>
        <v>60</v>
      </c>
      <c r="B204" s="304">
        <v>2.4500000000000002</v>
      </c>
      <c r="C204" s="100">
        <f t="shared" ref="C204:C231" si="167">A204*B204</f>
        <v>147</v>
      </c>
      <c r="D204" s="101">
        <v>10</v>
      </c>
      <c r="E204" s="183">
        <v>240</v>
      </c>
      <c r="F204" s="102">
        <f t="shared" ref="F204:F231" si="168">L204*1000/E204</f>
        <v>11.458333333333334</v>
      </c>
      <c r="G204" s="103">
        <f t="shared" ref="G204:G231" si="169">G$200</f>
        <v>12</v>
      </c>
      <c r="H204" s="296">
        <f t="shared" ref="H204:H231" si="170">1.11*(1+G204/100)*C204</f>
        <v>182.75040000000004</v>
      </c>
      <c r="I204" s="104"/>
      <c r="J204" s="180">
        <f t="shared" ref="J204:J231" si="171">J$200</f>
        <v>35</v>
      </c>
      <c r="K204" s="104">
        <f t="shared" ref="K204:K231" si="172">(1+J204/100)*D204*1.11</f>
        <v>14.985000000000001</v>
      </c>
      <c r="L204" s="428">
        <f t="shared" si="155"/>
        <v>2.75</v>
      </c>
      <c r="M204" s="106">
        <f t="shared" ref="M204:M231" si="173">M$200</f>
        <v>35</v>
      </c>
      <c r="N204" s="1060">
        <f t="shared" si="156"/>
        <v>15.468750000000002</v>
      </c>
      <c r="O204" s="101">
        <f>LOOKUP(N204,'Circuit Breakers'!$B$5:$B$38,'Circuit Breakers'!$C$5:$C$38)</f>
        <v>20</v>
      </c>
      <c r="P204" s="262">
        <f t="shared" si="157"/>
        <v>30</v>
      </c>
      <c r="Q204" s="1057">
        <f t="shared" ref="Q204:Q231" si="174">(1+P204/100)*K204</f>
        <v>19.480500000000003</v>
      </c>
      <c r="R204" s="1065">
        <f>LOOKUP(Q204,'Circuit Breakers'!$B$5:$B$38,'Circuit Breakers'!$C$5:$C$38)</f>
        <v>20</v>
      </c>
      <c r="S204" s="106">
        <f t="shared" si="158"/>
        <v>30</v>
      </c>
      <c r="T204" s="104">
        <f t="shared" ref="T204:T231" si="175">(1+S204/100)*D204</f>
        <v>13</v>
      </c>
      <c r="U204" s="477">
        <f>LOOKUP(T204,'Circuit Breakers'!$B$5:$B$38,'Circuit Breakers'!$C$5:$C$38)</f>
        <v>15</v>
      </c>
      <c r="V204" s="106">
        <f t="shared" ref="V204:V231" si="176">V$200</f>
        <v>15</v>
      </c>
      <c r="W204" s="104">
        <f t="shared" si="159"/>
        <v>13.177083333333332</v>
      </c>
      <c r="X204" s="101" t="str">
        <f>LOOKUP(W204,'Wire-Cables Ampacities'!$B$5:$B$35,'Wire-Cables Ampacities'!$C$5:$C$35)</f>
        <v>#10</v>
      </c>
      <c r="Y204" s="106">
        <f t="shared" ref="Y204:Y231" si="177">Y$200</f>
        <v>10</v>
      </c>
      <c r="Z204" s="104">
        <f t="shared" si="160"/>
        <v>16.483500000000003</v>
      </c>
      <c r="AA204" s="101" t="str">
        <f>LOOKUP(Z204,'Wire-Cables Ampacities'!$B$5:$B$35,'Wire-Cables Ampacities'!$C$5:$C$35)</f>
        <v>#10</v>
      </c>
      <c r="AB204" s="106">
        <f t="shared" ref="AB204:AB231" si="178">AB$200</f>
        <v>10</v>
      </c>
      <c r="AC204" s="104">
        <f t="shared" si="161"/>
        <v>11</v>
      </c>
      <c r="AD204" s="101" t="str">
        <f>LOOKUP(AC204,'Wire-Cables Ampacities'!$B$5:$B$35,'Wire-Cables Ampacities'!$C$5:$C$35)</f>
        <v>#10</v>
      </c>
      <c r="AE204" s="107">
        <f t="shared" ref="AE204:AE231" si="179">(2*D204+0.05*L204*1000)/1000</f>
        <v>0.1575</v>
      </c>
      <c r="AF204" s="105">
        <f t="shared" si="162"/>
        <v>537.41236500000002</v>
      </c>
      <c r="AG204" s="98">
        <v>40</v>
      </c>
      <c r="AH204" s="99">
        <v>55</v>
      </c>
      <c r="AI204" s="106">
        <f t="shared" ref="AI204:AI231" si="180">AI$200</f>
        <v>20</v>
      </c>
      <c r="AJ204" s="105">
        <f t="shared" ref="AJ204:AJ231" si="181">1760*AE204/(AH204-AG204)*(1+AI204/100)</f>
        <v>22.175999999999998</v>
      </c>
      <c r="AK204" s="272">
        <f t="shared" si="163"/>
        <v>0.24639999999999998</v>
      </c>
      <c r="AL204" s="278">
        <f t="shared" si="164"/>
        <v>0.12319999999999999</v>
      </c>
      <c r="AM204" s="109">
        <v>450</v>
      </c>
      <c r="AN204" s="104">
        <v>24</v>
      </c>
      <c r="AO204" s="110">
        <v>30</v>
      </c>
      <c r="AP204" s="110">
        <v>16</v>
      </c>
      <c r="AQ204" s="282">
        <f t="shared" ref="AQ204:AQ231" si="182">((2*AO204*AN204)+2*(AO204*AP204)+(AN204*AP204))/144</f>
        <v>19.333333333333332</v>
      </c>
      <c r="AR204" s="288">
        <f t="shared" si="165"/>
        <v>174.91236500000008</v>
      </c>
      <c r="AS204" s="93"/>
      <c r="AT204" s="4"/>
    </row>
    <row r="205" spans="1:46">
      <c r="A205" s="72">
        <f t="shared" si="166"/>
        <v>60</v>
      </c>
      <c r="B205" s="61">
        <v>2.4500000000000002</v>
      </c>
      <c r="C205" s="66">
        <f t="shared" si="167"/>
        <v>147</v>
      </c>
      <c r="D205" s="68">
        <v>15</v>
      </c>
      <c r="E205" s="186">
        <f t="shared" si="154"/>
        <v>120</v>
      </c>
      <c r="F205" s="45">
        <f t="shared" si="168"/>
        <v>35.416666666666664</v>
      </c>
      <c r="G205" s="94">
        <f t="shared" si="169"/>
        <v>12</v>
      </c>
      <c r="H205" s="295">
        <f t="shared" si="170"/>
        <v>182.75040000000004</v>
      </c>
      <c r="I205" s="25"/>
      <c r="J205" s="52">
        <f t="shared" si="171"/>
        <v>35</v>
      </c>
      <c r="K205" s="25">
        <f t="shared" si="172"/>
        <v>22.477500000000003</v>
      </c>
      <c r="L205" s="427">
        <f t="shared" si="155"/>
        <v>4.25</v>
      </c>
      <c r="M205" s="64">
        <f t="shared" si="173"/>
        <v>35</v>
      </c>
      <c r="N205" s="838">
        <f t="shared" si="156"/>
        <v>47.8125</v>
      </c>
      <c r="O205" s="68">
        <f>LOOKUP(N205,'Circuit Breakers'!$B$5:$B$38,'Circuit Breakers'!$C$5:$C$38)</f>
        <v>50</v>
      </c>
      <c r="P205" s="199">
        <f t="shared" si="157"/>
        <v>30</v>
      </c>
      <c r="Q205" s="1056">
        <f t="shared" si="174"/>
        <v>29.220750000000006</v>
      </c>
      <c r="R205" s="1064">
        <f>LOOKUP(Q205,'Circuit Breakers'!$B$5:$B$38,'Circuit Breakers'!$C$5:$C$38)</f>
        <v>30</v>
      </c>
      <c r="S205" s="64">
        <f t="shared" si="158"/>
        <v>30</v>
      </c>
      <c r="T205" s="25">
        <f t="shared" si="175"/>
        <v>19.5</v>
      </c>
      <c r="U205" s="158">
        <f>LOOKUP(T205,'Circuit Breakers'!$B$5:$B$38,'Circuit Breakers'!$C$5:$C$38)</f>
        <v>20</v>
      </c>
      <c r="V205" s="64">
        <f t="shared" si="176"/>
        <v>15</v>
      </c>
      <c r="W205" s="25">
        <f t="shared" si="159"/>
        <v>40.729166666666664</v>
      </c>
      <c r="X205" s="68" t="str">
        <f>LOOKUP(W205,'Wire-Cables Ampacities'!$B$5:$B$35,'Wire-Cables Ampacities'!$C$5:$C$35)</f>
        <v>#8</v>
      </c>
      <c r="Y205" s="64">
        <f t="shared" si="177"/>
        <v>10</v>
      </c>
      <c r="Z205" s="25">
        <f t="shared" si="160"/>
        <v>24.725250000000006</v>
      </c>
      <c r="AA205" s="68" t="str">
        <f>LOOKUP(Z205,'Wire-Cables Ampacities'!$B$5:$B$35,'Wire-Cables Ampacities'!$C$5:$C$35)</f>
        <v>#10</v>
      </c>
      <c r="AB205" s="64">
        <f t="shared" si="178"/>
        <v>10</v>
      </c>
      <c r="AC205" s="25">
        <f t="shared" si="161"/>
        <v>16.5</v>
      </c>
      <c r="AD205" s="68" t="str">
        <f>LOOKUP(AC205,'Wire-Cables Ampacities'!$B$5:$B$35,'Wire-Cables Ampacities'!$C$5:$C$35)</f>
        <v>#10</v>
      </c>
      <c r="AE205" s="81">
        <f t="shared" si="179"/>
        <v>0.24250000000000002</v>
      </c>
      <c r="AF205" s="56">
        <f t="shared" si="162"/>
        <v>827.444435</v>
      </c>
      <c r="AG205" s="72">
        <v>40</v>
      </c>
      <c r="AH205" s="15">
        <v>55</v>
      </c>
      <c r="AI205" s="64">
        <f t="shared" si="180"/>
        <v>20</v>
      </c>
      <c r="AJ205" s="56">
        <f t="shared" si="181"/>
        <v>34.143999999999998</v>
      </c>
      <c r="AK205" s="271">
        <f t="shared" si="163"/>
        <v>0.37937777777777776</v>
      </c>
      <c r="AL205" s="277">
        <f t="shared" si="164"/>
        <v>0.18968888888888888</v>
      </c>
      <c r="AM205" s="58">
        <v>600</v>
      </c>
      <c r="AN205" s="25">
        <v>24</v>
      </c>
      <c r="AO205" s="3">
        <v>48</v>
      </c>
      <c r="AP205" s="3">
        <v>16</v>
      </c>
      <c r="AQ205" s="281">
        <f t="shared" si="182"/>
        <v>29.333333333333332</v>
      </c>
      <c r="AR205" s="287">
        <f t="shared" si="165"/>
        <v>277.444435</v>
      </c>
      <c r="AS205" s="93"/>
      <c r="AT205" s="4"/>
    </row>
    <row r="206" spans="1:46" s="812" customFormat="1">
      <c r="A206" s="793">
        <f t="shared" si="166"/>
        <v>60</v>
      </c>
      <c r="B206" s="1190">
        <v>2.4500000000000002</v>
      </c>
      <c r="C206" s="795">
        <f t="shared" si="167"/>
        <v>147</v>
      </c>
      <c r="D206" s="796">
        <v>20</v>
      </c>
      <c r="E206" s="1191">
        <f t="shared" si="154"/>
        <v>208</v>
      </c>
      <c r="F206" s="688">
        <f t="shared" si="168"/>
        <v>26.442307692307693</v>
      </c>
      <c r="G206" s="797">
        <f t="shared" si="169"/>
        <v>12</v>
      </c>
      <c r="H206" s="798">
        <f t="shared" si="170"/>
        <v>182.75040000000004</v>
      </c>
      <c r="I206" s="688"/>
      <c r="J206" s="799">
        <f t="shared" si="171"/>
        <v>35</v>
      </c>
      <c r="K206" s="688">
        <f t="shared" si="172"/>
        <v>29.970000000000002</v>
      </c>
      <c r="L206" s="1192">
        <f t="shared" si="155"/>
        <v>5.5</v>
      </c>
      <c r="M206" s="1193">
        <f t="shared" si="173"/>
        <v>35</v>
      </c>
      <c r="N206" s="1194">
        <f t="shared" si="156"/>
        <v>35.697115384615387</v>
      </c>
      <c r="O206" s="796">
        <f>LOOKUP(N206,'Circuit Breakers'!$B$5:$B$38,'Circuit Breakers'!$C$5:$C$38)</f>
        <v>40</v>
      </c>
      <c r="P206" s="804">
        <f t="shared" si="157"/>
        <v>30</v>
      </c>
      <c r="Q206" s="1189">
        <f t="shared" si="174"/>
        <v>38.961000000000006</v>
      </c>
      <c r="R206" s="1195">
        <f>LOOKUP(Q206,'Circuit Breakers'!$B$5:$B$38,'Circuit Breakers'!$C$5:$C$38)</f>
        <v>40</v>
      </c>
      <c r="S206" s="801">
        <f t="shared" si="158"/>
        <v>30</v>
      </c>
      <c r="T206" s="688">
        <f t="shared" si="175"/>
        <v>26</v>
      </c>
      <c r="U206" s="800">
        <f>LOOKUP(T206,'Circuit Breakers'!$B$5:$B$38,'Circuit Breakers'!$C$5:$C$38)</f>
        <v>30</v>
      </c>
      <c r="V206" s="801">
        <f t="shared" si="176"/>
        <v>15</v>
      </c>
      <c r="W206" s="688">
        <f t="shared" si="159"/>
        <v>30.408653846153847</v>
      </c>
      <c r="X206" s="796" t="str">
        <f>LOOKUP(W206,'Wire-Cables Ampacities'!$B$5:$B$35,'Wire-Cables Ampacities'!$C$5:$C$35)</f>
        <v>#10</v>
      </c>
      <c r="Y206" s="801">
        <f t="shared" si="177"/>
        <v>10</v>
      </c>
      <c r="Z206" s="688">
        <f t="shared" si="160"/>
        <v>32.967000000000006</v>
      </c>
      <c r="AA206" s="796" t="str">
        <f>LOOKUP(Z206,'Wire-Cables Ampacities'!$B$5:$B$35,'Wire-Cables Ampacities'!$C$5:$C$35)</f>
        <v>#10</v>
      </c>
      <c r="AB206" s="801">
        <f t="shared" si="178"/>
        <v>10</v>
      </c>
      <c r="AC206" s="688">
        <f t="shared" si="161"/>
        <v>22</v>
      </c>
      <c r="AD206" s="796" t="str">
        <f>LOOKUP(AC206,'Wire-Cables Ampacities'!$B$5:$B$35,'Wire-Cables Ampacities'!$C$5:$C$35)</f>
        <v>#10</v>
      </c>
      <c r="AE206" s="802">
        <f t="shared" si="179"/>
        <v>0.315</v>
      </c>
      <c r="AF206" s="708">
        <f t="shared" si="162"/>
        <v>1074.82473</v>
      </c>
      <c r="AG206" s="793">
        <v>40</v>
      </c>
      <c r="AH206" s="794">
        <v>55</v>
      </c>
      <c r="AI206" s="801">
        <f t="shared" si="180"/>
        <v>20</v>
      </c>
      <c r="AJ206" s="708">
        <f t="shared" si="181"/>
        <v>44.351999999999997</v>
      </c>
      <c r="AK206" s="805">
        <f t="shared" si="163"/>
        <v>0.49279999999999996</v>
      </c>
      <c r="AL206" s="806">
        <f t="shared" si="164"/>
        <v>0.24639999999999998</v>
      </c>
      <c r="AM206" s="807">
        <v>600</v>
      </c>
      <c r="AN206" s="688">
        <v>24</v>
      </c>
      <c r="AO206" s="721">
        <v>48</v>
      </c>
      <c r="AP206" s="721">
        <v>16</v>
      </c>
      <c r="AQ206" s="808">
        <f t="shared" si="182"/>
        <v>29.333333333333332</v>
      </c>
      <c r="AR206" s="809">
        <f t="shared" si="165"/>
        <v>524.82473000000005</v>
      </c>
      <c r="AS206" s="810"/>
      <c r="AT206" s="811"/>
    </row>
    <row r="207" spans="1:46">
      <c r="A207" s="98">
        <f t="shared" si="166"/>
        <v>60</v>
      </c>
      <c r="B207" s="304">
        <v>2.4500000000000002</v>
      </c>
      <c r="C207" s="100">
        <f t="shared" si="167"/>
        <v>147</v>
      </c>
      <c r="D207" s="101">
        <v>25</v>
      </c>
      <c r="E207" s="183">
        <f t="shared" si="154"/>
        <v>208</v>
      </c>
      <c r="F207" s="102">
        <f t="shared" si="168"/>
        <v>33.653846153846153</v>
      </c>
      <c r="G207" s="103">
        <f t="shared" si="169"/>
        <v>12</v>
      </c>
      <c r="H207" s="296">
        <f t="shared" si="170"/>
        <v>182.75040000000004</v>
      </c>
      <c r="I207" s="104"/>
      <c r="J207" s="180">
        <f t="shared" si="171"/>
        <v>35</v>
      </c>
      <c r="K207" s="104">
        <f t="shared" si="172"/>
        <v>37.462500000000006</v>
      </c>
      <c r="L207" s="428">
        <f t="shared" si="155"/>
        <v>7</v>
      </c>
      <c r="M207" s="106">
        <f t="shared" si="173"/>
        <v>35</v>
      </c>
      <c r="N207" s="1196">
        <f t="shared" si="156"/>
        <v>45.432692307692307</v>
      </c>
      <c r="O207" s="101">
        <f>LOOKUP(N207,'Circuit Breakers'!$B$5:$B$38,'Circuit Breakers'!$C$5:$C$38)</f>
        <v>50</v>
      </c>
      <c r="P207" s="262">
        <f t="shared" si="157"/>
        <v>30</v>
      </c>
      <c r="Q207" s="1057">
        <f t="shared" si="174"/>
        <v>48.701250000000009</v>
      </c>
      <c r="R207" s="1065">
        <f>LOOKUP(Q207,'Circuit Breakers'!$B$5:$B$38,'Circuit Breakers'!$C$5:$C$38)</f>
        <v>50</v>
      </c>
      <c r="S207" s="106">
        <f t="shared" si="158"/>
        <v>30</v>
      </c>
      <c r="T207" s="104">
        <f t="shared" si="175"/>
        <v>32.5</v>
      </c>
      <c r="U207" s="477">
        <f>LOOKUP(T207,'Circuit Breakers'!$B$5:$B$38,'Circuit Breakers'!$C$5:$C$38)</f>
        <v>40</v>
      </c>
      <c r="V207" s="106">
        <f t="shared" si="176"/>
        <v>15</v>
      </c>
      <c r="W207" s="104">
        <f t="shared" si="159"/>
        <v>38.701923076923073</v>
      </c>
      <c r="X207" s="101" t="str">
        <f>LOOKUP(W207,'Wire-Cables Ampacities'!$B$5:$B$35,'Wire-Cables Ampacities'!$C$5:$C$35)</f>
        <v>#10</v>
      </c>
      <c r="Y207" s="106">
        <f t="shared" si="177"/>
        <v>10</v>
      </c>
      <c r="Z207" s="104">
        <f t="shared" si="160"/>
        <v>41.208750000000009</v>
      </c>
      <c r="AA207" s="101" t="str">
        <f>LOOKUP(Z207,'Wire-Cables Ampacities'!$B$5:$B$35,'Wire-Cables Ampacities'!$C$5:$C$35)</f>
        <v>#8</v>
      </c>
      <c r="AB207" s="106">
        <f t="shared" si="178"/>
        <v>10</v>
      </c>
      <c r="AC207" s="104">
        <f t="shared" si="161"/>
        <v>27.500000000000004</v>
      </c>
      <c r="AD207" s="101" t="str">
        <f>LOOKUP(AC207,'Wire-Cables Ampacities'!$B$5:$B$35,'Wire-Cables Ampacities'!$C$5:$C$35)</f>
        <v>#10</v>
      </c>
      <c r="AE207" s="107">
        <f t="shared" si="179"/>
        <v>0.40000000000000008</v>
      </c>
      <c r="AF207" s="105">
        <f t="shared" si="162"/>
        <v>1364.8568</v>
      </c>
      <c r="AG207" s="98">
        <v>40</v>
      </c>
      <c r="AH207" s="99">
        <v>55</v>
      </c>
      <c r="AI207" s="106">
        <f t="shared" si="180"/>
        <v>20</v>
      </c>
      <c r="AJ207" s="105">
        <f t="shared" si="181"/>
        <v>56.320000000000014</v>
      </c>
      <c r="AK207" s="272">
        <f t="shared" si="163"/>
        <v>0.62577777777777799</v>
      </c>
      <c r="AL207" s="278">
        <f t="shared" si="164"/>
        <v>0.31288888888888899</v>
      </c>
      <c r="AM207" s="109">
        <v>600</v>
      </c>
      <c r="AN207" s="104">
        <v>24</v>
      </c>
      <c r="AO207" s="110">
        <v>48</v>
      </c>
      <c r="AP207" s="110">
        <v>16</v>
      </c>
      <c r="AQ207" s="282">
        <f t="shared" si="182"/>
        <v>29.333333333333332</v>
      </c>
      <c r="AR207" s="288">
        <f t="shared" si="165"/>
        <v>814.85680000000002</v>
      </c>
      <c r="AS207" s="93"/>
      <c r="AT207" s="4"/>
    </row>
    <row r="208" spans="1:46">
      <c r="A208" s="72">
        <f t="shared" si="166"/>
        <v>60</v>
      </c>
      <c r="B208" s="61">
        <v>2.4500000000000002</v>
      </c>
      <c r="C208" s="66">
        <f t="shared" si="167"/>
        <v>147</v>
      </c>
      <c r="D208" s="68">
        <v>30</v>
      </c>
      <c r="E208" s="186">
        <v>240</v>
      </c>
      <c r="F208" s="45">
        <f t="shared" si="168"/>
        <v>34.375</v>
      </c>
      <c r="G208" s="94">
        <f t="shared" si="169"/>
        <v>12</v>
      </c>
      <c r="H208" s="295">
        <f t="shared" si="170"/>
        <v>182.75040000000004</v>
      </c>
      <c r="I208" s="25"/>
      <c r="J208" s="52">
        <f t="shared" si="171"/>
        <v>35</v>
      </c>
      <c r="K208" s="25">
        <f t="shared" si="172"/>
        <v>44.955000000000005</v>
      </c>
      <c r="L208" s="427">
        <f t="shared" si="155"/>
        <v>8.25</v>
      </c>
      <c r="M208" s="64">
        <f t="shared" si="173"/>
        <v>35</v>
      </c>
      <c r="N208" s="838">
        <f t="shared" si="156"/>
        <v>46.40625</v>
      </c>
      <c r="O208" s="68">
        <f>LOOKUP(N208,'Circuit Breakers'!$B$5:$B$38,'Circuit Breakers'!$C$5:$C$38)</f>
        <v>50</v>
      </c>
      <c r="P208" s="199">
        <f t="shared" si="157"/>
        <v>30</v>
      </c>
      <c r="Q208" s="1056">
        <f t="shared" si="174"/>
        <v>58.441500000000012</v>
      </c>
      <c r="R208" s="1064">
        <f>LOOKUP(Q208,'Circuit Breakers'!$B$5:$B$38,'Circuit Breakers'!$C$5:$C$38)</f>
        <v>60</v>
      </c>
      <c r="S208" s="64">
        <f t="shared" si="158"/>
        <v>30</v>
      </c>
      <c r="T208" s="25">
        <f t="shared" si="175"/>
        <v>39</v>
      </c>
      <c r="U208" s="158">
        <f>LOOKUP(T208,'Circuit Breakers'!$B$5:$B$38,'Circuit Breakers'!$C$5:$C$38)</f>
        <v>40</v>
      </c>
      <c r="V208" s="64">
        <f t="shared" si="176"/>
        <v>15</v>
      </c>
      <c r="W208" s="25">
        <f t="shared" si="159"/>
        <v>39.53125</v>
      </c>
      <c r="X208" s="68" t="str">
        <f>LOOKUP(W208,'Wire-Cables Ampacities'!$B$5:$B$35,'Wire-Cables Ampacities'!$C$5:$C$35)</f>
        <v>#10</v>
      </c>
      <c r="Y208" s="64">
        <f t="shared" si="177"/>
        <v>10</v>
      </c>
      <c r="Z208" s="25">
        <f t="shared" si="160"/>
        <v>49.450500000000012</v>
      </c>
      <c r="AA208" s="68" t="str">
        <f>LOOKUP(Z208,'Wire-Cables Ampacities'!$B$5:$B$35,'Wire-Cables Ampacities'!$C$5:$C$35)</f>
        <v>#8</v>
      </c>
      <c r="AB208" s="64">
        <f t="shared" si="178"/>
        <v>10</v>
      </c>
      <c r="AC208" s="25">
        <f t="shared" si="161"/>
        <v>33</v>
      </c>
      <c r="AD208" s="68" t="str">
        <f>LOOKUP(AC208,'Wire-Cables Ampacities'!$B$5:$B$35,'Wire-Cables Ampacities'!$C$5:$C$35)</f>
        <v>#10</v>
      </c>
      <c r="AE208" s="81">
        <f t="shared" si="179"/>
        <v>0.47250000000000003</v>
      </c>
      <c r="AF208" s="56">
        <f t="shared" si="162"/>
        <v>1612.237095</v>
      </c>
      <c r="AG208" s="72">
        <v>40</v>
      </c>
      <c r="AH208" s="15">
        <v>55</v>
      </c>
      <c r="AI208" s="64">
        <f t="shared" si="180"/>
        <v>20</v>
      </c>
      <c r="AJ208" s="56">
        <f t="shared" si="181"/>
        <v>66.528000000000006</v>
      </c>
      <c r="AK208" s="271">
        <f t="shared" si="163"/>
        <v>0.73920000000000008</v>
      </c>
      <c r="AL208" s="277">
        <f t="shared" si="164"/>
        <v>0.36960000000000004</v>
      </c>
      <c r="AM208" s="58">
        <v>600</v>
      </c>
      <c r="AN208" s="25">
        <v>24</v>
      </c>
      <c r="AO208" s="3">
        <v>48</v>
      </c>
      <c r="AP208" s="3">
        <v>16</v>
      </c>
      <c r="AQ208" s="281">
        <f t="shared" si="182"/>
        <v>29.333333333333332</v>
      </c>
      <c r="AR208" s="287">
        <f t="shared" si="165"/>
        <v>1062.237095</v>
      </c>
      <c r="AS208" s="93"/>
      <c r="AT208" s="4"/>
    </row>
    <row r="209" spans="1:46">
      <c r="A209" s="72">
        <f t="shared" si="166"/>
        <v>60</v>
      </c>
      <c r="B209" s="61">
        <v>2.4500000000000002</v>
      </c>
      <c r="C209" s="66">
        <f t="shared" si="167"/>
        <v>147</v>
      </c>
      <c r="D209" s="68">
        <v>35</v>
      </c>
      <c r="E209" s="186">
        <f t="shared" si="154"/>
        <v>240</v>
      </c>
      <c r="F209" s="45">
        <f t="shared" si="168"/>
        <v>40.625</v>
      </c>
      <c r="G209" s="94">
        <f t="shared" si="169"/>
        <v>12</v>
      </c>
      <c r="H209" s="295">
        <f t="shared" si="170"/>
        <v>182.75040000000004</v>
      </c>
      <c r="I209" s="25"/>
      <c r="J209" s="52">
        <f t="shared" si="171"/>
        <v>35</v>
      </c>
      <c r="K209" s="25">
        <f t="shared" si="172"/>
        <v>52.447500000000005</v>
      </c>
      <c r="L209" s="427">
        <f t="shared" si="155"/>
        <v>9.75</v>
      </c>
      <c r="M209" s="64">
        <f t="shared" si="173"/>
        <v>35</v>
      </c>
      <c r="N209" s="838">
        <f t="shared" si="156"/>
        <v>54.843750000000007</v>
      </c>
      <c r="O209" s="68">
        <f>LOOKUP(N209,'Circuit Breakers'!$B$5:$B$38,'Circuit Breakers'!$C$5:$C$38)</f>
        <v>60</v>
      </c>
      <c r="P209" s="199">
        <f t="shared" si="157"/>
        <v>30</v>
      </c>
      <c r="Q209" s="1056">
        <f t="shared" si="174"/>
        <v>68.181750000000008</v>
      </c>
      <c r="R209" s="1064">
        <f>LOOKUP(Q209,'Circuit Breakers'!$B$5:$B$38,'Circuit Breakers'!$C$5:$C$38)</f>
        <v>70</v>
      </c>
      <c r="S209" s="64">
        <f t="shared" si="158"/>
        <v>30</v>
      </c>
      <c r="T209" s="25">
        <f t="shared" si="175"/>
        <v>45.5</v>
      </c>
      <c r="U209" s="158">
        <f>LOOKUP(T209,'Circuit Breakers'!$B$5:$B$38,'Circuit Breakers'!$C$5:$C$38)</f>
        <v>50</v>
      </c>
      <c r="V209" s="64">
        <f t="shared" si="176"/>
        <v>15</v>
      </c>
      <c r="W209" s="25">
        <f t="shared" si="159"/>
        <v>46.718749999999993</v>
      </c>
      <c r="X209" s="68" t="str">
        <f>LOOKUP(W209,'Wire-Cables Ampacities'!$B$5:$B$35,'Wire-Cables Ampacities'!$C$5:$C$35)</f>
        <v>#8</v>
      </c>
      <c r="Y209" s="64">
        <f t="shared" si="177"/>
        <v>10</v>
      </c>
      <c r="Z209" s="25">
        <f t="shared" si="160"/>
        <v>57.692250000000008</v>
      </c>
      <c r="AA209" s="68" t="str">
        <f>LOOKUP(Z209,'Wire-Cables Ampacities'!$B$5:$B$35,'Wire-Cables Ampacities'!$C$5:$C$35)</f>
        <v>#8</v>
      </c>
      <c r="AB209" s="64">
        <f t="shared" si="178"/>
        <v>10</v>
      </c>
      <c r="AC209" s="25">
        <f t="shared" si="161"/>
        <v>38.5</v>
      </c>
      <c r="AD209" s="68" t="str">
        <f>LOOKUP(AC209,'Wire-Cables Ampacities'!$B$5:$B$35,'Wire-Cables Ampacities'!$C$5:$C$35)</f>
        <v>#10</v>
      </c>
      <c r="AE209" s="81">
        <f t="shared" si="179"/>
        <v>0.5575</v>
      </c>
      <c r="AF209" s="56">
        <f t="shared" si="162"/>
        <v>1902.2691649999999</v>
      </c>
      <c r="AG209" s="72">
        <v>40</v>
      </c>
      <c r="AH209" s="15">
        <v>55</v>
      </c>
      <c r="AI209" s="64">
        <f t="shared" si="180"/>
        <v>20</v>
      </c>
      <c r="AJ209" s="56">
        <f t="shared" si="181"/>
        <v>78.496000000000009</v>
      </c>
      <c r="AK209" s="271">
        <f t="shared" si="163"/>
        <v>0.87217777777777783</v>
      </c>
      <c r="AL209" s="277">
        <f t="shared" si="164"/>
        <v>0.43608888888888891</v>
      </c>
      <c r="AM209" s="58">
        <v>600</v>
      </c>
      <c r="AN209" s="25">
        <v>24</v>
      </c>
      <c r="AO209" s="3">
        <v>48</v>
      </c>
      <c r="AP209" s="3">
        <v>16</v>
      </c>
      <c r="AQ209" s="281">
        <f t="shared" si="182"/>
        <v>29.333333333333332</v>
      </c>
      <c r="AR209" s="287">
        <f t="shared" si="165"/>
        <v>1352.2691649999999</v>
      </c>
      <c r="AS209" s="93"/>
      <c r="AT209" s="4"/>
    </row>
    <row r="210" spans="1:46">
      <c r="A210" s="98">
        <f t="shared" si="166"/>
        <v>60</v>
      </c>
      <c r="B210" s="304">
        <v>2.4500000000000002</v>
      </c>
      <c r="C210" s="100">
        <f t="shared" si="167"/>
        <v>147</v>
      </c>
      <c r="D210" s="101">
        <v>40</v>
      </c>
      <c r="E210" s="183">
        <f t="shared" si="154"/>
        <v>480</v>
      </c>
      <c r="F210" s="102">
        <f t="shared" si="168"/>
        <v>22.916666666666668</v>
      </c>
      <c r="G210" s="103">
        <f t="shared" si="169"/>
        <v>12</v>
      </c>
      <c r="H210" s="296">
        <f t="shared" si="170"/>
        <v>182.75040000000004</v>
      </c>
      <c r="I210" s="104"/>
      <c r="J210" s="180">
        <f t="shared" si="171"/>
        <v>35</v>
      </c>
      <c r="K210" s="104">
        <f t="shared" si="172"/>
        <v>59.940000000000005</v>
      </c>
      <c r="L210" s="428">
        <f t="shared" si="155"/>
        <v>11</v>
      </c>
      <c r="M210" s="106">
        <f t="shared" si="173"/>
        <v>35</v>
      </c>
      <c r="N210" s="1060">
        <f t="shared" si="156"/>
        <v>30.937500000000004</v>
      </c>
      <c r="O210" s="101">
        <f>LOOKUP(N210,'Circuit Breakers'!$B$5:$B$38,'Circuit Breakers'!$C$5:$C$38)</f>
        <v>40</v>
      </c>
      <c r="P210" s="262">
        <f t="shared" si="157"/>
        <v>30</v>
      </c>
      <c r="Q210" s="1057">
        <f t="shared" si="174"/>
        <v>77.922000000000011</v>
      </c>
      <c r="R210" s="1065">
        <f>LOOKUP(Q210,'Circuit Breakers'!$B$5:$B$38,'Circuit Breakers'!$C$5:$C$38)</f>
        <v>80</v>
      </c>
      <c r="S210" s="106">
        <f t="shared" si="158"/>
        <v>30</v>
      </c>
      <c r="T210" s="104">
        <f t="shared" si="175"/>
        <v>52</v>
      </c>
      <c r="U210" s="477">
        <f>LOOKUP(T210,'Circuit Breakers'!$B$5:$B$38,'Circuit Breakers'!$C$5:$C$38)</f>
        <v>60</v>
      </c>
      <c r="V210" s="106">
        <f t="shared" si="176"/>
        <v>15</v>
      </c>
      <c r="W210" s="104">
        <f t="shared" si="159"/>
        <v>26.354166666666664</v>
      </c>
      <c r="X210" s="101" t="str">
        <f>LOOKUP(W210,'Wire-Cables Ampacities'!$B$5:$B$35,'Wire-Cables Ampacities'!$C$5:$C$35)</f>
        <v>#10</v>
      </c>
      <c r="Y210" s="106">
        <f t="shared" si="177"/>
        <v>10</v>
      </c>
      <c r="Z210" s="104">
        <f t="shared" si="160"/>
        <v>65.934000000000012</v>
      </c>
      <c r="AA210" s="101" t="str">
        <f>LOOKUP(Z210,'Wire-Cables Ampacities'!$B$5:$B$35,'Wire-Cables Ampacities'!$C$5:$C$35)</f>
        <v>#6</v>
      </c>
      <c r="AB210" s="106">
        <f t="shared" si="178"/>
        <v>10</v>
      </c>
      <c r="AC210" s="104">
        <f t="shared" si="161"/>
        <v>44</v>
      </c>
      <c r="AD210" s="101" t="str">
        <f>LOOKUP(AC210,'Wire-Cables Ampacities'!$B$5:$B$35,'Wire-Cables Ampacities'!$C$5:$C$35)</f>
        <v>#8</v>
      </c>
      <c r="AE210" s="107">
        <f t="shared" si="179"/>
        <v>0.63</v>
      </c>
      <c r="AF210" s="105">
        <f t="shared" si="162"/>
        <v>2149.6494600000001</v>
      </c>
      <c r="AG210" s="98">
        <v>40</v>
      </c>
      <c r="AH210" s="99">
        <v>55</v>
      </c>
      <c r="AI210" s="106">
        <f t="shared" si="180"/>
        <v>20</v>
      </c>
      <c r="AJ210" s="105">
        <f t="shared" si="181"/>
        <v>88.703999999999994</v>
      </c>
      <c r="AK210" s="272">
        <f t="shared" si="163"/>
        <v>0.98559999999999992</v>
      </c>
      <c r="AL210" s="278">
        <f t="shared" si="164"/>
        <v>0.49279999999999996</v>
      </c>
      <c r="AM210" s="109">
        <v>600</v>
      </c>
      <c r="AN210" s="104">
        <v>24</v>
      </c>
      <c r="AO210" s="110">
        <v>48</v>
      </c>
      <c r="AP210" s="110">
        <v>16</v>
      </c>
      <c r="AQ210" s="282">
        <f t="shared" si="182"/>
        <v>29.333333333333332</v>
      </c>
      <c r="AR210" s="288">
        <f t="shared" si="165"/>
        <v>1599.6494600000001</v>
      </c>
      <c r="AS210" s="93"/>
      <c r="AT210" s="4"/>
    </row>
    <row r="211" spans="1:46">
      <c r="A211" s="72">
        <f t="shared" si="166"/>
        <v>60</v>
      </c>
      <c r="B211" s="61">
        <v>2.4500000000000002</v>
      </c>
      <c r="C211" s="66">
        <f t="shared" si="167"/>
        <v>147</v>
      </c>
      <c r="D211" s="68">
        <v>50</v>
      </c>
      <c r="E211" s="186">
        <f t="shared" si="154"/>
        <v>480</v>
      </c>
      <c r="F211" s="45">
        <f t="shared" si="168"/>
        <v>29.166666666666668</v>
      </c>
      <c r="G211" s="94">
        <f t="shared" si="169"/>
        <v>12</v>
      </c>
      <c r="H211" s="295">
        <f t="shared" si="170"/>
        <v>182.75040000000004</v>
      </c>
      <c r="I211" s="25"/>
      <c r="J211" s="52">
        <f t="shared" si="171"/>
        <v>35</v>
      </c>
      <c r="K211" s="25">
        <f t="shared" si="172"/>
        <v>74.925000000000011</v>
      </c>
      <c r="L211" s="427">
        <f t="shared" si="155"/>
        <v>14</v>
      </c>
      <c r="M211" s="64">
        <f t="shared" si="173"/>
        <v>35</v>
      </c>
      <c r="N211" s="838">
        <f t="shared" si="156"/>
        <v>39.375000000000007</v>
      </c>
      <c r="O211" s="68">
        <f>LOOKUP(N211,'Circuit Breakers'!$B$5:$B$38,'Circuit Breakers'!$C$5:$C$38)</f>
        <v>40</v>
      </c>
      <c r="P211" s="199">
        <f t="shared" si="157"/>
        <v>30</v>
      </c>
      <c r="Q211" s="1056">
        <f t="shared" si="174"/>
        <v>97.402500000000018</v>
      </c>
      <c r="R211" s="1064">
        <f>LOOKUP(Q211,'Circuit Breakers'!$B$5:$B$38,'Circuit Breakers'!$C$5:$C$38)</f>
        <v>100</v>
      </c>
      <c r="S211" s="64">
        <f t="shared" si="158"/>
        <v>30</v>
      </c>
      <c r="T211" s="25">
        <f t="shared" si="175"/>
        <v>65</v>
      </c>
      <c r="U211" s="158">
        <f>LOOKUP(T211,'Circuit Breakers'!$B$5:$B$38,'Circuit Breakers'!$C$5:$C$38)</f>
        <v>70</v>
      </c>
      <c r="V211" s="64">
        <f t="shared" si="176"/>
        <v>15</v>
      </c>
      <c r="W211" s="25">
        <f t="shared" si="159"/>
        <v>33.541666666666664</v>
      </c>
      <c r="X211" s="68" t="str">
        <f>LOOKUP(W211,'Wire-Cables Ampacities'!$B$5:$B$35,'Wire-Cables Ampacities'!$C$5:$C$35)</f>
        <v>#10</v>
      </c>
      <c r="Y211" s="64">
        <f t="shared" si="177"/>
        <v>10</v>
      </c>
      <c r="Z211" s="25">
        <f t="shared" si="160"/>
        <v>82.417500000000018</v>
      </c>
      <c r="AA211" s="68" t="str">
        <f>LOOKUP(Z211,'Wire-Cables Ampacities'!$B$5:$B$35,'Wire-Cables Ampacities'!$C$5:$C$35)</f>
        <v>#4</v>
      </c>
      <c r="AB211" s="64">
        <f t="shared" si="178"/>
        <v>10</v>
      </c>
      <c r="AC211" s="25">
        <f t="shared" si="161"/>
        <v>55.000000000000007</v>
      </c>
      <c r="AD211" s="68" t="str">
        <f>LOOKUP(AC211,'Wire-Cables Ampacities'!$B$5:$B$35,'Wire-Cables Ampacities'!$C$5:$C$35)</f>
        <v>#8</v>
      </c>
      <c r="AE211" s="81">
        <f t="shared" si="179"/>
        <v>0.80000000000000016</v>
      </c>
      <c r="AF211" s="56">
        <f t="shared" si="162"/>
        <v>2729.7136</v>
      </c>
      <c r="AG211" s="72">
        <v>40</v>
      </c>
      <c r="AH211" s="15">
        <v>55</v>
      </c>
      <c r="AI211" s="64">
        <f t="shared" si="180"/>
        <v>20</v>
      </c>
      <c r="AJ211" s="56">
        <f t="shared" si="181"/>
        <v>112.64000000000003</v>
      </c>
      <c r="AK211" s="271">
        <f t="shared" si="163"/>
        <v>1.251555555555556</v>
      </c>
      <c r="AL211" s="277">
        <f t="shared" si="164"/>
        <v>0.62577777777777799</v>
      </c>
      <c r="AM211" s="58">
        <v>800</v>
      </c>
      <c r="AN211" s="25">
        <v>34</v>
      </c>
      <c r="AO211" s="3">
        <v>48</v>
      </c>
      <c r="AP211" s="3">
        <v>28</v>
      </c>
      <c r="AQ211" s="281">
        <f t="shared" si="182"/>
        <v>47.944444444444443</v>
      </c>
      <c r="AR211" s="287">
        <f t="shared" si="165"/>
        <v>1830.7552666666666</v>
      </c>
      <c r="AS211" s="93"/>
      <c r="AT211" s="4"/>
    </row>
    <row r="212" spans="1:46">
      <c r="A212" s="72">
        <f t="shared" si="166"/>
        <v>60</v>
      </c>
      <c r="B212" s="61">
        <v>2.4500000000000002</v>
      </c>
      <c r="C212" s="66">
        <f t="shared" si="167"/>
        <v>147</v>
      </c>
      <c r="D212" s="68">
        <v>60</v>
      </c>
      <c r="E212" s="186">
        <f t="shared" si="154"/>
        <v>480</v>
      </c>
      <c r="F212" s="45">
        <f t="shared" si="168"/>
        <v>34.375</v>
      </c>
      <c r="G212" s="94">
        <f t="shared" si="169"/>
        <v>12</v>
      </c>
      <c r="H212" s="295">
        <f t="shared" si="170"/>
        <v>182.75040000000004</v>
      </c>
      <c r="I212" s="25"/>
      <c r="J212" s="52">
        <f t="shared" si="171"/>
        <v>35</v>
      </c>
      <c r="K212" s="25">
        <f t="shared" si="172"/>
        <v>89.910000000000011</v>
      </c>
      <c r="L212" s="427">
        <f t="shared" si="155"/>
        <v>16.5</v>
      </c>
      <c r="M212" s="64">
        <f t="shared" si="173"/>
        <v>35</v>
      </c>
      <c r="N212" s="838">
        <f t="shared" si="156"/>
        <v>46.40625</v>
      </c>
      <c r="O212" s="68">
        <f>LOOKUP(N212,'Circuit Breakers'!$B$5:$B$38,'Circuit Breakers'!$C$5:$C$38)</f>
        <v>50</v>
      </c>
      <c r="P212" s="199">
        <f t="shared" si="157"/>
        <v>30</v>
      </c>
      <c r="Q212" s="1056">
        <f t="shared" si="174"/>
        <v>116.88300000000002</v>
      </c>
      <c r="R212" s="1064">
        <f>LOOKUP(Q212,'Circuit Breakers'!$B$5:$B$38,'Circuit Breakers'!$C$5:$C$38)</f>
        <v>125</v>
      </c>
      <c r="S212" s="64">
        <f t="shared" si="158"/>
        <v>30</v>
      </c>
      <c r="T212" s="25">
        <f t="shared" si="175"/>
        <v>78</v>
      </c>
      <c r="U212" s="158">
        <f>LOOKUP(T212,'Circuit Breakers'!$B$5:$B$38,'Circuit Breakers'!$C$5:$C$38)</f>
        <v>80</v>
      </c>
      <c r="V212" s="64">
        <f t="shared" si="176"/>
        <v>15</v>
      </c>
      <c r="W212" s="25">
        <f t="shared" si="159"/>
        <v>39.53125</v>
      </c>
      <c r="X212" s="68" t="str">
        <f>LOOKUP(W212,'Wire-Cables Ampacities'!$B$5:$B$35,'Wire-Cables Ampacities'!$C$5:$C$35)</f>
        <v>#10</v>
      </c>
      <c r="Y212" s="64">
        <f t="shared" si="177"/>
        <v>10</v>
      </c>
      <c r="Z212" s="25">
        <f t="shared" si="160"/>
        <v>98.901000000000025</v>
      </c>
      <c r="AA212" s="68" t="str">
        <f>LOOKUP(Z212,'Wire-Cables Ampacities'!$B$5:$B$35,'Wire-Cables Ampacities'!$C$5:$C$35)</f>
        <v>#4</v>
      </c>
      <c r="AB212" s="64">
        <f t="shared" si="178"/>
        <v>10</v>
      </c>
      <c r="AC212" s="25">
        <f t="shared" si="161"/>
        <v>66</v>
      </c>
      <c r="AD212" s="68" t="str">
        <f>LOOKUP(AC212,'Wire-Cables Ampacities'!$B$5:$B$35,'Wire-Cables Ampacities'!$C$5:$C$35)</f>
        <v>#6</v>
      </c>
      <c r="AE212" s="81">
        <f t="shared" si="179"/>
        <v>0.94500000000000006</v>
      </c>
      <c r="AF212" s="56">
        <f t="shared" si="162"/>
        <v>3224.4741899999999</v>
      </c>
      <c r="AG212" s="72">
        <v>40</v>
      </c>
      <c r="AH212" s="15">
        <v>55</v>
      </c>
      <c r="AI212" s="64">
        <f t="shared" si="180"/>
        <v>20</v>
      </c>
      <c r="AJ212" s="56">
        <f t="shared" si="181"/>
        <v>133.05600000000001</v>
      </c>
      <c r="AK212" s="271">
        <f t="shared" si="163"/>
        <v>1.4784000000000002</v>
      </c>
      <c r="AL212" s="277">
        <f t="shared" si="164"/>
        <v>0.73920000000000008</v>
      </c>
      <c r="AM212" s="58">
        <v>800</v>
      </c>
      <c r="AN212" s="25">
        <v>34</v>
      </c>
      <c r="AO212" s="3">
        <v>48</v>
      </c>
      <c r="AP212" s="3">
        <v>28</v>
      </c>
      <c r="AQ212" s="281">
        <f t="shared" si="182"/>
        <v>47.944444444444443</v>
      </c>
      <c r="AR212" s="287">
        <f t="shared" si="165"/>
        <v>2325.5158566666664</v>
      </c>
      <c r="AS212" s="93"/>
      <c r="AT212" s="4"/>
    </row>
    <row r="213" spans="1:46">
      <c r="A213" s="98">
        <f t="shared" si="166"/>
        <v>60</v>
      </c>
      <c r="B213" s="304">
        <v>2.4500000000000002</v>
      </c>
      <c r="C213" s="100">
        <f t="shared" si="167"/>
        <v>147</v>
      </c>
      <c r="D213" s="101">
        <v>75</v>
      </c>
      <c r="E213" s="183">
        <f t="shared" si="154"/>
        <v>480</v>
      </c>
      <c r="F213" s="102">
        <f t="shared" si="168"/>
        <v>43.75</v>
      </c>
      <c r="G213" s="103">
        <f t="shared" si="169"/>
        <v>12</v>
      </c>
      <c r="H213" s="296">
        <f t="shared" si="170"/>
        <v>182.75040000000004</v>
      </c>
      <c r="I213" s="104"/>
      <c r="J213" s="180">
        <f t="shared" si="171"/>
        <v>35</v>
      </c>
      <c r="K213" s="104">
        <f t="shared" si="172"/>
        <v>112.3875</v>
      </c>
      <c r="L213" s="428">
        <f t="shared" si="155"/>
        <v>21</v>
      </c>
      <c r="M213" s="106">
        <f t="shared" si="173"/>
        <v>35</v>
      </c>
      <c r="N213" s="1060">
        <f t="shared" si="156"/>
        <v>59.062500000000007</v>
      </c>
      <c r="O213" s="101">
        <f>LOOKUP(N213,'Circuit Breakers'!$B$5:$B$38,'Circuit Breakers'!$C$5:$C$38)</f>
        <v>60</v>
      </c>
      <c r="P213" s="262">
        <f t="shared" si="157"/>
        <v>30</v>
      </c>
      <c r="Q213" s="1057">
        <f t="shared" si="174"/>
        <v>146.10375000000002</v>
      </c>
      <c r="R213" s="1065">
        <f>LOOKUP(Q213,'Circuit Breakers'!$B$5:$B$38,'Circuit Breakers'!$C$5:$C$38)</f>
        <v>150</v>
      </c>
      <c r="S213" s="106">
        <f t="shared" si="158"/>
        <v>30</v>
      </c>
      <c r="T213" s="104">
        <f t="shared" si="175"/>
        <v>97.5</v>
      </c>
      <c r="U213" s="477">
        <f>LOOKUP(T213,'Circuit Breakers'!$B$5:$B$38,'Circuit Breakers'!$C$5:$C$38)</f>
        <v>100</v>
      </c>
      <c r="V213" s="106">
        <f t="shared" si="176"/>
        <v>15</v>
      </c>
      <c r="W213" s="104">
        <f t="shared" si="159"/>
        <v>50.312499999999993</v>
      </c>
      <c r="X213" s="101" t="str">
        <f>LOOKUP(W213,'Wire-Cables Ampacities'!$B$5:$B$35,'Wire-Cables Ampacities'!$C$5:$C$35)</f>
        <v>#8</v>
      </c>
      <c r="Y213" s="106">
        <f t="shared" si="177"/>
        <v>10</v>
      </c>
      <c r="Z213" s="104">
        <f t="shared" si="160"/>
        <v>123.62625000000001</v>
      </c>
      <c r="AA213" s="101" t="str">
        <f>LOOKUP(Z213,'Wire-Cables Ampacities'!$B$5:$B$35,'Wire-Cables Ampacities'!$C$5:$C$35)</f>
        <v>#2</v>
      </c>
      <c r="AB213" s="106">
        <f t="shared" si="178"/>
        <v>10</v>
      </c>
      <c r="AC213" s="104">
        <f t="shared" si="161"/>
        <v>82.5</v>
      </c>
      <c r="AD213" s="101" t="str">
        <f>LOOKUP(AC213,'Wire-Cables Ampacities'!$B$5:$B$35,'Wire-Cables Ampacities'!$C$5:$C$35)</f>
        <v>#4</v>
      </c>
      <c r="AE213" s="107">
        <f t="shared" si="179"/>
        <v>1.2</v>
      </c>
      <c r="AF213" s="105">
        <f t="shared" si="162"/>
        <v>4094.5703999999996</v>
      </c>
      <c r="AG213" s="98">
        <v>40</v>
      </c>
      <c r="AH213" s="99">
        <v>55</v>
      </c>
      <c r="AI213" s="106">
        <f t="shared" si="180"/>
        <v>20</v>
      </c>
      <c r="AJ213" s="105">
        <f t="shared" si="181"/>
        <v>168.96</v>
      </c>
      <c r="AK213" s="272">
        <f t="shared" si="163"/>
        <v>1.8773333333333335</v>
      </c>
      <c r="AL213" s="278">
        <f t="shared" si="164"/>
        <v>0.93866666666666676</v>
      </c>
      <c r="AM213" s="109">
        <v>800</v>
      </c>
      <c r="AN213" s="104">
        <v>34</v>
      </c>
      <c r="AO213" s="110">
        <v>48</v>
      </c>
      <c r="AP213" s="110">
        <v>28</v>
      </c>
      <c r="AQ213" s="282">
        <f t="shared" si="182"/>
        <v>47.944444444444443</v>
      </c>
      <c r="AR213" s="288">
        <f t="shared" si="165"/>
        <v>3195.6120666666661</v>
      </c>
      <c r="AS213" s="93"/>
      <c r="AT213" s="4"/>
    </row>
    <row r="214" spans="1:46">
      <c r="A214" s="72">
        <f t="shared" si="166"/>
        <v>60</v>
      </c>
      <c r="B214" s="61">
        <v>2.4500000000000002</v>
      </c>
      <c r="C214" s="66">
        <f t="shared" si="167"/>
        <v>147</v>
      </c>
      <c r="D214" s="68">
        <v>100</v>
      </c>
      <c r="E214" s="186">
        <f t="shared" si="154"/>
        <v>480</v>
      </c>
      <c r="F214" s="45">
        <f t="shared" si="168"/>
        <v>58.333333333333336</v>
      </c>
      <c r="G214" s="94">
        <f t="shared" si="169"/>
        <v>12</v>
      </c>
      <c r="H214" s="295">
        <f t="shared" si="170"/>
        <v>182.75040000000004</v>
      </c>
      <c r="I214" s="25"/>
      <c r="J214" s="52">
        <f t="shared" si="171"/>
        <v>35</v>
      </c>
      <c r="K214" s="25">
        <f t="shared" si="172"/>
        <v>149.85000000000002</v>
      </c>
      <c r="L214" s="427">
        <f t="shared" si="155"/>
        <v>28</v>
      </c>
      <c r="M214" s="64">
        <f t="shared" si="173"/>
        <v>35</v>
      </c>
      <c r="N214" s="838">
        <f t="shared" si="156"/>
        <v>78.750000000000014</v>
      </c>
      <c r="O214" s="68">
        <f>LOOKUP(N214,'Circuit Breakers'!$B$5:$B$38,'Circuit Breakers'!$C$5:$C$38)</f>
        <v>80</v>
      </c>
      <c r="P214" s="199">
        <f t="shared" si="157"/>
        <v>30</v>
      </c>
      <c r="Q214" s="1056">
        <f t="shared" si="174"/>
        <v>194.80500000000004</v>
      </c>
      <c r="R214" s="1064">
        <f>LOOKUP(Q214,'Circuit Breakers'!$B$5:$B$38,'Circuit Breakers'!$C$5:$C$38)</f>
        <v>200</v>
      </c>
      <c r="S214" s="64">
        <f t="shared" si="158"/>
        <v>30</v>
      </c>
      <c r="T214" s="25">
        <f t="shared" si="175"/>
        <v>130</v>
      </c>
      <c r="U214" s="158">
        <f>LOOKUP(T214,'Circuit Breakers'!$B$5:$B$38,'Circuit Breakers'!$C$5:$C$38)</f>
        <v>150</v>
      </c>
      <c r="V214" s="64">
        <f t="shared" si="176"/>
        <v>15</v>
      </c>
      <c r="W214" s="25">
        <f t="shared" si="159"/>
        <v>67.083333333333329</v>
      </c>
      <c r="X214" s="68" t="str">
        <f>LOOKUP(W214,'Wire-Cables Ampacities'!$B$5:$B$35,'Wire-Cables Ampacities'!$C$5:$C$35)</f>
        <v>#6</v>
      </c>
      <c r="Y214" s="64">
        <f t="shared" si="177"/>
        <v>10</v>
      </c>
      <c r="Z214" s="25">
        <f t="shared" si="160"/>
        <v>164.83500000000004</v>
      </c>
      <c r="AA214" s="68" t="str">
        <f>LOOKUP(Z214,'Wire-Cables Ampacities'!$B$5:$B$35,'Wire-Cables Ampacities'!$C$5:$C$35)</f>
        <v>#1</v>
      </c>
      <c r="AB214" s="64">
        <f t="shared" si="178"/>
        <v>10</v>
      </c>
      <c r="AC214" s="25">
        <f t="shared" si="161"/>
        <v>110.00000000000001</v>
      </c>
      <c r="AD214" s="68" t="str">
        <f>LOOKUP(AC214,'Wire-Cables Ampacities'!$B$5:$B$35,'Wire-Cables Ampacities'!$C$5:$C$35)</f>
        <v>#3</v>
      </c>
      <c r="AE214" s="81">
        <f t="shared" si="179"/>
        <v>1.6000000000000003</v>
      </c>
      <c r="AF214" s="56">
        <f t="shared" si="162"/>
        <v>5459.4272000000001</v>
      </c>
      <c r="AG214" s="72">
        <v>40</v>
      </c>
      <c r="AH214" s="15">
        <v>55</v>
      </c>
      <c r="AI214" s="64">
        <f t="shared" si="180"/>
        <v>20</v>
      </c>
      <c r="AJ214" s="56">
        <f t="shared" si="181"/>
        <v>225.28000000000006</v>
      </c>
      <c r="AK214" s="271">
        <f t="shared" si="163"/>
        <v>2.503111111111112</v>
      </c>
      <c r="AL214" s="277">
        <f t="shared" si="164"/>
        <v>1.251555555555556</v>
      </c>
      <c r="AM214" s="58">
        <v>800</v>
      </c>
      <c r="AN214" s="25">
        <v>34</v>
      </c>
      <c r="AO214" s="3">
        <v>48</v>
      </c>
      <c r="AP214" s="3">
        <v>28</v>
      </c>
      <c r="AQ214" s="281">
        <f t="shared" si="182"/>
        <v>47.944444444444443</v>
      </c>
      <c r="AR214" s="287">
        <f t="shared" si="165"/>
        <v>4560.4688666666671</v>
      </c>
      <c r="AS214" s="93"/>
      <c r="AT214" s="4"/>
    </row>
    <row r="215" spans="1:46">
      <c r="A215" s="72">
        <f t="shared" si="166"/>
        <v>60</v>
      </c>
      <c r="B215" s="61">
        <v>2.4500000000000002</v>
      </c>
      <c r="C215" s="66">
        <f t="shared" si="167"/>
        <v>147</v>
      </c>
      <c r="D215" s="68">
        <v>125</v>
      </c>
      <c r="E215" s="186">
        <f t="shared" si="154"/>
        <v>480</v>
      </c>
      <c r="F215" s="45">
        <f t="shared" si="168"/>
        <v>72.916666666666671</v>
      </c>
      <c r="G215" s="94">
        <f t="shared" si="169"/>
        <v>12</v>
      </c>
      <c r="H215" s="295">
        <f t="shared" si="170"/>
        <v>182.75040000000004</v>
      </c>
      <c r="I215" s="25"/>
      <c r="J215" s="52">
        <f t="shared" si="171"/>
        <v>35</v>
      </c>
      <c r="K215" s="25">
        <f t="shared" si="172"/>
        <v>187.31250000000003</v>
      </c>
      <c r="L215" s="427">
        <f t="shared" si="155"/>
        <v>35</v>
      </c>
      <c r="M215" s="64">
        <f t="shared" si="173"/>
        <v>35</v>
      </c>
      <c r="N215" s="838">
        <f t="shared" si="156"/>
        <v>98.437500000000014</v>
      </c>
      <c r="O215" s="68">
        <f>LOOKUP(N215,'Circuit Breakers'!$B$5:$B$38,'Circuit Breakers'!$C$5:$C$38)</f>
        <v>100</v>
      </c>
      <c r="P215" s="199">
        <f t="shared" si="157"/>
        <v>30</v>
      </c>
      <c r="Q215" s="1056">
        <f t="shared" si="174"/>
        <v>243.50625000000005</v>
      </c>
      <c r="R215" s="1064">
        <f>LOOKUP(Q215,'Circuit Breakers'!$B$5:$B$38,'Circuit Breakers'!$C$5:$C$38)</f>
        <v>250</v>
      </c>
      <c r="S215" s="64">
        <f t="shared" si="158"/>
        <v>30</v>
      </c>
      <c r="T215" s="25">
        <f t="shared" si="175"/>
        <v>162.5</v>
      </c>
      <c r="U215" s="158">
        <f>LOOKUP(T215,'Circuit Breakers'!$B$5:$B$38,'Circuit Breakers'!$C$5:$C$38)</f>
        <v>175</v>
      </c>
      <c r="V215" s="64">
        <f t="shared" si="176"/>
        <v>15</v>
      </c>
      <c r="W215" s="25">
        <f t="shared" si="159"/>
        <v>83.854166666666671</v>
      </c>
      <c r="X215" s="68" t="str">
        <f>LOOKUP(W215,'Wire-Cables Ampacities'!$B$5:$B$35,'Wire-Cables Ampacities'!$C$5:$C$35)</f>
        <v>#4</v>
      </c>
      <c r="Y215" s="64">
        <f t="shared" si="177"/>
        <v>10</v>
      </c>
      <c r="Z215" s="25">
        <f t="shared" si="160"/>
        <v>206.04375000000005</v>
      </c>
      <c r="AA215" s="68" t="str">
        <f>LOOKUP(Z215,'Wire-Cables Ampacities'!$B$5:$B$35,'Wire-Cables Ampacities'!$C$5:$C$35)</f>
        <v>#2/0</v>
      </c>
      <c r="AB215" s="64">
        <f t="shared" si="178"/>
        <v>10</v>
      </c>
      <c r="AC215" s="25">
        <f t="shared" si="161"/>
        <v>137.5</v>
      </c>
      <c r="AD215" s="68" t="str">
        <f>LOOKUP(AC215,'Wire-Cables Ampacities'!$B$5:$B$35,'Wire-Cables Ampacities'!$C$5:$C$35)</f>
        <v>#2</v>
      </c>
      <c r="AE215" s="81">
        <f t="shared" si="179"/>
        <v>2</v>
      </c>
      <c r="AF215" s="56">
        <f t="shared" si="162"/>
        <v>6824.2839999999997</v>
      </c>
      <c r="AG215" s="72">
        <v>40</v>
      </c>
      <c r="AH215" s="15">
        <v>55</v>
      </c>
      <c r="AI215" s="64">
        <f t="shared" si="180"/>
        <v>20</v>
      </c>
      <c r="AJ215" s="56">
        <f t="shared" si="181"/>
        <v>281.59999999999997</v>
      </c>
      <c r="AK215" s="271">
        <f t="shared" si="163"/>
        <v>3.1288888888888886</v>
      </c>
      <c r="AL215" s="277">
        <f t="shared" si="164"/>
        <v>1.5644444444444443</v>
      </c>
      <c r="AM215" s="58">
        <v>800</v>
      </c>
      <c r="AN215" s="25">
        <v>34</v>
      </c>
      <c r="AO215" s="3">
        <v>48</v>
      </c>
      <c r="AP215" s="3">
        <v>28</v>
      </c>
      <c r="AQ215" s="281">
        <f t="shared" si="182"/>
        <v>47.944444444444443</v>
      </c>
      <c r="AR215" s="287">
        <f t="shared" si="165"/>
        <v>5925.3256666666666</v>
      </c>
      <c r="AS215" s="93"/>
      <c r="AT215" s="4"/>
    </row>
    <row r="216" spans="1:46">
      <c r="A216" s="98">
        <f t="shared" si="166"/>
        <v>60</v>
      </c>
      <c r="B216" s="304">
        <v>2.4500000000000002</v>
      </c>
      <c r="C216" s="100">
        <f t="shared" si="167"/>
        <v>147</v>
      </c>
      <c r="D216" s="101">
        <v>150</v>
      </c>
      <c r="E216" s="183">
        <f t="shared" si="154"/>
        <v>480</v>
      </c>
      <c r="F216" s="102">
        <f t="shared" si="168"/>
        <v>87.5</v>
      </c>
      <c r="G216" s="103">
        <f t="shared" si="169"/>
        <v>12</v>
      </c>
      <c r="H216" s="296">
        <f t="shared" si="170"/>
        <v>182.75040000000004</v>
      </c>
      <c r="I216" s="104"/>
      <c r="J216" s="180">
        <f t="shared" si="171"/>
        <v>35</v>
      </c>
      <c r="K216" s="104">
        <f t="shared" si="172"/>
        <v>224.77500000000001</v>
      </c>
      <c r="L216" s="428">
        <f t="shared" si="155"/>
        <v>42</v>
      </c>
      <c r="M216" s="106">
        <f t="shared" si="173"/>
        <v>35</v>
      </c>
      <c r="N216" s="1060">
        <f t="shared" si="156"/>
        <v>118.12500000000001</v>
      </c>
      <c r="O216" s="101">
        <f>LOOKUP(N216,'Circuit Breakers'!$B$5:$B$38,'Circuit Breakers'!$C$5:$C$38)</f>
        <v>125</v>
      </c>
      <c r="P216" s="262">
        <f t="shared" si="157"/>
        <v>30</v>
      </c>
      <c r="Q216" s="1057">
        <f t="shared" si="174"/>
        <v>292.20750000000004</v>
      </c>
      <c r="R216" s="1065">
        <f>LOOKUP(Q216,'Circuit Breakers'!$B$5:$B$38,'Circuit Breakers'!$C$5:$C$38)</f>
        <v>300</v>
      </c>
      <c r="S216" s="106">
        <f t="shared" si="158"/>
        <v>30</v>
      </c>
      <c r="T216" s="104">
        <f t="shared" si="175"/>
        <v>195</v>
      </c>
      <c r="U216" s="477">
        <f>LOOKUP(T216,'Circuit Breakers'!$B$5:$B$38,'Circuit Breakers'!$C$5:$C$38)</f>
        <v>200</v>
      </c>
      <c r="V216" s="106">
        <f t="shared" si="176"/>
        <v>15</v>
      </c>
      <c r="W216" s="104">
        <f t="shared" si="159"/>
        <v>100.62499999999999</v>
      </c>
      <c r="X216" s="101" t="str">
        <f>LOOKUP(W216,'Wire-Cables Ampacities'!$B$5:$B$35,'Wire-Cables Ampacities'!$C$5:$C$35)</f>
        <v>#4</v>
      </c>
      <c r="Y216" s="106">
        <f t="shared" si="177"/>
        <v>10</v>
      </c>
      <c r="Z216" s="104">
        <f t="shared" si="160"/>
        <v>247.25250000000003</v>
      </c>
      <c r="AA216" s="101" t="str">
        <f>LOOKUP(Z216,'Wire-Cables Ampacities'!$B$5:$B$35,'Wire-Cables Ampacities'!$C$5:$C$35)</f>
        <v>#3/0</v>
      </c>
      <c r="AB216" s="106">
        <f t="shared" si="178"/>
        <v>10</v>
      </c>
      <c r="AC216" s="104">
        <f t="shared" si="161"/>
        <v>165</v>
      </c>
      <c r="AD216" s="101" t="str">
        <f>LOOKUP(AC216,'Wire-Cables Ampacities'!$B$5:$B$35,'Wire-Cables Ampacities'!$C$5:$C$35)</f>
        <v>#1</v>
      </c>
      <c r="AE216" s="107">
        <f t="shared" si="179"/>
        <v>2.4</v>
      </c>
      <c r="AF216" s="105">
        <f t="shared" si="162"/>
        <v>8189.1407999999992</v>
      </c>
      <c r="AG216" s="98">
        <v>40</v>
      </c>
      <c r="AH216" s="99">
        <v>55</v>
      </c>
      <c r="AI216" s="106">
        <f t="shared" si="180"/>
        <v>20</v>
      </c>
      <c r="AJ216" s="105">
        <f t="shared" si="181"/>
        <v>337.92</v>
      </c>
      <c r="AK216" s="272">
        <f t="shared" si="163"/>
        <v>3.754666666666667</v>
      </c>
      <c r="AL216" s="278">
        <f t="shared" si="164"/>
        <v>1.8773333333333335</v>
      </c>
      <c r="AM216" s="109">
        <v>800</v>
      </c>
      <c r="AN216" s="104">
        <v>34</v>
      </c>
      <c r="AO216" s="110">
        <v>48</v>
      </c>
      <c r="AP216" s="110">
        <v>28</v>
      </c>
      <c r="AQ216" s="282">
        <f t="shared" si="182"/>
        <v>47.944444444444443</v>
      </c>
      <c r="AR216" s="288">
        <f t="shared" si="165"/>
        <v>7290.1824666666662</v>
      </c>
      <c r="AS216" s="93"/>
      <c r="AT216" s="4"/>
    </row>
    <row r="217" spans="1:46">
      <c r="A217" s="72">
        <f t="shared" si="166"/>
        <v>60</v>
      </c>
      <c r="B217" s="61">
        <v>2.4500000000000002</v>
      </c>
      <c r="C217" s="66">
        <f t="shared" si="167"/>
        <v>147</v>
      </c>
      <c r="D217" s="68">
        <v>175</v>
      </c>
      <c r="E217" s="186">
        <f t="shared" si="154"/>
        <v>480</v>
      </c>
      <c r="F217" s="45">
        <f t="shared" si="168"/>
        <v>100</v>
      </c>
      <c r="G217" s="94">
        <f t="shared" si="169"/>
        <v>12</v>
      </c>
      <c r="H217" s="295">
        <f t="shared" si="170"/>
        <v>182.75040000000004</v>
      </c>
      <c r="I217" s="25"/>
      <c r="J217" s="52">
        <f t="shared" si="171"/>
        <v>35</v>
      </c>
      <c r="K217" s="25">
        <f t="shared" si="172"/>
        <v>262.23750000000007</v>
      </c>
      <c r="L217" s="427">
        <f t="shared" si="155"/>
        <v>48</v>
      </c>
      <c r="M217" s="64">
        <f t="shared" si="173"/>
        <v>35</v>
      </c>
      <c r="N217" s="838">
        <f t="shared" si="156"/>
        <v>135</v>
      </c>
      <c r="O217" s="68">
        <f>LOOKUP(N217,'Circuit Breakers'!$B$5:$B$38,'Circuit Breakers'!$C$5:$C$38)</f>
        <v>150</v>
      </c>
      <c r="P217" s="199">
        <f t="shared" si="157"/>
        <v>30</v>
      </c>
      <c r="Q217" s="1056">
        <f t="shared" si="174"/>
        <v>340.90875000000011</v>
      </c>
      <c r="R217" s="1064">
        <f>LOOKUP(Q217,'Circuit Breakers'!$B$5:$B$38,'Circuit Breakers'!$C$5:$C$38)</f>
        <v>350</v>
      </c>
      <c r="S217" s="64">
        <f t="shared" si="158"/>
        <v>30</v>
      </c>
      <c r="T217" s="25">
        <f t="shared" si="175"/>
        <v>227.5</v>
      </c>
      <c r="U217" s="158">
        <f>LOOKUP(T217,'Circuit Breakers'!$B$5:$B$38,'Circuit Breakers'!$C$5:$C$38)</f>
        <v>250</v>
      </c>
      <c r="V217" s="64">
        <f t="shared" si="176"/>
        <v>15</v>
      </c>
      <c r="W217" s="25">
        <f t="shared" si="159"/>
        <v>114.99999999999999</v>
      </c>
      <c r="X217" s="68" t="str">
        <f>LOOKUP(W217,'Wire-Cables Ampacities'!$B$5:$B$35,'Wire-Cables Ampacities'!$C$5:$C$35)</f>
        <v>#3</v>
      </c>
      <c r="Y217" s="64">
        <f t="shared" si="177"/>
        <v>10</v>
      </c>
      <c r="Z217" s="25">
        <f t="shared" si="160"/>
        <v>288.46125000000012</v>
      </c>
      <c r="AA217" s="68" t="str">
        <f>LOOKUP(Z217,'Wire-Cables Ampacities'!$B$5:$B$35,'Wire-Cables Ampacities'!$C$5:$C$35)</f>
        <v>#4/0</v>
      </c>
      <c r="AB217" s="64">
        <f t="shared" si="178"/>
        <v>10</v>
      </c>
      <c r="AC217" s="25">
        <f t="shared" si="161"/>
        <v>192.50000000000003</v>
      </c>
      <c r="AD217" s="68" t="str">
        <f>LOOKUP(AC217,'Wire-Cables Ampacities'!$B$5:$B$35,'Wire-Cables Ampacities'!$C$5:$C$35)</f>
        <v>#1/0</v>
      </c>
      <c r="AE217" s="81">
        <f t="shared" si="179"/>
        <v>2.7500000000000004</v>
      </c>
      <c r="AF217" s="56">
        <f t="shared" si="162"/>
        <v>9383.3905000000013</v>
      </c>
      <c r="AG217" s="72">
        <v>40</v>
      </c>
      <c r="AH217" s="15">
        <v>55</v>
      </c>
      <c r="AI217" s="64">
        <f t="shared" si="180"/>
        <v>20</v>
      </c>
      <c r="AJ217" s="56">
        <f t="shared" si="181"/>
        <v>387.2000000000001</v>
      </c>
      <c r="AK217" s="271">
        <f t="shared" si="163"/>
        <v>4.3022222222222233</v>
      </c>
      <c r="AL217" s="277">
        <f t="shared" si="164"/>
        <v>2.1511111111111116</v>
      </c>
      <c r="AM217" s="58">
        <v>1200</v>
      </c>
      <c r="AN217" s="25">
        <v>38</v>
      </c>
      <c r="AO217" s="3">
        <v>70</v>
      </c>
      <c r="AP217" s="3">
        <v>28</v>
      </c>
      <c r="AQ217" s="281">
        <f t="shared" si="182"/>
        <v>71.555555555555557</v>
      </c>
      <c r="AR217" s="287">
        <f t="shared" si="165"/>
        <v>8041.7238333333344</v>
      </c>
      <c r="AS217" s="93"/>
      <c r="AT217" s="4"/>
    </row>
    <row r="218" spans="1:46">
      <c r="A218" s="72">
        <f t="shared" si="166"/>
        <v>60</v>
      </c>
      <c r="B218" s="61">
        <v>2.4500000000000002</v>
      </c>
      <c r="C218" s="66">
        <f t="shared" si="167"/>
        <v>147</v>
      </c>
      <c r="D218" s="68">
        <v>200</v>
      </c>
      <c r="E218" s="186">
        <f t="shared" si="154"/>
        <v>480</v>
      </c>
      <c r="F218" s="45">
        <f t="shared" si="168"/>
        <v>114.58333333333333</v>
      </c>
      <c r="G218" s="94">
        <f t="shared" si="169"/>
        <v>12</v>
      </c>
      <c r="H218" s="295">
        <f t="shared" si="170"/>
        <v>182.75040000000004</v>
      </c>
      <c r="I218" s="25"/>
      <c r="J218" s="52">
        <f t="shared" si="171"/>
        <v>35</v>
      </c>
      <c r="K218" s="25">
        <f t="shared" si="172"/>
        <v>299.70000000000005</v>
      </c>
      <c r="L218" s="427">
        <f t="shared" si="155"/>
        <v>55</v>
      </c>
      <c r="M218" s="64">
        <f t="shared" si="173"/>
        <v>35</v>
      </c>
      <c r="N218" s="838">
        <f t="shared" si="156"/>
        <v>154.6875</v>
      </c>
      <c r="O218" s="68">
        <f>LOOKUP(N218,'Circuit Breakers'!$B$5:$B$38,'Circuit Breakers'!$C$5:$C$38)</f>
        <v>175</v>
      </c>
      <c r="P218" s="199">
        <f t="shared" si="157"/>
        <v>30</v>
      </c>
      <c r="Q218" s="1056">
        <f t="shared" si="174"/>
        <v>389.61000000000007</v>
      </c>
      <c r="R218" s="1064">
        <f>LOOKUP(Q218,'Circuit Breakers'!$B$5:$B$38,'Circuit Breakers'!$C$5:$C$38)</f>
        <v>400</v>
      </c>
      <c r="S218" s="64">
        <f t="shared" si="158"/>
        <v>30</v>
      </c>
      <c r="T218" s="25">
        <f t="shared" si="175"/>
        <v>260</v>
      </c>
      <c r="U218" s="158">
        <f>LOOKUP(T218,'Circuit Breakers'!$B$5:$B$38,'Circuit Breakers'!$C$5:$C$38)</f>
        <v>300</v>
      </c>
      <c r="V218" s="64">
        <f t="shared" si="176"/>
        <v>15</v>
      </c>
      <c r="W218" s="25">
        <f t="shared" si="159"/>
        <v>131.77083333333331</v>
      </c>
      <c r="X218" s="68" t="str">
        <f>LOOKUP(W218,'Wire-Cables Ampacities'!$B$5:$B$35,'Wire-Cables Ampacities'!$C$5:$C$35)</f>
        <v>#2</v>
      </c>
      <c r="Y218" s="64">
        <f t="shared" si="177"/>
        <v>10</v>
      </c>
      <c r="Z218" s="25">
        <f t="shared" si="160"/>
        <v>329.67000000000007</v>
      </c>
      <c r="AA218" s="68" t="str">
        <f>LOOKUP(Z218,'Wire-Cables Ampacities'!$B$5:$B$35,'Wire-Cables Ampacities'!$C$5:$C$35)</f>
        <v>250MCM</v>
      </c>
      <c r="AB218" s="64">
        <f t="shared" si="178"/>
        <v>10</v>
      </c>
      <c r="AC218" s="25">
        <f t="shared" si="161"/>
        <v>220.00000000000003</v>
      </c>
      <c r="AD218" s="68" t="str">
        <f>LOOKUP(AC218,'Wire-Cables Ampacities'!$B$5:$B$35,'Wire-Cables Ampacities'!$C$5:$C$35)</f>
        <v>#2/0</v>
      </c>
      <c r="AE218" s="81">
        <f t="shared" si="179"/>
        <v>3.15</v>
      </c>
      <c r="AF218" s="56">
        <f t="shared" si="162"/>
        <v>10748.247299999999</v>
      </c>
      <c r="AG218" s="72">
        <v>40</v>
      </c>
      <c r="AH218" s="15">
        <v>55</v>
      </c>
      <c r="AI218" s="64">
        <f t="shared" si="180"/>
        <v>20</v>
      </c>
      <c r="AJ218" s="56">
        <f t="shared" si="181"/>
        <v>443.52000000000004</v>
      </c>
      <c r="AK218" s="271">
        <f t="shared" si="163"/>
        <v>4.9280000000000008</v>
      </c>
      <c r="AL218" s="277">
        <f t="shared" si="164"/>
        <v>2.4640000000000004</v>
      </c>
      <c r="AM218" s="58">
        <v>1200</v>
      </c>
      <c r="AN218" s="25">
        <v>38</v>
      </c>
      <c r="AO218" s="3">
        <v>70</v>
      </c>
      <c r="AP218" s="3">
        <v>28</v>
      </c>
      <c r="AQ218" s="281">
        <f t="shared" si="182"/>
        <v>71.555555555555557</v>
      </c>
      <c r="AR218" s="287">
        <f t="shared" si="165"/>
        <v>9406.580633333333</v>
      </c>
      <c r="AS218" s="93"/>
      <c r="AT218" s="4"/>
    </row>
    <row r="219" spans="1:46">
      <c r="A219" s="98">
        <f t="shared" si="166"/>
        <v>60</v>
      </c>
      <c r="B219" s="304">
        <v>2.4500000000000002</v>
      </c>
      <c r="C219" s="100">
        <f t="shared" si="167"/>
        <v>147</v>
      </c>
      <c r="D219" s="101">
        <v>250</v>
      </c>
      <c r="E219" s="183">
        <f t="shared" si="154"/>
        <v>480</v>
      </c>
      <c r="F219" s="102">
        <f t="shared" si="168"/>
        <v>143.75</v>
      </c>
      <c r="G219" s="103">
        <f t="shared" si="169"/>
        <v>12</v>
      </c>
      <c r="H219" s="296">
        <f t="shared" si="170"/>
        <v>182.75040000000004</v>
      </c>
      <c r="I219" s="104"/>
      <c r="J219" s="180">
        <f t="shared" si="171"/>
        <v>35</v>
      </c>
      <c r="K219" s="104">
        <f t="shared" si="172"/>
        <v>374.62500000000006</v>
      </c>
      <c r="L219" s="428">
        <f t="shared" si="155"/>
        <v>69</v>
      </c>
      <c r="M219" s="106">
        <f t="shared" si="173"/>
        <v>35</v>
      </c>
      <c r="N219" s="1060">
        <f t="shared" si="156"/>
        <v>194.0625</v>
      </c>
      <c r="O219" s="101">
        <f>LOOKUP(N219,'Circuit Breakers'!$B$5:$B$38,'Circuit Breakers'!$C$5:$C$38)</f>
        <v>200</v>
      </c>
      <c r="P219" s="262">
        <f t="shared" si="157"/>
        <v>30</v>
      </c>
      <c r="Q219" s="1057">
        <f t="shared" si="174"/>
        <v>487.0125000000001</v>
      </c>
      <c r="R219" s="1065">
        <f>LOOKUP(Q219,'Circuit Breakers'!$B$5:$B$38,'Circuit Breakers'!$C$5:$C$38)</f>
        <v>500</v>
      </c>
      <c r="S219" s="106">
        <f t="shared" si="158"/>
        <v>30</v>
      </c>
      <c r="T219" s="104">
        <f t="shared" si="175"/>
        <v>325</v>
      </c>
      <c r="U219" s="477">
        <f>LOOKUP(T219,'Circuit Breakers'!$B$5:$B$38,'Circuit Breakers'!$C$5:$C$38)</f>
        <v>350</v>
      </c>
      <c r="V219" s="106">
        <f t="shared" si="176"/>
        <v>15</v>
      </c>
      <c r="W219" s="104">
        <f t="shared" si="159"/>
        <v>165.3125</v>
      </c>
      <c r="X219" s="101" t="str">
        <f>LOOKUP(W219,'Wire-Cables Ampacities'!$B$5:$B$35,'Wire-Cables Ampacities'!$C$5:$C$35)</f>
        <v>#1</v>
      </c>
      <c r="Y219" s="106">
        <f t="shared" si="177"/>
        <v>10</v>
      </c>
      <c r="Z219" s="104">
        <f t="shared" si="160"/>
        <v>412.08750000000009</v>
      </c>
      <c r="AA219" s="101" t="str">
        <f>LOOKUP(Z219,'Wire-Cables Ampacities'!$B$5:$B$35,'Wire-Cables Ampacities'!$C$5:$C$35)</f>
        <v>#2/0 2x</v>
      </c>
      <c r="AB219" s="106">
        <f t="shared" si="178"/>
        <v>10</v>
      </c>
      <c r="AC219" s="104">
        <f t="shared" si="161"/>
        <v>275</v>
      </c>
      <c r="AD219" s="101" t="str">
        <f>LOOKUP(AC219,'Wire-Cables Ampacities'!$B$5:$B$35,'Wire-Cables Ampacities'!$C$5:$C$35)</f>
        <v>#4/0</v>
      </c>
      <c r="AE219" s="107">
        <f t="shared" si="179"/>
        <v>3.95</v>
      </c>
      <c r="AF219" s="105">
        <f t="shared" si="162"/>
        <v>13477.9609</v>
      </c>
      <c r="AG219" s="98">
        <v>40</v>
      </c>
      <c r="AH219" s="99">
        <v>55</v>
      </c>
      <c r="AI219" s="106">
        <f t="shared" si="180"/>
        <v>20</v>
      </c>
      <c r="AJ219" s="105">
        <f t="shared" si="181"/>
        <v>556.16</v>
      </c>
      <c r="AK219" s="272">
        <f t="shared" si="163"/>
        <v>6.179555555555555</v>
      </c>
      <c r="AL219" s="278">
        <f t="shared" si="164"/>
        <v>3.0897777777777775</v>
      </c>
      <c r="AM219" s="109">
        <v>1200</v>
      </c>
      <c r="AN219" s="104">
        <v>38</v>
      </c>
      <c r="AO219" s="110">
        <v>70</v>
      </c>
      <c r="AP219" s="110">
        <v>28</v>
      </c>
      <c r="AQ219" s="282">
        <f t="shared" si="182"/>
        <v>71.555555555555557</v>
      </c>
      <c r="AR219" s="288">
        <f t="shared" si="165"/>
        <v>12136.294233333334</v>
      </c>
      <c r="AS219" s="93"/>
      <c r="AT219" s="4"/>
    </row>
    <row r="220" spans="1:46">
      <c r="A220" s="72">
        <f t="shared" si="166"/>
        <v>60</v>
      </c>
      <c r="B220" s="61">
        <v>2.4500000000000002</v>
      </c>
      <c r="C220" s="66">
        <f t="shared" si="167"/>
        <v>147</v>
      </c>
      <c r="D220" s="68">
        <v>300</v>
      </c>
      <c r="E220" s="186">
        <f t="shared" si="154"/>
        <v>480</v>
      </c>
      <c r="F220" s="45">
        <f t="shared" si="168"/>
        <v>172.91666666666666</v>
      </c>
      <c r="G220" s="94">
        <f t="shared" si="169"/>
        <v>12</v>
      </c>
      <c r="H220" s="295">
        <f t="shared" si="170"/>
        <v>182.75040000000004</v>
      </c>
      <c r="I220" s="25"/>
      <c r="J220" s="52">
        <f t="shared" si="171"/>
        <v>35</v>
      </c>
      <c r="K220" s="25">
        <f t="shared" si="172"/>
        <v>449.55</v>
      </c>
      <c r="L220" s="427">
        <f t="shared" si="155"/>
        <v>83</v>
      </c>
      <c r="M220" s="64">
        <f t="shared" si="173"/>
        <v>35</v>
      </c>
      <c r="N220" s="838">
        <f t="shared" si="156"/>
        <v>233.4375</v>
      </c>
      <c r="O220" s="68">
        <f>LOOKUP(N220,'Circuit Breakers'!$B$5:$B$38,'Circuit Breakers'!$C$5:$C$38)</f>
        <v>250</v>
      </c>
      <c r="P220" s="199">
        <f t="shared" si="157"/>
        <v>30</v>
      </c>
      <c r="Q220" s="1056">
        <f t="shared" si="174"/>
        <v>584.41500000000008</v>
      </c>
      <c r="R220" s="1064">
        <f>LOOKUP(Q220,'Circuit Breakers'!$B$5:$B$38,'Circuit Breakers'!$C$5:$C$38)</f>
        <v>600</v>
      </c>
      <c r="S220" s="64">
        <f t="shared" si="158"/>
        <v>30</v>
      </c>
      <c r="T220" s="25">
        <f t="shared" si="175"/>
        <v>390</v>
      </c>
      <c r="U220" s="158">
        <f>LOOKUP(T220,'Circuit Breakers'!$B$5:$B$38,'Circuit Breakers'!$C$5:$C$38)</f>
        <v>400</v>
      </c>
      <c r="V220" s="64">
        <f t="shared" si="176"/>
        <v>15</v>
      </c>
      <c r="W220" s="25">
        <f t="shared" si="159"/>
        <v>198.85416666666663</v>
      </c>
      <c r="X220" s="68" t="str">
        <f>LOOKUP(W220,'Wire-Cables Ampacities'!$B$5:$B$35,'Wire-Cables Ampacities'!$C$5:$C$35)</f>
        <v>#2/0</v>
      </c>
      <c r="Y220" s="64">
        <f t="shared" si="177"/>
        <v>10</v>
      </c>
      <c r="Z220" s="25">
        <f t="shared" si="160"/>
        <v>494.50500000000005</v>
      </c>
      <c r="AA220" s="68" t="str">
        <f>LOOKUP(Z220,'Wire-Cables Ampacities'!$B$5:$B$35,'Wire-Cables Ampacities'!$C$5:$C$35)</f>
        <v>#3/0 2x</v>
      </c>
      <c r="AB220" s="64">
        <f t="shared" si="178"/>
        <v>10</v>
      </c>
      <c r="AC220" s="25">
        <f t="shared" si="161"/>
        <v>330</v>
      </c>
      <c r="AD220" s="68" t="str">
        <f>LOOKUP(AC220,'Wire-Cables Ampacities'!$B$5:$B$35,'Wire-Cables Ampacities'!$C$5:$C$35)</f>
        <v>250MCM</v>
      </c>
      <c r="AE220" s="81">
        <f t="shared" si="179"/>
        <v>4.75</v>
      </c>
      <c r="AF220" s="56">
        <f t="shared" ref="AF220:AF231" si="183">AE220*3.412142*1000</f>
        <v>16207.674499999999</v>
      </c>
      <c r="AG220" s="72">
        <v>40</v>
      </c>
      <c r="AH220" s="15">
        <v>55</v>
      </c>
      <c r="AI220" s="64">
        <f t="shared" si="180"/>
        <v>20</v>
      </c>
      <c r="AJ220" s="56">
        <f t="shared" si="181"/>
        <v>668.80000000000007</v>
      </c>
      <c r="AK220" s="271">
        <f t="shared" si="163"/>
        <v>7.4311111111111119</v>
      </c>
      <c r="AL220" s="277">
        <f t="shared" si="164"/>
        <v>3.7155555555555559</v>
      </c>
      <c r="AM220" s="58">
        <v>1200</v>
      </c>
      <c r="AN220" s="25">
        <v>38</v>
      </c>
      <c r="AO220" s="3">
        <v>70</v>
      </c>
      <c r="AP220" s="3">
        <v>28</v>
      </c>
      <c r="AQ220" s="281">
        <f t="shared" si="182"/>
        <v>71.555555555555557</v>
      </c>
      <c r="AR220" s="287">
        <f t="shared" ref="AR220:AR231" si="184">AF220+(1.25*AQ220*(AG220-AH220))</f>
        <v>14866.007833333333</v>
      </c>
      <c r="AS220" s="93"/>
      <c r="AT220" s="4"/>
    </row>
    <row r="221" spans="1:46">
      <c r="A221" s="72">
        <f t="shared" si="166"/>
        <v>60</v>
      </c>
      <c r="B221" s="61">
        <v>2.4500000000000002</v>
      </c>
      <c r="C221" s="66">
        <f t="shared" si="167"/>
        <v>147</v>
      </c>
      <c r="D221" s="68">
        <v>350</v>
      </c>
      <c r="E221" s="186">
        <f t="shared" si="154"/>
        <v>480</v>
      </c>
      <c r="F221" s="45">
        <f t="shared" si="168"/>
        <v>200</v>
      </c>
      <c r="G221" s="94">
        <f t="shared" si="169"/>
        <v>12</v>
      </c>
      <c r="H221" s="295">
        <f t="shared" si="170"/>
        <v>182.75040000000004</v>
      </c>
      <c r="I221" s="25"/>
      <c r="J221" s="52">
        <f t="shared" si="171"/>
        <v>35</v>
      </c>
      <c r="K221" s="25">
        <f t="shared" si="172"/>
        <v>524.47500000000014</v>
      </c>
      <c r="L221" s="427">
        <f t="shared" si="155"/>
        <v>96</v>
      </c>
      <c r="M221" s="64">
        <f t="shared" si="173"/>
        <v>35</v>
      </c>
      <c r="N221" s="838">
        <f t="shared" si="156"/>
        <v>270</v>
      </c>
      <c r="O221" s="68">
        <f>LOOKUP(N221,'Circuit Breakers'!$B$5:$B$38,'Circuit Breakers'!$C$5:$C$38)</f>
        <v>300</v>
      </c>
      <c r="P221" s="199">
        <f t="shared" si="157"/>
        <v>30</v>
      </c>
      <c r="Q221" s="1056">
        <f t="shared" si="174"/>
        <v>681.81750000000022</v>
      </c>
      <c r="R221" s="1064">
        <f>LOOKUP(Q221,'Circuit Breakers'!$B$5:$B$38,'Circuit Breakers'!$C$5:$C$38)</f>
        <v>700</v>
      </c>
      <c r="S221" s="64">
        <f t="shared" si="158"/>
        <v>30</v>
      </c>
      <c r="T221" s="25">
        <f t="shared" si="175"/>
        <v>455</v>
      </c>
      <c r="U221" s="158">
        <f>LOOKUP(T221,'Circuit Breakers'!$B$5:$B$38,'Circuit Breakers'!$C$5:$C$38)</f>
        <v>500</v>
      </c>
      <c r="V221" s="64">
        <f t="shared" si="176"/>
        <v>15</v>
      </c>
      <c r="W221" s="25">
        <f t="shared" si="159"/>
        <v>229.99999999999997</v>
      </c>
      <c r="X221" s="68" t="str">
        <f>LOOKUP(W221,'Wire-Cables Ampacities'!$B$5:$B$35,'Wire-Cables Ampacities'!$C$5:$C$35)</f>
        <v>#3/0</v>
      </c>
      <c r="Y221" s="64">
        <f t="shared" si="177"/>
        <v>10</v>
      </c>
      <c r="Z221" s="25">
        <f t="shared" si="160"/>
        <v>576.92250000000024</v>
      </c>
      <c r="AA221" s="68" t="str">
        <f>LOOKUP(Z221,'Wire-Cables Ampacities'!$B$5:$B$35,'Wire-Cables Ampacities'!$C$5:$C$35)</f>
        <v>#4/0 2x</v>
      </c>
      <c r="AB221" s="64">
        <f t="shared" si="178"/>
        <v>10</v>
      </c>
      <c r="AC221" s="25">
        <f t="shared" si="161"/>
        <v>385.00000000000006</v>
      </c>
      <c r="AD221" s="68" t="str">
        <f>LOOKUP(AC221,'Wire-Cables Ampacities'!$B$5:$B$35,'Wire-Cables Ampacities'!$C$5:$C$35)</f>
        <v>#2/0 2x</v>
      </c>
      <c r="AE221" s="81">
        <f t="shared" si="179"/>
        <v>5.5000000000000009</v>
      </c>
      <c r="AF221" s="56">
        <f t="shared" si="183"/>
        <v>18766.781000000003</v>
      </c>
      <c r="AG221" s="72">
        <v>40</v>
      </c>
      <c r="AH221" s="15">
        <v>55</v>
      </c>
      <c r="AI221" s="64">
        <f t="shared" si="180"/>
        <v>20</v>
      </c>
      <c r="AJ221" s="56">
        <f t="shared" si="181"/>
        <v>774.4000000000002</v>
      </c>
      <c r="AK221" s="271">
        <f t="shared" si="163"/>
        <v>8.6044444444444466</v>
      </c>
      <c r="AL221" s="277">
        <f t="shared" si="164"/>
        <v>4.3022222222222233</v>
      </c>
      <c r="AM221" s="58">
        <v>1200</v>
      </c>
      <c r="AN221" s="25">
        <v>38</v>
      </c>
      <c r="AO221" s="3">
        <v>70</v>
      </c>
      <c r="AP221" s="3">
        <v>28</v>
      </c>
      <c r="AQ221" s="281">
        <f t="shared" si="182"/>
        <v>71.555555555555557</v>
      </c>
      <c r="AR221" s="287">
        <f t="shared" si="184"/>
        <v>17425.114333333335</v>
      </c>
      <c r="AS221" s="93"/>
      <c r="AT221" s="4"/>
    </row>
    <row r="222" spans="1:46">
      <c r="A222" s="98">
        <f t="shared" si="166"/>
        <v>60</v>
      </c>
      <c r="B222" s="304">
        <v>2.4500000000000002</v>
      </c>
      <c r="C222" s="100">
        <f t="shared" si="167"/>
        <v>147</v>
      </c>
      <c r="D222" s="101">
        <v>400</v>
      </c>
      <c r="E222" s="183">
        <f t="shared" si="154"/>
        <v>480</v>
      </c>
      <c r="F222" s="102">
        <f t="shared" si="168"/>
        <v>229.16666666666666</v>
      </c>
      <c r="G222" s="103">
        <f t="shared" si="169"/>
        <v>12</v>
      </c>
      <c r="H222" s="296">
        <f t="shared" si="170"/>
        <v>182.75040000000004</v>
      </c>
      <c r="I222" s="104"/>
      <c r="J222" s="180">
        <f t="shared" si="171"/>
        <v>35</v>
      </c>
      <c r="K222" s="104">
        <f t="shared" si="172"/>
        <v>599.40000000000009</v>
      </c>
      <c r="L222" s="428">
        <f t="shared" si="155"/>
        <v>110</v>
      </c>
      <c r="M222" s="106">
        <f t="shared" si="173"/>
        <v>35</v>
      </c>
      <c r="N222" s="1060">
        <f t="shared" si="156"/>
        <v>309.375</v>
      </c>
      <c r="O222" s="101">
        <f>LOOKUP(N222,'Circuit Breakers'!$B$5:$B$38,'Circuit Breakers'!$C$5:$C$38)</f>
        <v>350</v>
      </c>
      <c r="P222" s="262">
        <f t="shared" si="157"/>
        <v>30</v>
      </c>
      <c r="Q222" s="1057">
        <f t="shared" si="174"/>
        <v>779.22000000000014</v>
      </c>
      <c r="R222" s="1065">
        <f>LOOKUP(Q222,'Circuit Breakers'!$B$5:$B$38,'Circuit Breakers'!$C$5:$C$38)</f>
        <v>800</v>
      </c>
      <c r="S222" s="106">
        <f t="shared" si="158"/>
        <v>30</v>
      </c>
      <c r="T222" s="104">
        <f t="shared" si="175"/>
        <v>520</v>
      </c>
      <c r="U222" s="477">
        <f>LOOKUP(T222,'Circuit Breakers'!$B$5:$B$38,'Circuit Breakers'!$C$5:$C$38)</f>
        <v>600</v>
      </c>
      <c r="V222" s="106">
        <f t="shared" si="176"/>
        <v>15</v>
      </c>
      <c r="W222" s="104">
        <f t="shared" si="159"/>
        <v>263.54166666666663</v>
      </c>
      <c r="X222" s="101" t="str">
        <f>LOOKUP(W222,'Wire-Cables Ampacities'!$B$5:$B$35,'Wire-Cables Ampacities'!$C$5:$C$35)</f>
        <v>#4/0</v>
      </c>
      <c r="Y222" s="106">
        <f t="shared" si="177"/>
        <v>10</v>
      </c>
      <c r="Z222" s="104">
        <f t="shared" si="160"/>
        <v>659.34000000000015</v>
      </c>
      <c r="AA222" s="101" t="str">
        <f>LOOKUP(Z222,'Wire-Cables Ampacities'!$B$5:$B$35,'Wire-Cables Ampacities'!$C$5:$C$35)</f>
        <v>300MCM 2x</v>
      </c>
      <c r="AB222" s="106">
        <f t="shared" si="178"/>
        <v>10</v>
      </c>
      <c r="AC222" s="104">
        <f t="shared" si="161"/>
        <v>440.00000000000006</v>
      </c>
      <c r="AD222" s="101" t="str">
        <f>LOOKUP(AC222,'Wire-Cables Ampacities'!$B$5:$B$35,'Wire-Cables Ampacities'!$C$5:$C$35)</f>
        <v>#3/0 2x</v>
      </c>
      <c r="AE222" s="107">
        <f t="shared" si="179"/>
        <v>6.3</v>
      </c>
      <c r="AF222" s="105">
        <f t="shared" si="183"/>
        <v>21496.494599999998</v>
      </c>
      <c r="AG222" s="98">
        <v>40</v>
      </c>
      <c r="AH222" s="99">
        <v>55</v>
      </c>
      <c r="AI222" s="106">
        <f t="shared" si="180"/>
        <v>20</v>
      </c>
      <c r="AJ222" s="105">
        <f t="shared" si="181"/>
        <v>887.04000000000008</v>
      </c>
      <c r="AK222" s="272">
        <f t="shared" si="163"/>
        <v>9.8560000000000016</v>
      </c>
      <c r="AL222" s="278">
        <f t="shared" si="164"/>
        <v>4.9280000000000008</v>
      </c>
      <c r="AM222" s="109">
        <v>1200</v>
      </c>
      <c r="AN222" s="104">
        <v>38</v>
      </c>
      <c r="AO222" s="110">
        <v>70</v>
      </c>
      <c r="AP222" s="110">
        <v>28</v>
      </c>
      <c r="AQ222" s="282">
        <f t="shared" si="182"/>
        <v>71.555555555555557</v>
      </c>
      <c r="AR222" s="288">
        <f t="shared" si="184"/>
        <v>20154.82793333333</v>
      </c>
      <c r="AS222" s="93"/>
      <c r="AT222" s="4"/>
    </row>
    <row r="223" spans="1:46">
      <c r="A223" s="72">
        <f t="shared" si="166"/>
        <v>60</v>
      </c>
      <c r="B223" s="61">
        <v>2.4500000000000002</v>
      </c>
      <c r="C223" s="66">
        <f t="shared" si="167"/>
        <v>147</v>
      </c>
      <c r="D223" s="68">
        <v>450</v>
      </c>
      <c r="E223" s="186">
        <f t="shared" si="154"/>
        <v>480</v>
      </c>
      <c r="F223" s="45">
        <f t="shared" si="168"/>
        <v>258.33333333333331</v>
      </c>
      <c r="G223" s="94">
        <f t="shared" si="169"/>
        <v>12</v>
      </c>
      <c r="H223" s="295">
        <f t="shared" si="170"/>
        <v>182.75040000000004</v>
      </c>
      <c r="I223" s="25"/>
      <c r="J223" s="52">
        <f t="shared" si="171"/>
        <v>35</v>
      </c>
      <c r="K223" s="25">
        <f t="shared" si="172"/>
        <v>674.32500000000005</v>
      </c>
      <c r="L223" s="427">
        <f t="shared" si="155"/>
        <v>124</v>
      </c>
      <c r="M223" s="64">
        <f t="shared" si="173"/>
        <v>35</v>
      </c>
      <c r="N223" s="838">
        <f t="shared" si="156"/>
        <v>348.75</v>
      </c>
      <c r="O223" s="68">
        <f>LOOKUP(N223,'Circuit Breakers'!$B$5:$B$38,'Circuit Breakers'!$C$5:$C$38)</f>
        <v>350</v>
      </c>
      <c r="P223" s="199">
        <f t="shared" si="157"/>
        <v>30</v>
      </c>
      <c r="Q223" s="1056">
        <f t="shared" si="174"/>
        <v>876.62250000000006</v>
      </c>
      <c r="R223" s="1064">
        <f>LOOKUP(Q223,'Circuit Breakers'!$B$5:$B$38,'Circuit Breakers'!$C$5:$C$38)</f>
        <v>900</v>
      </c>
      <c r="S223" s="64">
        <f t="shared" si="158"/>
        <v>30</v>
      </c>
      <c r="T223" s="25">
        <f t="shared" si="175"/>
        <v>585</v>
      </c>
      <c r="U223" s="158">
        <f>LOOKUP(T223,'Circuit Breakers'!$B$5:$B$38,'Circuit Breakers'!$C$5:$C$38)</f>
        <v>600</v>
      </c>
      <c r="V223" s="64">
        <f t="shared" si="176"/>
        <v>15</v>
      </c>
      <c r="W223" s="25">
        <f t="shared" si="159"/>
        <v>297.08333333333331</v>
      </c>
      <c r="X223" s="68" t="str">
        <f>LOOKUP(W223,'Wire-Cables Ampacities'!$B$5:$B$35,'Wire-Cables Ampacities'!$C$5:$C$35)</f>
        <v>#4/0</v>
      </c>
      <c r="Y223" s="64">
        <f t="shared" si="177"/>
        <v>10</v>
      </c>
      <c r="Z223" s="25">
        <f t="shared" si="160"/>
        <v>741.75750000000016</v>
      </c>
      <c r="AA223" s="68" t="str">
        <f>LOOKUP(Z223,'Wire-Cables Ampacities'!$B$5:$B$35,'Wire-Cables Ampacities'!$C$5:$C$35)</f>
        <v>Buss</v>
      </c>
      <c r="AB223" s="64">
        <f t="shared" si="178"/>
        <v>10</v>
      </c>
      <c r="AC223" s="25">
        <f t="shared" si="161"/>
        <v>495.00000000000006</v>
      </c>
      <c r="AD223" s="68" t="str">
        <f>LOOKUP(AC223,'Wire-Cables Ampacities'!$B$5:$B$35,'Wire-Cables Ampacities'!$C$5:$C$35)</f>
        <v>#3/0 2x</v>
      </c>
      <c r="AE223" s="81">
        <f t="shared" si="179"/>
        <v>7.1</v>
      </c>
      <c r="AF223" s="56">
        <f t="shared" si="183"/>
        <v>24226.208199999997</v>
      </c>
      <c r="AG223" s="72">
        <v>40</v>
      </c>
      <c r="AH223" s="15">
        <v>55</v>
      </c>
      <c r="AI223" s="64">
        <f t="shared" si="180"/>
        <v>20</v>
      </c>
      <c r="AJ223" s="56">
        <f t="shared" si="181"/>
        <v>999.68000000000006</v>
      </c>
      <c r="AK223" s="271">
        <f t="shared" si="163"/>
        <v>11.107555555555557</v>
      </c>
      <c r="AL223" s="277">
        <f t="shared" si="164"/>
        <v>5.5537777777777784</v>
      </c>
      <c r="AM223" s="58">
        <v>1200</v>
      </c>
      <c r="AN223" s="25">
        <v>38</v>
      </c>
      <c r="AO223" s="3">
        <v>70</v>
      </c>
      <c r="AP223" s="3">
        <v>28</v>
      </c>
      <c r="AQ223" s="281">
        <f t="shared" si="182"/>
        <v>71.555555555555557</v>
      </c>
      <c r="AR223" s="287">
        <f t="shared" si="184"/>
        <v>22884.541533333329</v>
      </c>
      <c r="AS223" s="93"/>
      <c r="AT223" s="4"/>
    </row>
    <row r="224" spans="1:46">
      <c r="A224" s="72">
        <f t="shared" si="166"/>
        <v>60</v>
      </c>
      <c r="B224" s="61">
        <v>2.4500000000000002</v>
      </c>
      <c r="C224" s="66">
        <f t="shared" si="167"/>
        <v>147</v>
      </c>
      <c r="D224" s="68">
        <v>500</v>
      </c>
      <c r="E224" s="186">
        <f t="shared" si="154"/>
        <v>480</v>
      </c>
      <c r="F224" s="45">
        <f t="shared" si="168"/>
        <v>285.41666666666669</v>
      </c>
      <c r="G224" s="94">
        <f t="shared" si="169"/>
        <v>12</v>
      </c>
      <c r="H224" s="295">
        <f t="shared" si="170"/>
        <v>182.75040000000004</v>
      </c>
      <c r="I224" s="25"/>
      <c r="J224" s="52">
        <f t="shared" si="171"/>
        <v>35</v>
      </c>
      <c r="K224" s="25">
        <f t="shared" si="172"/>
        <v>749.25000000000011</v>
      </c>
      <c r="L224" s="427">
        <f t="shared" si="155"/>
        <v>137</v>
      </c>
      <c r="M224" s="64">
        <f t="shared" si="173"/>
        <v>35</v>
      </c>
      <c r="N224" s="838">
        <f t="shared" si="156"/>
        <v>385.31250000000006</v>
      </c>
      <c r="O224" s="68">
        <f>LOOKUP(N224,'Circuit Breakers'!$B$5:$B$38,'Circuit Breakers'!$C$5:$C$38)</f>
        <v>400</v>
      </c>
      <c r="P224" s="199">
        <f t="shared" si="157"/>
        <v>30</v>
      </c>
      <c r="Q224" s="1056">
        <f t="shared" si="174"/>
        <v>974.0250000000002</v>
      </c>
      <c r="R224" s="1064">
        <f>LOOKUP(Q224,'Circuit Breakers'!$B$5:$B$38,'Circuit Breakers'!$C$5:$C$38)</f>
        <v>1000</v>
      </c>
      <c r="S224" s="64">
        <f t="shared" si="158"/>
        <v>30</v>
      </c>
      <c r="T224" s="25">
        <f t="shared" si="175"/>
        <v>650</v>
      </c>
      <c r="U224" s="158">
        <f>LOOKUP(T224,'Circuit Breakers'!$B$5:$B$38,'Circuit Breakers'!$C$5:$C$38)</f>
        <v>700</v>
      </c>
      <c r="V224" s="64">
        <f t="shared" si="176"/>
        <v>15</v>
      </c>
      <c r="W224" s="25">
        <f t="shared" si="159"/>
        <v>328.22916666666669</v>
      </c>
      <c r="X224" s="68" t="str">
        <f>LOOKUP(W224,'Wire-Cables Ampacities'!$B$5:$B$35,'Wire-Cables Ampacities'!$C$5:$C$35)</f>
        <v>250MCM</v>
      </c>
      <c r="Y224" s="64">
        <f t="shared" si="177"/>
        <v>10</v>
      </c>
      <c r="Z224" s="25">
        <f t="shared" si="160"/>
        <v>824.17500000000018</v>
      </c>
      <c r="AA224" s="68" t="str">
        <f>LOOKUP(Z224,'Wire-Cables Ampacities'!$B$5:$B$35,'Wire-Cables Ampacities'!$C$5:$C$35)</f>
        <v>Buss</v>
      </c>
      <c r="AB224" s="64">
        <f t="shared" si="178"/>
        <v>10</v>
      </c>
      <c r="AC224" s="25">
        <f t="shared" si="161"/>
        <v>550</v>
      </c>
      <c r="AD224" s="68" t="str">
        <f>LOOKUP(AC224,'Wire-Cables Ampacities'!$B$5:$B$35,'Wire-Cables Ampacities'!$C$5:$C$35)</f>
        <v>#4/0 2x</v>
      </c>
      <c r="AE224" s="81">
        <f t="shared" si="179"/>
        <v>7.8500000000000005</v>
      </c>
      <c r="AF224" s="56">
        <f t="shared" si="183"/>
        <v>26785.314699999999</v>
      </c>
      <c r="AG224" s="72">
        <v>40</v>
      </c>
      <c r="AH224" s="15">
        <v>55</v>
      </c>
      <c r="AI224" s="64">
        <f t="shared" si="180"/>
        <v>20</v>
      </c>
      <c r="AJ224" s="56">
        <f t="shared" si="181"/>
        <v>1105.2800000000002</v>
      </c>
      <c r="AK224" s="271">
        <f t="shared" si="163"/>
        <v>12.280888888888891</v>
      </c>
      <c r="AL224" s="277">
        <f t="shared" si="164"/>
        <v>6.1404444444444453</v>
      </c>
      <c r="AM224" s="58">
        <v>1200</v>
      </c>
      <c r="AN224" s="25">
        <v>38</v>
      </c>
      <c r="AO224" s="3">
        <v>70</v>
      </c>
      <c r="AP224" s="3">
        <v>28</v>
      </c>
      <c r="AQ224" s="281">
        <f t="shared" si="182"/>
        <v>71.555555555555557</v>
      </c>
      <c r="AR224" s="287">
        <f t="shared" si="184"/>
        <v>25443.648033333331</v>
      </c>
      <c r="AS224" s="93"/>
      <c r="AT224" s="4"/>
    </row>
    <row r="225" spans="1:46">
      <c r="A225" s="98">
        <f t="shared" si="166"/>
        <v>60</v>
      </c>
      <c r="B225" s="304">
        <v>2.4500000000000002</v>
      </c>
      <c r="C225" s="100">
        <f t="shared" si="167"/>
        <v>147</v>
      </c>
      <c r="D225" s="101">
        <v>600</v>
      </c>
      <c r="E225" s="183">
        <f t="shared" si="154"/>
        <v>480</v>
      </c>
      <c r="F225" s="102">
        <f t="shared" si="168"/>
        <v>343.75</v>
      </c>
      <c r="G225" s="103">
        <f t="shared" si="169"/>
        <v>12</v>
      </c>
      <c r="H225" s="296">
        <f t="shared" si="170"/>
        <v>182.75040000000004</v>
      </c>
      <c r="I225" s="104"/>
      <c r="J225" s="180">
        <f t="shared" si="171"/>
        <v>35</v>
      </c>
      <c r="K225" s="104">
        <f t="shared" si="172"/>
        <v>899.1</v>
      </c>
      <c r="L225" s="428">
        <f t="shared" si="155"/>
        <v>165</v>
      </c>
      <c r="M225" s="106">
        <f t="shared" si="173"/>
        <v>35</v>
      </c>
      <c r="N225" s="1060">
        <f t="shared" si="156"/>
        <v>464.06250000000006</v>
      </c>
      <c r="O225" s="101">
        <f>LOOKUP(N225,'Circuit Breakers'!$B$5:$B$38,'Circuit Breakers'!$C$5:$C$38)</f>
        <v>500</v>
      </c>
      <c r="P225" s="262">
        <f t="shared" si="157"/>
        <v>30</v>
      </c>
      <c r="Q225" s="1057">
        <f t="shared" si="174"/>
        <v>1168.8300000000002</v>
      </c>
      <c r="R225" s="1065">
        <f>LOOKUP(Q225,'Circuit Breakers'!$B$5:$B$38,'Circuit Breakers'!$C$5:$C$38)</f>
        <v>1200</v>
      </c>
      <c r="S225" s="106">
        <f t="shared" si="158"/>
        <v>30</v>
      </c>
      <c r="T225" s="104">
        <f t="shared" si="175"/>
        <v>780</v>
      </c>
      <c r="U225" s="477">
        <f>LOOKUP(T225,'Circuit Breakers'!$B$5:$B$38,'Circuit Breakers'!$C$5:$C$38)</f>
        <v>800</v>
      </c>
      <c r="V225" s="106">
        <f t="shared" si="176"/>
        <v>15</v>
      </c>
      <c r="W225" s="104">
        <f t="shared" si="159"/>
        <v>395.31249999999994</v>
      </c>
      <c r="X225" s="101" t="str">
        <f>LOOKUP(W225,'Wire-Cables Ampacities'!$B$5:$B$35,'Wire-Cables Ampacities'!$C$5:$C$35)</f>
        <v>#2/0 2x</v>
      </c>
      <c r="Y225" s="106">
        <f t="shared" si="177"/>
        <v>10</v>
      </c>
      <c r="Z225" s="104">
        <f t="shared" si="160"/>
        <v>989.0100000000001</v>
      </c>
      <c r="AA225" s="101" t="str">
        <f>LOOKUP(Z225,'Wire-Cables Ampacities'!$B$5:$B$35,'Wire-Cables Ampacities'!$C$5:$C$35)</f>
        <v>Buss</v>
      </c>
      <c r="AB225" s="106">
        <f t="shared" si="178"/>
        <v>10</v>
      </c>
      <c r="AC225" s="104">
        <f t="shared" si="161"/>
        <v>660</v>
      </c>
      <c r="AD225" s="101" t="str">
        <f>LOOKUP(AC225,'Wire-Cables Ampacities'!$B$5:$B$35,'Wire-Cables Ampacities'!$C$5:$C$35)</f>
        <v>300MCM 2x</v>
      </c>
      <c r="AE225" s="107">
        <f t="shared" si="179"/>
        <v>9.4499999999999993</v>
      </c>
      <c r="AF225" s="105">
        <f t="shared" si="183"/>
        <v>32244.741899999994</v>
      </c>
      <c r="AG225" s="98">
        <v>40</v>
      </c>
      <c r="AH225" s="99">
        <v>55</v>
      </c>
      <c r="AI225" s="106">
        <f t="shared" si="180"/>
        <v>20</v>
      </c>
      <c r="AJ225" s="105">
        <f t="shared" si="181"/>
        <v>1330.56</v>
      </c>
      <c r="AK225" s="272">
        <f t="shared" si="163"/>
        <v>14.783999999999999</v>
      </c>
      <c r="AL225" s="278">
        <f t="shared" si="164"/>
        <v>7.3919999999999995</v>
      </c>
      <c r="AM225" s="109">
        <v>1200</v>
      </c>
      <c r="AN225" s="104">
        <v>38</v>
      </c>
      <c r="AO225" s="110">
        <v>70</v>
      </c>
      <c r="AP225" s="110">
        <v>28</v>
      </c>
      <c r="AQ225" s="282">
        <f t="shared" si="182"/>
        <v>71.555555555555557</v>
      </c>
      <c r="AR225" s="288">
        <f t="shared" si="184"/>
        <v>30903.075233333326</v>
      </c>
      <c r="AS225" s="93"/>
      <c r="AT225" s="4"/>
    </row>
    <row r="226" spans="1:46">
      <c r="A226" s="72">
        <f t="shared" si="166"/>
        <v>60</v>
      </c>
      <c r="B226" s="61">
        <v>2.4500000000000002</v>
      </c>
      <c r="C226" s="66">
        <f t="shared" si="167"/>
        <v>147</v>
      </c>
      <c r="D226" s="68">
        <v>700</v>
      </c>
      <c r="E226" s="186">
        <f t="shared" si="154"/>
        <v>480</v>
      </c>
      <c r="F226" s="45">
        <f t="shared" si="168"/>
        <v>400</v>
      </c>
      <c r="G226" s="94">
        <f t="shared" si="169"/>
        <v>12</v>
      </c>
      <c r="H226" s="295">
        <f t="shared" si="170"/>
        <v>182.75040000000004</v>
      </c>
      <c r="I226" s="25"/>
      <c r="J226" s="52">
        <f t="shared" si="171"/>
        <v>35</v>
      </c>
      <c r="K226" s="25">
        <f t="shared" si="172"/>
        <v>1048.9500000000003</v>
      </c>
      <c r="L226" s="427">
        <f t="shared" si="155"/>
        <v>192</v>
      </c>
      <c r="M226" s="64">
        <f t="shared" si="173"/>
        <v>35</v>
      </c>
      <c r="N226" s="838">
        <f t="shared" si="156"/>
        <v>540</v>
      </c>
      <c r="O226" s="68">
        <f>LOOKUP(N226,'Circuit Breakers'!$B$5:$B$38,'Circuit Breakers'!$C$5:$C$38)</f>
        <v>600</v>
      </c>
      <c r="P226" s="199">
        <f t="shared" si="157"/>
        <v>30</v>
      </c>
      <c r="Q226" s="1056">
        <f t="shared" si="174"/>
        <v>1363.6350000000004</v>
      </c>
      <c r="R226" s="1064" t="str">
        <f>LOOKUP(Q226,'Circuit Breakers'!$B$5:$B$38,'Circuit Breakers'!$C$5:$C$38)</f>
        <v>Check</v>
      </c>
      <c r="S226" s="64">
        <f t="shared" si="158"/>
        <v>30</v>
      </c>
      <c r="T226" s="25">
        <f t="shared" si="175"/>
        <v>910</v>
      </c>
      <c r="U226" s="158">
        <f>LOOKUP(T226,'Circuit Breakers'!$B$5:$B$38,'Circuit Breakers'!$C$5:$C$38)</f>
        <v>1000</v>
      </c>
      <c r="V226" s="64">
        <f t="shared" si="176"/>
        <v>15</v>
      </c>
      <c r="W226" s="25">
        <f t="shared" si="159"/>
        <v>459.99999999999994</v>
      </c>
      <c r="X226" s="68" t="str">
        <f>LOOKUP(W226,'Wire-Cables Ampacities'!$B$5:$B$35,'Wire-Cables Ampacities'!$C$5:$C$35)</f>
        <v>#3/0 2x</v>
      </c>
      <c r="Y226" s="64">
        <f t="shared" si="177"/>
        <v>10</v>
      </c>
      <c r="Z226" s="25">
        <f t="shared" si="160"/>
        <v>1153.8450000000005</v>
      </c>
      <c r="AA226" s="68" t="str">
        <f>LOOKUP(Z226,'Wire-Cables Ampacities'!$B$5:$B$35,'Wire-Cables Ampacities'!$C$5:$C$35)</f>
        <v>Buss</v>
      </c>
      <c r="AB226" s="64">
        <f t="shared" si="178"/>
        <v>10</v>
      </c>
      <c r="AC226" s="25">
        <f t="shared" si="161"/>
        <v>770.00000000000011</v>
      </c>
      <c r="AD226" s="68" t="str">
        <f>LOOKUP(AC226,'Wire-Cables Ampacities'!$B$5:$B$35,'Wire-Cables Ampacities'!$C$5:$C$35)</f>
        <v>Buss</v>
      </c>
      <c r="AE226" s="81">
        <f t="shared" si="179"/>
        <v>11.000000000000002</v>
      </c>
      <c r="AF226" s="56">
        <f t="shared" si="183"/>
        <v>37533.562000000005</v>
      </c>
      <c r="AG226" s="72">
        <v>40</v>
      </c>
      <c r="AH226" s="15">
        <v>55</v>
      </c>
      <c r="AI226" s="64">
        <f t="shared" si="180"/>
        <v>20</v>
      </c>
      <c r="AJ226" s="56">
        <f t="shared" si="181"/>
        <v>1548.8000000000004</v>
      </c>
      <c r="AK226" s="271">
        <f t="shared" si="163"/>
        <v>17.208888888888893</v>
      </c>
      <c r="AL226" s="277">
        <f t="shared" si="164"/>
        <v>8.6044444444444466</v>
      </c>
      <c r="AM226" s="58">
        <v>1200</v>
      </c>
      <c r="AN226" s="25">
        <v>38</v>
      </c>
      <c r="AO226" s="3">
        <v>70</v>
      </c>
      <c r="AP226" s="3">
        <v>28</v>
      </c>
      <c r="AQ226" s="281">
        <f t="shared" si="182"/>
        <v>71.555555555555557</v>
      </c>
      <c r="AR226" s="287">
        <f t="shared" si="184"/>
        <v>36191.895333333341</v>
      </c>
      <c r="AS226" s="93"/>
      <c r="AT226" s="4"/>
    </row>
    <row r="227" spans="1:46">
      <c r="A227" s="72">
        <f t="shared" si="166"/>
        <v>60</v>
      </c>
      <c r="B227" s="61">
        <v>2.4500000000000002</v>
      </c>
      <c r="C227" s="66">
        <f t="shared" si="167"/>
        <v>147</v>
      </c>
      <c r="D227" s="68">
        <v>800</v>
      </c>
      <c r="E227" s="186">
        <f t="shared" si="154"/>
        <v>480</v>
      </c>
      <c r="F227" s="45">
        <f t="shared" si="168"/>
        <v>458.33333333333331</v>
      </c>
      <c r="G227" s="94">
        <f t="shared" si="169"/>
        <v>12</v>
      </c>
      <c r="H227" s="295">
        <f t="shared" si="170"/>
        <v>182.75040000000004</v>
      </c>
      <c r="I227" s="25"/>
      <c r="J227" s="52">
        <f t="shared" si="171"/>
        <v>35</v>
      </c>
      <c r="K227" s="25">
        <f t="shared" si="172"/>
        <v>1198.8000000000002</v>
      </c>
      <c r="L227" s="427">
        <f t="shared" si="155"/>
        <v>220</v>
      </c>
      <c r="M227" s="64">
        <f t="shared" si="173"/>
        <v>35</v>
      </c>
      <c r="N227" s="838">
        <f t="shared" si="156"/>
        <v>618.75</v>
      </c>
      <c r="O227" s="68">
        <f>LOOKUP(N227,'Circuit Breakers'!$B$5:$B$38,'Circuit Breakers'!$C$5:$C$38)</f>
        <v>700</v>
      </c>
      <c r="P227" s="199">
        <f t="shared" si="157"/>
        <v>30</v>
      </c>
      <c r="Q227" s="1056">
        <f t="shared" si="174"/>
        <v>1558.4400000000003</v>
      </c>
      <c r="R227" s="1064" t="str">
        <f>LOOKUP(Q227,'Circuit Breakers'!$B$5:$B$38,'Circuit Breakers'!$C$5:$C$38)</f>
        <v>Check</v>
      </c>
      <c r="S227" s="64">
        <f t="shared" si="158"/>
        <v>30</v>
      </c>
      <c r="T227" s="25">
        <f t="shared" si="175"/>
        <v>1040</v>
      </c>
      <c r="U227" s="158">
        <f>LOOKUP(T227,'Circuit Breakers'!$B$5:$B$38,'Circuit Breakers'!$C$5:$C$38)</f>
        <v>1200</v>
      </c>
      <c r="V227" s="64">
        <f t="shared" si="176"/>
        <v>15</v>
      </c>
      <c r="W227" s="25">
        <f t="shared" si="159"/>
        <v>527.08333333333326</v>
      </c>
      <c r="X227" s="68" t="str">
        <f>LOOKUP(W227,'Wire-Cables Ampacities'!$B$5:$B$35,'Wire-Cables Ampacities'!$C$5:$C$35)</f>
        <v>#4/0 2x</v>
      </c>
      <c r="Y227" s="64">
        <f t="shared" si="177"/>
        <v>10</v>
      </c>
      <c r="Z227" s="25">
        <f t="shared" si="160"/>
        <v>1318.6800000000003</v>
      </c>
      <c r="AA227" s="68" t="str">
        <f>LOOKUP(Z227,'Wire-Cables Ampacities'!$B$5:$B$35,'Wire-Cables Ampacities'!$C$5:$C$35)</f>
        <v>Buss</v>
      </c>
      <c r="AB227" s="64">
        <f t="shared" si="178"/>
        <v>10</v>
      </c>
      <c r="AC227" s="25">
        <f t="shared" si="161"/>
        <v>880.00000000000011</v>
      </c>
      <c r="AD227" s="68" t="str">
        <f>LOOKUP(AC227,'Wire-Cables Ampacities'!$B$5:$B$35,'Wire-Cables Ampacities'!$C$5:$C$35)</f>
        <v>Buss</v>
      </c>
      <c r="AE227" s="81">
        <f t="shared" si="179"/>
        <v>12.6</v>
      </c>
      <c r="AF227" s="56">
        <f t="shared" si="183"/>
        <v>42992.989199999996</v>
      </c>
      <c r="AG227" s="72">
        <v>40</v>
      </c>
      <c r="AH227" s="15">
        <v>55</v>
      </c>
      <c r="AI227" s="64">
        <f t="shared" si="180"/>
        <v>20</v>
      </c>
      <c r="AJ227" s="56">
        <f t="shared" si="181"/>
        <v>1774.0800000000002</v>
      </c>
      <c r="AK227" s="271">
        <f t="shared" si="163"/>
        <v>19.712000000000003</v>
      </c>
      <c r="AL227" s="277">
        <f t="shared" si="164"/>
        <v>9.8560000000000016</v>
      </c>
      <c r="AM227" s="58">
        <v>1200</v>
      </c>
      <c r="AN227" s="25">
        <v>38</v>
      </c>
      <c r="AO227" s="3">
        <v>70</v>
      </c>
      <c r="AP227" s="3">
        <v>28</v>
      </c>
      <c r="AQ227" s="281">
        <f t="shared" si="182"/>
        <v>71.555555555555557</v>
      </c>
      <c r="AR227" s="287">
        <f t="shared" si="184"/>
        <v>41651.322533333332</v>
      </c>
      <c r="AS227" s="93"/>
      <c r="AT227" s="4"/>
    </row>
    <row r="228" spans="1:46">
      <c r="A228" s="98">
        <f t="shared" si="166"/>
        <v>60</v>
      </c>
      <c r="B228" s="304">
        <v>2.4500000000000002</v>
      </c>
      <c r="C228" s="100">
        <f t="shared" si="167"/>
        <v>147</v>
      </c>
      <c r="D228" s="101">
        <v>900</v>
      </c>
      <c r="E228" s="183">
        <f t="shared" si="154"/>
        <v>480</v>
      </c>
      <c r="F228" s="102">
        <f t="shared" si="168"/>
        <v>514.58333333333337</v>
      </c>
      <c r="G228" s="103">
        <f t="shared" si="169"/>
        <v>12</v>
      </c>
      <c r="H228" s="296">
        <f t="shared" si="170"/>
        <v>182.75040000000004</v>
      </c>
      <c r="I228" s="104"/>
      <c r="J228" s="180">
        <f t="shared" si="171"/>
        <v>35</v>
      </c>
      <c r="K228" s="104">
        <f t="shared" si="172"/>
        <v>1348.65</v>
      </c>
      <c r="L228" s="428">
        <f t="shared" si="155"/>
        <v>247</v>
      </c>
      <c r="M228" s="106">
        <f t="shared" si="173"/>
        <v>35</v>
      </c>
      <c r="N228" s="1060">
        <f t="shared" si="156"/>
        <v>694.68750000000011</v>
      </c>
      <c r="O228" s="101">
        <f>LOOKUP(N228,'Circuit Breakers'!$B$5:$B$38,'Circuit Breakers'!$C$5:$C$38)</f>
        <v>700</v>
      </c>
      <c r="P228" s="262">
        <f t="shared" si="157"/>
        <v>30</v>
      </c>
      <c r="Q228" s="1057">
        <f t="shared" si="174"/>
        <v>1753.2450000000001</v>
      </c>
      <c r="R228" s="1065" t="str">
        <f>LOOKUP(Q228,'Circuit Breakers'!$B$5:$B$38,'Circuit Breakers'!$C$5:$C$38)</f>
        <v>Check</v>
      </c>
      <c r="S228" s="106">
        <f t="shared" si="158"/>
        <v>30</v>
      </c>
      <c r="T228" s="104">
        <f t="shared" si="175"/>
        <v>1170</v>
      </c>
      <c r="U228" s="477">
        <f>LOOKUP(T228,'Circuit Breakers'!$B$5:$B$38,'Circuit Breakers'!$C$5:$C$38)</f>
        <v>1200</v>
      </c>
      <c r="V228" s="106">
        <f t="shared" si="176"/>
        <v>15</v>
      </c>
      <c r="W228" s="104">
        <f t="shared" si="159"/>
        <v>591.77083333333337</v>
      </c>
      <c r="X228" s="101" t="str">
        <f>LOOKUP(W228,'Wire-Cables Ampacities'!$B$5:$B$35,'Wire-Cables Ampacities'!$C$5:$C$35)</f>
        <v>250MCM 2x</v>
      </c>
      <c r="Y228" s="106">
        <f t="shared" si="177"/>
        <v>10</v>
      </c>
      <c r="Z228" s="104">
        <f t="shared" si="160"/>
        <v>1483.5150000000003</v>
      </c>
      <c r="AA228" s="101" t="str">
        <f>LOOKUP(Z228,'Wire-Cables Ampacities'!$B$5:$B$35,'Wire-Cables Ampacities'!$C$5:$C$35)</f>
        <v>Buss</v>
      </c>
      <c r="AB228" s="106">
        <f t="shared" si="178"/>
        <v>10</v>
      </c>
      <c r="AC228" s="104">
        <f t="shared" si="161"/>
        <v>990.00000000000011</v>
      </c>
      <c r="AD228" s="101" t="str">
        <f>LOOKUP(AC228,'Wire-Cables Ampacities'!$B$5:$B$35,'Wire-Cables Ampacities'!$C$5:$C$35)</f>
        <v>Buss</v>
      </c>
      <c r="AE228" s="107">
        <f t="shared" si="179"/>
        <v>14.150000000000002</v>
      </c>
      <c r="AF228" s="105">
        <f t="shared" si="183"/>
        <v>48281.809300000008</v>
      </c>
      <c r="AG228" s="98">
        <v>40</v>
      </c>
      <c r="AH228" s="99">
        <v>55</v>
      </c>
      <c r="AI228" s="106">
        <f t="shared" si="180"/>
        <v>20</v>
      </c>
      <c r="AJ228" s="105">
        <f t="shared" si="181"/>
        <v>1992.3200000000002</v>
      </c>
      <c r="AK228" s="272">
        <f t="shared" si="163"/>
        <v>22.13688888888889</v>
      </c>
      <c r="AL228" s="278">
        <f t="shared" si="164"/>
        <v>11.068444444444445</v>
      </c>
      <c r="AM228" s="109">
        <v>1200</v>
      </c>
      <c r="AN228" s="104">
        <v>38</v>
      </c>
      <c r="AO228" s="110">
        <v>70</v>
      </c>
      <c r="AP228" s="110">
        <v>28</v>
      </c>
      <c r="AQ228" s="282">
        <f t="shared" si="182"/>
        <v>71.555555555555557</v>
      </c>
      <c r="AR228" s="288">
        <f t="shared" si="184"/>
        <v>46940.142633333344</v>
      </c>
      <c r="AS228" s="93"/>
      <c r="AT228" s="4"/>
    </row>
    <row r="229" spans="1:46">
      <c r="A229" s="72">
        <f t="shared" si="166"/>
        <v>60</v>
      </c>
      <c r="B229" s="61">
        <v>2.4500000000000002</v>
      </c>
      <c r="C229" s="66">
        <f t="shared" si="167"/>
        <v>147</v>
      </c>
      <c r="D229" s="68">
        <v>1000</v>
      </c>
      <c r="E229" s="186">
        <f t="shared" si="154"/>
        <v>480</v>
      </c>
      <c r="F229" s="45">
        <f t="shared" si="168"/>
        <v>570.83333333333337</v>
      </c>
      <c r="G229" s="94">
        <f t="shared" si="169"/>
        <v>12</v>
      </c>
      <c r="H229" s="295">
        <f t="shared" si="170"/>
        <v>182.75040000000004</v>
      </c>
      <c r="I229" s="25"/>
      <c r="J229" s="52">
        <f t="shared" si="171"/>
        <v>35</v>
      </c>
      <c r="K229" s="25">
        <f t="shared" si="172"/>
        <v>1498.5000000000002</v>
      </c>
      <c r="L229" s="427">
        <f t="shared" si="155"/>
        <v>274</v>
      </c>
      <c r="M229" s="1134">
        <f t="shared" si="173"/>
        <v>35</v>
      </c>
      <c r="N229" s="838">
        <f t="shared" si="156"/>
        <v>770.62500000000011</v>
      </c>
      <c r="O229" s="68">
        <f>LOOKUP(N229,'Circuit Breakers'!$B$5:$B$38,'Circuit Breakers'!$C$5:$C$38)</f>
        <v>800</v>
      </c>
      <c r="P229" s="199">
        <f t="shared" si="157"/>
        <v>30</v>
      </c>
      <c r="Q229" s="1056">
        <f t="shared" si="174"/>
        <v>1948.0500000000004</v>
      </c>
      <c r="R229" s="1064" t="str">
        <f>LOOKUP(Q229,'Circuit Breakers'!$B$5:$B$38,'Circuit Breakers'!$C$5:$C$38)</f>
        <v>Check</v>
      </c>
      <c r="S229" s="64">
        <f t="shared" si="158"/>
        <v>30</v>
      </c>
      <c r="T229" s="25">
        <f t="shared" si="175"/>
        <v>1300</v>
      </c>
      <c r="U229" s="158" t="str">
        <f>LOOKUP(T229,'Circuit Breakers'!$B$5:$B$38,'Circuit Breakers'!$C$5:$C$38)</f>
        <v>Check</v>
      </c>
      <c r="V229" s="64">
        <f t="shared" si="176"/>
        <v>15</v>
      </c>
      <c r="W229" s="25">
        <f t="shared" si="159"/>
        <v>656.45833333333337</v>
      </c>
      <c r="X229" s="68" t="str">
        <f>LOOKUP(W229,'Wire-Cables Ampacities'!$B$5:$B$35,'Wire-Cables Ampacities'!$C$5:$C$35)</f>
        <v>300MCM 2x</v>
      </c>
      <c r="Y229" s="64">
        <f t="shared" si="177"/>
        <v>10</v>
      </c>
      <c r="Z229" s="25">
        <f t="shared" si="160"/>
        <v>1648.3500000000004</v>
      </c>
      <c r="AA229" s="68" t="str">
        <f>LOOKUP(Z229,'Wire-Cables Ampacities'!$B$5:$B$35,'Wire-Cables Ampacities'!$C$5:$C$35)</f>
        <v>Buss</v>
      </c>
      <c r="AB229" s="64">
        <f t="shared" si="178"/>
        <v>10</v>
      </c>
      <c r="AC229" s="25">
        <f t="shared" si="161"/>
        <v>1100</v>
      </c>
      <c r="AD229" s="68" t="str">
        <f>LOOKUP(AC229,'Wire-Cables Ampacities'!$B$5:$B$35,'Wire-Cables Ampacities'!$C$5:$C$35)</f>
        <v>Buss</v>
      </c>
      <c r="AE229" s="81">
        <f t="shared" si="179"/>
        <v>15.700000000000001</v>
      </c>
      <c r="AF229" s="56">
        <f t="shared" si="183"/>
        <v>53570.629399999998</v>
      </c>
      <c r="AG229" s="72">
        <v>40</v>
      </c>
      <c r="AH229" s="15">
        <v>55</v>
      </c>
      <c r="AI229" s="64">
        <f t="shared" si="180"/>
        <v>20</v>
      </c>
      <c r="AJ229" s="56">
        <f t="shared" si="181"/>
        <v>2210.5600000000004</v>
      </c>
      <c r="AK229" s="271">
        <f t="shared" si="163"/>
        <v>24.561777777777781</v>
      </c>
      <c r="AL229" s="277">
        <f t="shared" si="164"/>
        <v>12.280888888888891</v>
      </c>
      <c r="AM229" s="58">
        <v>1200</v>
      </c>
      <c r="AN229" s="25">
        <v>38</v>
      </c>
      <c r="AO229" s="3">
        <v>70</v>
      </c>
      <c r="AP229" s="3">
        <v>28</v>
      </c>
      <c r="AQ229" s="281">
        <f t="shared" si="182"/>
        <v>71.555555555555557</v>
      </c>
      <c r="AR229" s="287">
        <f t="shared" si="184"/>
        <v>52228.962733333334</v>
      </c>
      <c r="AS229" s="93"/>
      <c r="AT229" s="4"/>
    </row>
    <row r="230" spans="1:46">
      <c r="A230" s="72">
        <f t="shared" si="166"/>
        <v>60</v>
      </c>
      <c r="B230" s="61">
        <v>2.4500000000000002</v>
      </c>
      <c r="C230" s="66">
        <f t="shared" si="167"/>
        <v>147</v>
      </c>
      <c r="D230" s="68">
        <v>1100</v>
      </c>
      <c r="E230" s="186">
        <f t="shared" si="154"/>
        <v>480</v>
      </c>
      <c r="F230" s="45">
        <f t="shared" si="168"/>
        <v>629.16666666666663</v>
      </c>
      <c r="G230" s="94">
        <f t="shared" si="169"/>
        <v>12</v>
      </c>
      <c r="H230" s="295">
        <f t="shared" si="170"/>
        <v>182.75040000000004</v>
      </c>
      <c r="I230" s="25"/>
      <c r="J230" s="52">
        <f t="shared" si="171"/>
        <v>35</v>
      </c>
      <c r="K230" s="25">
        <f t="shared" si="172"/>
        <v>1648.3500000000001</v>
      </c>
      <c r="L230" s="427">
        <f t="shared" si="155"/>
        <v>302</v>
      </c>
      <c r="M230" s="64">
        <f t="shared" si="173"/>
        <v>35</v>
      </c>
      <c r="N230" s="838">
        <f t="shared" si="156"/>
        <v>849.375</v>
      </c>
      <c r="O230" s="68">
        <f>LOOKUP(N230,'Circuit Breakers'!$B$5:$B$38,'Circuit Breakers'!$C$5:$C$38)</f>
        <v>900</v>
      </c>
      <c r="P230" s="199">
        <f t="shared" si="157"/>
        <v>30</v>
      </c>
      <c r="Q230" s="1056">
        <f t="shared" si="174"/>
        <v>2142.8550000000005</v>
      </c>
      <c r="R230" s="1064" t="str">
        <f>LOOKUP(Q230,'Circuit Breakers'!$B$5:$B$38,'Circuit Breakers'!$C$5:$C$38)</f>
        <v>Check</v>
      </c>
      <c r="S230" s="64">
        <f t="shared" si="158"/>
        <v>30</v>
      </c>
      <c r="T230" s="25">
        <f t="shared" si="175"/>
        <v>1430</v>
      </c>
      <c r="U230" s="158" t="str">
        <f>LOOKUP(T230,'Circuit Breakers'!$B$5:$B$38,'Circuit Breakers'!$C$5:$C$38)</f>
        <v>Check</v>
      </c>
      <c r="V230" s="64">
        <f t="shared" si="176"/>
        <v>15</v>
      </c>
      <c r="W230" s="25">
        <f t="shared" si="159"/>
        <v>723.54166666666652</v>
      </c>
      <c r="X230" s="68" t="str">
        <f>LOOKUP(W230,'Wire-Cables Ampacities'!$B$5:$B$35,'Wire-Cables Ampacities'!$C$5:$C$35)</f>
        <v>Buss</v>
      </c>
      <c r="Y230" s="64">
        <f t="shared" si="177"/>
        <v>10</v>
      </c>
      <c r="Z230" s="25">
        <f t="shared" si="160"/>
        <v>1813.1850000000004</v>
      </c>
      <c r="AA230" s="68" t="str">
        <f>LOOKUP(Z230,'Wire-Cables Ampacities'!$B$5:$B$35,'Wire-Cables Ampacities'!$C$5:$C$35)</f>
        <v>Buss</v>
      </c>
      <c r="AB230" s="64">
        <f t="shared" si="178"/>
        <v>10</v>
      </c>
      <c r="AC230" s="25">
        <f t="shared" si="161"/>
        <v>1210</v>
      </c>
      <c r="AD230" s="68" t="str">
        <f>LOOKUP(AC230,'Wire-Cables Ampacities'!$B$5:$B$35,'Wire-Cables Ampacities'!$C$5:$C$35)</f>
        <v>Buss</v>
      </c>
      <c r="AE230" s="81">
        <f t="shared" si="179"/>
        <v>17.3</v>
      </c>
      <c r="AF230" s="56">
        <f t="shared" si="183"/>
        <v>59030.056600000004</v>
      </c>
      <c r="AG230" s="72">
        <v>40</v>
      </c>
      <c r="AH230" s="15">
        <v>55</v>
      </c>
      <c r="AI230" s="64">
        <f t="shared" si="180"/>
        <v>20</v>
      </c>
      <c r="AJ230" s="56">
        <f t="shared" si="181"/>
        <v>2435.8399999999997</v>
      </c>
      <c r="AK230" s="271">
        <f t="shared" si="163"/>
        <v>27.064888888888884</v>
      </c>
      <c r="AL230" s="277">
        <f t="shared" si="164"/>
        <v>13.532444444444442</v>
      </c>
      <c r="AM230" s="58">
        <v>1200</v>
      </c>
      <c r="AN230" s="25">
        <v>38</v>
      </c>
      <c r="AO230" s="3">
        <v>70</v>
      </c>
      <c r="AP230" s="3">
        <v>28</v>
      </c>
      <c r="AQ230" s="281">
        <f t="shared" si="182"/>
        <v>71.555555555555557</v>
      </c>
      <c r="AR230" s="287">
        <f t="shared" si="184"/>
        <v>57688.389933333339</v>
      </c>
      <c r="AS230" s="93"/>
      <c r="AT230" s="4"/>
    </row>
    <row r="231" spans="1:46" ht="13.5" thickBot="1">
      <c r="A231" s="253">
        <f t="shared" si="166"/>
        <v>60</v>
      </c>
      <c r="B231" s="305">
        <v>2.4500000000000002</v>
      </c>
      <c r="C231" s="258">
        <f t="shared" si="167"/>
        <v>147</v>
      </c>
      <c r="D231" s="259">
        <v>1200</v>
      </c>
      <c r="E231" s="303">
        <f t="shared" si="154"/>
        <v>480</v>
      </c>
      <c r="F231" s="260">
        <f t="shared" si="168"/>
        <v>685.41666666666663</v>
      </c>
      <c r="G231" s="261">
        <f t="shared" si="169"/>
        <v>12</v>
      </c>
      <c r="H231" s="297">
        <f t="shared" si="170"/>
        <v>182.75040000000004</v>
      </c>
      <c r="I231" s="264"/>
      <c r="J231" s="265">
        <f t="shared" si="171"/>
        <v>35</v>
      </c>
      <c r="K231" s="264">
        <f t="shared" si="172"/>
        <v>1798.2</v>
      </c>
      <c r="L231" s="433">
        <f t="shared" si="155"/>
        <v>329</v>
      </c>
      <c r="M231" s="267">
        <f t="shared" si="173"/>
        <v>35</v>
      </c>
      <c r="N231" s="1061">
        <f t="shared" si="156"/>
        <v>925.3125</v>
      </c>
      <c r="O231" s="259">
        <f>LOOKUP(N231,'Circuit Breakers'!$B$5:$B$38,'Circuit Breakers'!$C$5:$C$38)</f>
        <v>1000</v>
      </c>
      <c r="P231" s="333">
        <f t="shared" si="157"/>
        <v>30</v>
      </c>
      <c r="Q231" s="1058">
        <f t="shared" si="174"/>
        <v>2337.6600000000003</v>
      </c>
      <c r="R231" s="1066" t="str">
        <f>LOOKUP(Q231,'Circuit Breakers'!$B$5:$B$38,'Circuit Breakers'!$C$5:$C$38)</f>
        <v>Check</v>
      </c>
      <c r="S231" s="267">
        <f t="shared" si="158"/>
        <v>30</v>
      </c>
      <c r="T231" s="264">
        <f t="shared" si="175"/>
        <v>1560</v>
      </c>
      <c r="U231" s="478" t="str">
        <f>LOOKUP(T231,'Circuit Breakers'!$B$5:$B$38,'Circuit Breakers'!$C$5:$C$38)</f>
        <v>Check</v>
      </c>
      <c r="V231" s="267">
        <f t="shared" si="176"/>
        <v>15</v>
      </c>
      <c r="W231" s="264">
        <f t="shared" si="159"/>
        <v>788.22916666666652</v>
      </c>
      <c r="X231" s="259" t="str">
        <f>LOOKUP(W231,'Wire-Cables Ampacities'!$B$5:$B$35,'Wire-Cables Ampacities'!$C$5:$C$35)</f>
        <v>Buss</v>
      </c>
      <c r="Y231" s="267">
        <f t="shared" si="177"/>
        <v>10</v>
      </c>
      <c r="Z231" s="264">
        <f t="shared" si="160"/>
        <v>1978.0200000000002</v>
      </c>
      <c r="AA231" s="259" t="str">
        <f>LOOKUP(Z231,'Wire-Cables Ampacities'!$B$5:$B$35,'Wire-Cables Ampacities'!$C$5:$C$35)</f>
        <v>Buss</v>
      </c>
      <c r="AB231" s="267">
        <f t="shared" si="178"/>
        <v>10</v>
      </c>
      <c r="AC231" s="264">
        <f t="shared" si="161"/>
        <v>1320</v>
      </c>
      <c r="AD231" s="259" t="str">
        <f>LOOKUP(AC231,'Wire-Cables Ampacities'!$B$5:$B$35,'Wire-Cables Ampacities'!$C$5:$C$35)</f>
        <v>Buss</v>
      </c>
      <c r="AE231" s="270">
        <f t="shared" si="179"/>
        <v>18.850000000000001</v>
      </c>
      <c r="AF231" s="268">
        <f t="shared" si="183"/>
        <v>64318.876700000001</v>
      </c>
      <c r="AG231" s="253">
        <v>40</v>
      </c>
      <c r="AH231" s="254">
        <v>55</v>
      </c>
      <c r="AI231" s="267">
        <f t="shared" si="180"/>
        <v>20</v>
      </c>
      <c r="AJ231" s="268">
        <f t="shared" si="181"/>
        <v>2654.0799999999995</v>
      </c>
      <c r="AK231" s="273">
        <f t="shared" si="163"/>
        <v>29.489777777777771</v>
      </c>
      <c r="AL231" s="279">
        <f t="shared" si="164"/>
        <v>14.744888888888886</v>
      </c>
      <c r="AM231" s="275">
        <v>1200</v>
      </c>
      <c r="AN231" s="264">
        <v>38</v>
      </c>
      <c r="AO231" s="276">
        <v>70</v>
      </c>
      <c r="AP231" s="276">
        <v>28</v>
      </c>
      <c r="AQ231" s="283">
        <f t="shared" si="182"/>
        <v>71.555555555555557</v>
      </c>
      <c r="AR231" s="289">
        <f t="shared" si="184"/>
        <v>62977.210033333336</v>
      </c>
      <c r="AS231" s="93"/>
      <c r="AT231" s="4"/>
    </row>
    <row r="233" spans="1:46" ht="13.5" thickBot="1"/>
    <row r="234" spans="1:46" ht="16.5" thickBot="1">
      <c r="A234" s="95" t="s">
        <v>77</v>
      </c>
      <c r="B234" s="96"/>
      <c r="C234" s="44"/>
      <c r="D234" s="86"/>
      <c r="E234" s="86"/>
      <c r="F234" s="86"/>
      <c r="G234" s="87"/>
      <c r="H234" s="290" t="s">
        <v>98</v>
      </c>
      <c r="I234" s="42"/>
      <c r="J234" s="51"/>
      <c r="K234" s="42"/>
      <c r="L234" s="40"/>
      <c r="M234" s="290" t="s">
        <v>83</v>
      </c>
      <c r="N234" s="42"/>
      <c r="O234" s="44"/>
      <c r="P234" s="44"/>
      <c r="Q234" s="44"/>
      <c r="R234" s="44"/>
      <c r="S234" s="44"/>
      <c r="T234" s="44"/>
      <c r="U234" s="6"/>
      <c r="V234" s="184" t="s">
        <v>84</v>
      </c>
      <c r="W234" s="44"/>
      <c r="X234" s="44"/>
      <c r="Y234" s="44"/>
      <c r="Z234" s="44"/>
      <c r="AA234" s="44"/>
      <c r="AB234" s="44"/>
      <c r="AC234" s="44"/>
      <c r="AD234" s="6"/>
      <c r="AE234" s="291" t="s">
        <v>62</v>
      </c>
      <c r="AF234" s="80"/>
      <c r="AG234" s="290" t="s">
        <v>90</v>
      </c>
      <c r="AH234" s="40"/>
      <c r="AI234" s="292" t="s">
        <v>87</v>
      </c>
      <c r="AJ234" s="90"/>
      <c r="AK234" s="90"/>
      <c r="AL234" s="49"/>
      <c r="AM234" s="189" t="s">
        <v>88</v>
      </c>
      <c r="AN234" s="90"/>
      <c r="AO234" s="90"/>
      <c r="AP234" s="90"/>
      <c r="AQ234" s="90"/>
      <c r="AR234" s="6"/>
      <c r="AS234" s="7"/>
    </row>
    <row r="235" spans="1:46" ht="13.5" thickBot="1">
      <c r="A235" s="97" t="s">
        <v>23</v>
      </c>
      <c r="B235" s="48"/>
      <c r="C235" s="189" t="s">
        <v>76</v>
      </c>
      <c r="D235" s="190"/>
      <c r="E235" s="189" t="s">
        <v>57</v>
      </c>
      <c r="F235" s="191"/>
      <c r="G235" s="192"/>
      <c r="H235" s="76"/>
      <c r="I235" s="90"/>
      <c r="J235" s="175"/>
      <c r="K235" s="90"/>
      <c r="L235" s="49"/>
      <c r="M235" s="47" t="s">
        <v>81</v>
      </c>
      <c r="N235" s="96"/>
      <c r="O235" s="49"/>
      <c r="P235" s="47" t="s">
        <v>82</v>
      </c>
      <c r="Q235" s="96"/>
      <c r="R235" s="49"/>
      <c r="S235" s="47" t="s">
        <v>80</v>
      </c>
      <c r="T235" s="96"/>
      <c r="U235" s="49"/>
      <c r="V235" s="76" t="s">
        <v>78</v>
      </c>
      <c r="W235" s="96"/>
      <c r="X235" s="48"/>
      <c r="Y235" s="76" t="s">
        <v>79</v>
      </c>
      <c r="Z235" s="96"/>
      <c r="AA235" s="48"/>
      <c r="AB235" s="47" t="s">
        <v>80</v>
      </c>
      <c r="AC235" s="96"/>
      <c r="AD235" s="48"/>
      <c r="AE235" s="176"/>
      <c r="AF235" s="177"/>
      <c r="AG235" s="205" t="s">
        <v>94</v>
      </c>
      <c r="AH235" s="179" t="s">
        <v>95</v>
      </c>
      <c r="AI235" s="178"/>
      <c r="AJ235" s="198"/>
      <c r="AK235" s="206" t="s">
        <v>66</v>
      </c>
      <c r="AL235" s="198" t="s">
        <v>66</v>
      </c>
      <c r="AM235" s="47" t="s">
        <v>68</v>
      </c>
      <c r="AN235" s="90"/>
      <c r="AO235" s="90"/>
      <c r="AP235" s="90"/>
      <c r="AQ235" s="49"/>
      <c r="AR235" s="80"/>
      <c r="AS235" s="7"/>
    </row>
    <row r="236" spans="1:46">
      <c r="A236" s="65">
        <v>240</v>
      </c>
      <c r="B236" s="67" t="s">
        <v>92</v>
      </c>
      <c r="C236" s="65" t="s">
        <v>93</v>
      </c>
      <c r="D236" s="67" t="s">
        <v>16</v>
      </c>
      <c r="E236" s="65" t="s">
        <v>99</v>
      </c>
      <c r="F236" s="18" t="s">
        <v>100</v>
      </c>
      <c r="G236" s="1130">
        <v>12</v>
      </c>
      <c r="H236" s="65" t="s">
        <v>27</v>
      </c>
      <c r="I236" s="18"/>
      <c r="J236" s="310">
        <v>35</v>
      </c>
      <c r="K236" s="18" t="s">
        <v>28</v>
      </c>
      <c r="L236" s="156" t="s">
        <v>29</v>
      </c>
      <c r="M236" s="310">
        <v>35</v>
      </c>
      <c r="N236" s="1049" t="s">
        <v>60</v>
      </c>
      <c r="O236" s="1062" t="s">
        <v>363</v>
      </c>
      <c r="P236" s="310">
        <v>30</v>
      </c>
      <c r="Q236" s="1049" t="s">
        <v>60</v>
      </c>
      <c r="R236" s="1062" t="s">
        <v>361</v>
      </c>
      <c r="S236" s="310">
        <v>30</v>
      </c>
      <c r="T236" s="1049" t="s">
        <v>60</v>
      </c>
      <c r="U236" s="1062" t="s">
        <v>361</v>
      </c>
      <c r="V236" s="310">
        <v>15</v>
      </c>
      <c r="W236" s="62" t="s">
        <v>60</v>
      </c>
      <c r="X236" s="1131" t="s">
        <v>85</v>
      </c>
      <c r="Y236" s="310">
        <v>10</v>
      </c>
      <c r="Z236" s="62" t="s">
        <v>60</v>
      </c>
      <c r="AA236" s="1131" t="s">
        <v>85</v>
      </c>
      <c r="AB236" s="310">
        <v>10</v>
      </c>
      <c r="AC236" s="62" t="s">
        <v>60</v>
      </c>
      <c r="AD236" s="1131" t="s">
        <v>85</v>
      </c>
      <c r="AE236" s="77"/>
      <c r="AF236" s="204"/>
      <c r="AG236" s="70">
        <v>45</v>
      </c>
      <c r="AH236" s="19">
        <v>55</v>
      </c>
      <c r="AI236" s="310">
        <v>20</v>
      </c>
      <c r="AJ236" s="71" t="s">
        <v>64</v>
      </c>
      <c r="AK236" s="79">
        <v>90</v>
      </c>
      <c r="AL236" s="19">
        <v>180</v>
      </c>
      <c r="AM236" s="284" t="s">
        <v>91</v>
      </c>
      <c r="AN236" s="18" t="s">
        <v>69</v>
      </c>
      <c r="AO236" s="18" t="s">
        <v>70</v>
      </c>
      <c r="AP236" s="18" t="s">
        <v>71</v>
      </c>
      <c r="AQ236" s="19" t="s">
        <v>73</v>
      </c>
      <c r="AR236" s="285" t="s">
        <v>64</v>
      </c>
      <c r="AS236" s="92"/>
    </row>
    <row r="237" spans="1:46" ht="13.5" thickBot="1">
      <c r="A237" s="187" t="s">
        <v>24</v>
      </c>
      <c r="B237" s="188" t="s">
        <v>53</v>
      </c>
      <c r="C237" s="187" t="s">
        <v>53</v>
      </c>
      <c r="D237" s="188" t="s">
        <v>22</v>
      </c>
      <c r="E237" s="187" t="s">
        <v>53</v>
      </c>
      <c r="F237" s="16" t="s">
        <v>22</v>
      </c>
      <c r="G237" s="1129" t="s">
        <v>55</v>
      </c>
      <c r="H237" s="187" t="s">
        <v>42</v>
      </c>
      <c r="I237" s="16"/>
      <c r="J237" s="1128" t="s">
        <v>59</v>
      </c>
      <c r="K237" s="16" t="s">
        <v>43</v>
      </c>
      <c r="L237" s="195" t="s">
        <v>44</v>
      </c>
      <c r="M237" s="1128" t="s">
        <v>59</v>
      </c>
      <c r="N237" s="1055" t="s">
        <v>22</v>
      </c>
      <c r="O237" s="188" t="s">
        <v>22</v>
      </c>
      <c r="P237" s="1128" t="s">
        <v>59</v>
      </c>
      <c r="Q237" s="1055" t="s">
        <v>22</v>
      </c>
      <c r="R237" s="188" t="s">
        <v>22</v>
      </c>
      <c r="S237" s="1128" t="s">
        <v>59</v>
      </c>
      <c r="T237" s="1055" t="s">
        <v>22</v>
      </c>
      <c r="U237" s="188" t="s">
        <v>22</v>
      </c>
      <c r="V237" s="1128" t="s">
        <v>59</v>
      </c>
      <c r="W237" s="16" t="s">
        <v>22</v>
      </c>
      <c r="X237" s="188" t="s">
        <v>86</v>
      </c>
      <c r="Y237" s="1128" t="s">
        <v>59</v>
      </c>
      <c r="Z237" s="16" t="s">
        <v>22</v>
      </c>
      <c r="AA237" s="188" t="s">
        <v>86</v>
      </c>
      <c r="AB237" s="1128" t="s">
        <v>59</v>
      </c>
      <c r="AC237" s="16" t="s">
        <v>22</v>
      </c>
      <c r="AD237" s="188" t="s">
        <v>86</v>
      </c>
      <c r="AE237" s="75" t="s">
        <v>63</v>
      </c>
      <c r="AF237" s="202" t="s">
        <v>67</v>
      </c>
      <c r="AG237" s="75" t="s">
        <v>61</v>
      </c>
      <c r="AH237" s="17" t="s">
        <v>61</v>
      </c>
      <c r="AI237" s="1128" t="s">
        <v>59</v>
      </c>
      <c r="AJ237" s="17" t="s">
        <v>65</v>
      </c>
      <c r="AK237" s="207" t="s">
        <v>89</v>
      </c>
      <c r="AL237" s="17" t="s">
        <v>89</v>
      </c>
      <c r="AM237" s="75" t="s">
        <v>72</v>
      </c>
      <c r="AN237" s="16" t="s">
        <v>74</v>
      </c>
      <c r="AO237" s="16" t="s">
        <v>74</v>
      </c>
      <c r="AP237" s="16" t="s">
        <v>74</v>
      </c>
      <c r="AQ237" s="17" t="s">
        <v>75</v>
      </c>
      <c r="AR237" s="200" t="s">
        <v>67</v>
      </c>
      <c r="AS237" s="46"/>
    </row>
    <row r="238" spans="1:46">
      <c r="A238" s="70"/>
      <c r="B238" s="19"/>
      <c r="C238" s="65"/>
      <c r="D238" s="67"/>
      <c r="E238" s="302"/>
      <c r="F238" s="18"/>
      <c r="G238" s="19"/>
      <c r="H238" s="65"/>
      <c r="I238" s="18"/>
      <c r="J238" s="73"/>
      <c r="K238" s="18"/>
      <c r="L238" s="156"/>
      <c r="M238" s="54"/>
      <c r="N238" s="1049"/>
      <c r="O238" s="67"/>
      <c r="P238" s="203"/>
      <c r="Q238" s="1049"/>
      <c r="R238" s="1063"/>
      <c r="S238" s="54"/>
      <c r="T238" s="1059"/>
      <c r="U238" s="67"/>
      <c r="V238" s="54"/>
      <c r="W238" s="269"/>
      <c r="X238" s="59"/>
      <c r="Y238" s="54"/>
      <c r="Z238" s="269"/>
      <c r="AA238" s="59"/>
      <c r="AB238" s="54"/>
      <c r="AC238" s="269"/>
      <c r="AD238" s="59"/>
      <c r="AE238" s="70"/>
      <c r="AF238" s="19"/>
      <c r="AG238" s="70"/>
      <c r="AH238" s="19"/>
      <c r="AI238" s="54"/>
      <c r="AJ238" s="19"/>
      <c r="AK238" s="70"/>
      <c r="AL238" s="197"/>
      <c r="AM238" s="70"/>
      <c r="AN238" s="18"/>
      <c r="AO238" s="18"/>
      <c r="AP238" s="18"/>
      <c r="AQ238" s="19"/>
      <c r="AR238" s="286"/>
      <c r="AS238" s="7"/>
    </row>
    <row r="239" spans="1:46">
      <c r="A239" s="72">
        <f>A$236/2</f>
        <v>120</v>
      </c>
      <c r="B239" s="61">
        <v>2.4500000000000002</v>
      </c>
      <c r="C239" s="66">
        <f>A239*B239</f>
        <v>294</v>
      </c>
      <c r="D239" s="68">
        <v>5</v>
      </c>
      <c r="E239" s="186">
        <f t="shared" ref="E239:E267" si="185">IF(L239/120*1000*1.5&lt;65,120,IF(L239/208*1000*1.5&lt;65,208,IF(L239/240*1000*1.5&lt;65,240,480)))</f>
        <v>120</v>
      </c>
      <c r="F239" s="45">
        <f>L239*1000/E239</f>
        <v>22.916666666666668</v>
      </c>
      <c r="G239" s="94">
        <f>G$236</f>
        <v>12</v>
      </c>
      <c r="H239" s="295">
        <f>1.11*(1+G239/100)*C239</f>
        <v>365.50080000000008</v>
      </c>
      <c r="I239" s="25"/>
      <c r="J239" s="52">
        <f>J$236</f>
        <v>35</v>
      </c>
      <c r="K239" s="25">
        <f t="shared" ref="K239:K267" si="186">(1+J239/100)*D239*1.11</f>
        <v>7.4925000000000006</v>
      </c>
      <c r="L239" s="157">
        <f t="shared" ref="L239:L267" si="187">IF(CEILING(H239*K239/1000,0.25)&lt;10,CEILING(H239*K239/1000,0.25),IF(CEILING(H239*K239/1000,0.25)&lt;20,CEILING(H239*K239/1000,0.5),CEILING(H239*K239/1000,1)))</f>
        <v>2.75</v>
      </c>
      <c r="M239" s="55">
        <f>M$236</f>
        <v>35</v>
      </c>
      <c r="N239" s="838">
        <f t="shared" ref="N239:N267" si="188">(1+M239/100)*F239</f>
        <v>30.937500000000004</v>
      </c>
      <c r="O239" s="68">
        <f>LOOKUP(N239,'Circuit Breakers'!$B$5:$B$38,'Circuit Breakers'!$C$5:$C$38)</f>
        <v>40</v>
      </c>
      <c r="P239" s="199">
        <f t="shared" ref="P239:P267" si="189">P$236</f>
        <v>30</v>
      </c>
      <c r="Q239" s="1056">
        <f>(1+P239/100)*K239</f>
        <v>9.7402500000000014</v>
      </c>
      <c r="R239" s="1064">
        <f>LOOKUP(Q239,'Circuit Breakers'!$B$5:$B$38,'Circuit Breakers'!$C$5:$C$38)</f>
        <v>10</v>
      </c>
      <c r="S239" s="64">
        <f t="shared" ref="S239:S267" si="190">S$236</f>
        <v>30</v>
      </c>
      <c r="T239" s="25">
        <f>(1+S239/100)*D239</f>
        <v>6.5</v>
      </c>
      <c r="U239" s="158">
        <f>LOOKUP(T239,'Circuit Breakers'!$B$5:$B$38,'Circuit Breakers'!$C$5:$C$38)</f>
        <v>10</v>
      </c>
      <c r="V239" s="64">
        <f>V$236</f>
        <v>15</v>
      </c>
      <c r="W239" s="25">
        <f t="shared" ref="W239:W267" si="191">(1+V239/100)*F239</f>
        <v>26.354166666666664</v>
      </c>
      <c r="X239" s="68" t="str">
        <f>LOOKUP(W239,'Wire-Cables Ampacities'!$B$5:$B$35,'Wire-Cables Ampacities'!$C$5:$C$35)</f>
        <v>#10</v>
      </c>
      <c r="Y239" s="64">
        <f>Y$236</f>
        <v>10</v>
      </c>
      <c r="Z239" s="25">
        <f t="shared" ref="Z239:Z267" si="192">(1+Y239/100)*K239</f>
        <v>8.2417500000000015</v>
      </c>
      <c r="AA239" s="68" t="str">
        <f>LOOKUP(Z239,'Wire-Cables Ampacities'!$B$5:$B$35,'Wire-Cables Ampacities'!$C$5:$C$35)</f>
        <v>#10</v>
      </c>
      <c r="AB239" s="64">
        <f>AB$236</f>
        <v>10</v>
      </c>
      <c r="AC239" s="25">
        <f t="shared" ref="AC239:AC267" si="193">(1+AB239/100)*D239</f>
        <v>5.5</v>
      </c>
      <c r="AD239" s="68" t="str">
        <f>LOOKUP(AC239,'Wire-Cables Ampacities'!$B$5:$B$35,'Wire-Cables Ampacities'!$C$5:$C$35)</f>
        <v>#10</v>
      </c>
      <c r="AE239" s="81">
        <f>(2*D239+0.05*L239*1000)/1000</f>
        <v>0.14749999999999999</v>
      </c>
      <c r="AF239" s="56">
        <f t="shared" ref="AF239:AF255" si="194">AE239*3.412142*1000</f>
        <v>503.29094499999991</v>
      </c>
      <c r="AG239" s="72">
        <f>AG$236</f>
        <v>45</v>
      </c>
      <c r="AH239" s="15">
        <v>55</v>
      </c>
      <c r="AI239" s="64">
        <f>AI$236</f>
        <v>20</v>
      </c>
      <c r="AJ239" s="56">
        <f>1760*AE239/(AH239-AG239)*(1+AI239/100)</f>
        <v>31.151999999999994</v>
      </c>
      <c r="AK239" s="271">
        <f t="shared" ref="AK239:AK267" si="195">AJ239/AK$20</f>
        <v>0.34613333333333329</v>
      </c>
      <c r="AL239" s="277">
        <f t="shared" ref="AL239:AL267" si="196">AJ239/AL$20</f>
        <v>0.17306666666666665</v>
      </c>
      <c r="AM239" s="58">
        <v>450</v>
      </c>
      <c r="AN239" s="25">
        <v>24</v>
      </c>
      <c r="AO239" s="3">
        <v>30</v>
      </c>
      <c r="AP239" s="3">
        <v>16</v>
      </c>
      <c r="AQ239" s="281">
        <f>((2*AO239*AN239)+2*(AO239*AP239)+(AN239*AP239))/144</f>
        <v>19.333333333333332</v>
      </c>
      <c r="AR239" s="287">
        <f t="shared" ref="AR239:AR255" si="197">AF239+(1.25*AQ239*(AG239-AH239))</f>
        <v>261.62427833333328</v>
      </c>
      <c r="AS239" s="93"/>
      <c r="AT239" s="4"/>
    </row>
    <row r="240" spans="1:46">
      <c r="A240" s="98">
        <f t="shared" ref="A240:A267" si="198">A$236/2</f>
        <v>120</v>
      </c>
      <c r="B240" s="304">
        <v>2.4500000000000002</v>
      </c>
      <c r="C240" s="100">
        <f t="shared" ref="C240:C267" si="199">A240*B240</f>
        <v>294</v>
      </c>
      <c r="D240" s="101">
        <v>10</v>
      </c>
      <c r="E240" s="183">
        <f t="shared" si="185"/>
        <v>208</v>
      </c>
      <c r="F240" s="102">
        <f t="shared" ref="F240:F267" si="200">L240*1000/E240</f>
        <v>26.442307692307693</v>
      </c>
      <c r="G240" s="103">
        <f t="shared" ref="G240:G267" si="201">G$236</f>
        <v>12</v>
      </c>
      <c r="H240" s="296">
        <f t="shared" ref="H240:H267" si="202">1.11*(1+G240/100)*C240</f>
        <v>365.50080000000008</v>
      </c>
      <c r="I240" s="104"/>
      <c r="J240" s="180">
        <f t="shared" ref="J240:J267" si="203">J$236</f>
        <v>35</v>
      </c>
      <c r="K240" s="104">
        <f t="shared" si="186"/>
        <v>14.985000000000001</v>
      </c>
      <c r="L240" s="263">
        <f t="shared" si="187"/>
        <v>5.5</v>
      </c>
      <c r="M240" s="106">
        <f t="shared" ref="M240:M267" si="204">M$236</f>
        <v>35</v>
      </c>
      <c r="N240" s="1060">
        <f t="shared" si="188"/>
        <v>35.697115384615387</v>
      </c>
      <c r="O240" s="101">
        <f>LOOKUP(N240,'Circuit Breakers'!$B$5:$B$38,'Circuit Breakers'!$C$5:$C$38)</f>
        <v>40</v>
      </c>
      <c r="P240" s="262">
        <f t="shared" si="189"/>
        <v>30</v>
      </c>
      <c r="Q240" s="1057">
        <f t="shared" ref="Q240:Q267" si="205">(1+P240/100)*K240</f>
        <v>19.480500000000003</v>
      </c>
      <c r="R240" s="1065">
        <f>LOOKUP(Q240,'Circuit Breakers'!$B$5:$B$38,'Circuit Breakers'!$C$5:$C$38)</f>
        <v>20</v>
      </c>
      <c r="S240" s="106">
        <f t="shared" si="190"/>
        <v>30</v>
      </c>
      <c r="T240" s="104">
        <f t="shared" ref="T240:T267" si="206">(1+S240/100)*D240</f>
        <v>13</v>
      </c>
      <c r="U240" s="477">
        <f>LOOKUP(T240,'Circuit Breakers'!$B$5:$B$38,'Circuit Breakers'!$C$5:$C$38)</f>
        <v>15</v>
      </c>
      <c r="V240" s="106">
        <f t="shared" ref="V240:V267" si="207">V$236</f>
        <v>15</v>
      </c>
      <c r="W240" s="104">
        <f t="shared" si="191"/>
        <v>30.408653846153847</v>
      </c>
      <c r="X240" s="101" t="str">
        <f>LOOKUP(W240,'Wire-Cables Ampacities'!$B$5:$B$35,'Wire-Cables Ampacities'!$C$5:$C$35)</f>
        <v>#10</v>
      </c>
      <c r="Y240" s="106">
        <f t="shared" ref="Y240:Y267" si="208">Y$236</f>
        <v>10</v>
      </c>
      <c r="Z240" s="104">
        <f t="shared" si="192"/>
        <v>16.483500000000003</v>
      </c>
      <c r="AA240" s="101" t="str">
        <f>LOOKUP(Z240,'Wire-Cables Ampacities'!$B$5:$B$35,'Wire-Cables Ampacities'!$C$5:$C$35)</f>
        <v>#10</v>
      </c>
      <c r="AB240" s="106">
        <f t="shared" ref="AB240:AB267" si="209">AB$236</f>
        <v>10</v>
      </c>
      <c r="AC240" s="104">
        <f t="shared" si="193"/>
        <v>11</v>
      </c>
      <c r="AD240" s="101" t="str">
        <f>LOOKUP(AC240,'Wire-Cables Ampacities'!$B$5:$B$35,'Wire-Cables Ampacities'!$C$5:$C$35)</f>
        <v>#10</v>
      </c>
      <c r="AE240" s="107">
        <f t="shared" ref="AE240:AE267" si="210">(2*D240+0.05*L240*1000)/1000</f>
        <v>0.29499999999999998</v>
      </c>
      <c r="AF240" s="105">
        <f t="shared" si="194"/>
        <v>1006.5818899999998</v>
      </c>
      <c r="AG240" s="98">
        <f t="shared" ref="AG240:AG267" si="211">AG$236</f>
        <v>45</v>
      </c>
      <c r="AH240" s="99">
        <v>55</v>
      </c>
      <c r="AI240" s="106">
        <f t="shared" ref="AI240:AI267" si="212">AI$236</f>
        <v>20</v>
      </c>
      <c r="AJ240" s="105">
        <f t="shared" ref="AJ240:AJ267" si="213">1760*AE240/(AH240-AG240)*(1+AI240/100)</f>
        <v>62.303999999999988</v>
      </c>
      <c r="AK240" s="272">
        <f t="shared" si="195"/>
        <v>0.69226666666666659</v>
      </c>
      <c r="AL240" s="278">
        <f t="shared" si="196"/>
        <v>0.34613333333333329</v>
      </c>
      <c r="AM240" s="109">
        <v>450</v>
      </c>
      <c r="AN240" s="104">
        <v>24</v>
      </c>
      <c r="AO240" s="110">
        <v>30</v>
      </c>
      <c r="AP240" s="110">
        <v>16</v>
      </c>
      <c r="AQ240" s="282">
        <f t="shared" ref="AQ240:AQ267" si="214">((2*AO240*AN240)+2*(AO240*AP240)+(AN240*AP240))/144</f>
        <v>19.333333333333332</v>
      </c>
      <c r="AR240" s="288">
        <f t="shared" si="197"/>
        <v>764.91522333333319</v>
      </c>
      <c r="AS240" s="93"/>
      <c r="AT240" s="4"/>
    </row>
    <row r="241" spans="1:46">
      <c r="A241" s="72">
        <f t="shared" si="198"/>
        <v>120</v>
      </c>
      <c r="B241" s="61">
        <v>2.4500000000000002</v>
      </c>
      <c r="C241" s="66">
        <f t="shared" si="199"/>
        <v>294</v>
      </c>
      <c r="D241" s="68">
        <v>15</v>
      </c>
      <c r="E241" s="186">
        <f t="shared" si="185"/>
        <v>208</v>
      </c>
      <c r="F241" s="45">
        <f t="shared" si="200"/>
        <v>39.66346153846154</v>
      </c>
      <c r="G241" s="94">
        <f t="shared" si="201"/>
        <v>12</v>
      </c>
      <c r="H241" s="295">
        <f t="shared" si="202"/>
        <v>365.50080000000008</v>
      </c>
      <c r="I241" s="25"/>
      <c r="J241" s="52">
        <f t="shared" si="203"/>
        <v>35</v>
      </c>
      <c r="K241" s="25">
        <f t="shared" si="186"/>
        <v>22.477500000000003</v>
      </c>
      <c r="L241" s="157">
        <f t="shared" si="187"/>
        <v>8.25</v>
      </c>
      <c r="M241" s="64">
        <f t="shared" si="204"/>
        <v>35</v>
      </c>
      <c r="N241" s="838">
        <f t="shared" si="188"/>
        <v>53.54567307692308</v>
      </c>
      <c r="O241" s="68">
        <f>LOOKUP(N241,'Circuit Breakers'!$B$5:$B$38,'Circuit Breakers'!$C$5:$C$38)</f>
        <v>60</v>
      </c>
      <c r="P241" s="199">
        <f t="shared" si="189"/>
        <v>30</v>
      </c>
      <c r="Q241" s="1056">
        <f t="shared" si="205"/>
        <v>29.220750000000006</v>
      </c>
      <c r="R241" s="1064">
        <f>LOOKUP(Q241,'Circuit Breakers'!$B$5:$B$38,'Circuit Breakers'!$C$5:$C$38)</f>
        <v>30</v>
      </c>
      <c r="S241" s="64">
        <f t="shared" si="190"/>
        <v>30</v>
      </c>
      <c r="T241" s="25">
        <f t="shared" si="206"/>
        <v>19.5</v>
      </c>
      <c r="U241" s="158">
        <f>LOOKUP(T241,'Circuit Breakers'!$B$5:$B$38,'Circuit Breakers'!$C$5:$C$38)</f>
        <v>20</v>
      </c>
      <c r="V241" s="64">
        <f t="shared" si="207"/>
        <v>15</v>
      </c>
      <c r="W241" s="25">
        <f t="shared" si="191"/>
        <v>45.612980769230766</v>
      </c>
      <c r="X241" s="68" t="str">
        <f>LOOKUP(W241,'Wire-Cables Ampacities'!$B$5:$B$35,'Wire-Cables Ampacities'!$C$5:$C$35)</f>
        <v>#8</v>
      </c>
      <c r="Y241" s="64">
        <f t="shared" si="208"/>
        <v>10</v>
      </c>
      <c r="Z241" s="25">
        <f t="shared" si="192"/>
        <v>24.725250000000006</v>
      </c>
      <c r="AA241" s="68" t="str">
        <f>LOOKUP(Z241,'Wire-Cables Ampacities'!$B$5:$B$35,'Wire-Cables Ampacities'!$C$5:$C$35)</f>
        <v>#10</v>
      </c>
      <c r="AB241" s="64">
        <f t="shared" si="209"/>
        <v>10</v>
      </c>
      <c r="AC241" s="25">
        <f t="shared" si="193"/>
        <v>16.5</v>
      </c>
      <c r="AD241" s="68" t="str">
        <f>LOOKUP(AC241,'Wire-Cables Ampacities'!$B$5:$B$35,'Wire-Cables Ampacities'!$C$5:$C$35)</f>
        <v>#10</v>
      </c>
      <c r="AE241" s="81">
        <f t="shared" si="210"/>
        <v>0.44250000000000006</v>
      </c>
      <c r="AF241" s="56">
        <f t="shared" si="194"/>
        <v>1509.8728350000001</v>
      </c>
      <c r="AG241" s="72">
        <f t="shared" si="211"/>
        <v>45</v>
      </c>
      <c r="AH241" s="15">
        <v>55</v>
      </c>
      <c r="AI241" s="64">
        <f t="shared" si="212"/>
        <v>20</v>
      </c>
      <c r="AJ241" s="56">
        <f t="shared" si="213"/>
        <v>93.456000000000003</v>
      </c>
      <c r="AK241" s="271">
        <f t="shared" si="195"/>
        <v>1.0384</v>
      </c>
      <c r="AL241" s="277">
        <f t="shared" si="196"/>
        <v>0.51919999999999999</v>
      </c>
      <c r="AM241" s="58">
        <v>600</v>
      </c>
      <c r="AN241" s="25">
        <v>24</v>
      </c>
      <c r="AO241" s="3">
        <v>48</v>
      </c>
      <c r="AP241" s="3">
        <v>16</v>
      </c>
      <c r="AQ241" s="281">
        <f t="shared" si="214"/>
        <v>29.333333333333332</v>
      </c>
      <c r="AR241" s="287">
        <f t="shared" si="197"/>
        <v>1143.2061683333336</v>
      </c>
      <c r="AS241" s="93"/>
      <c r="AT241" s="4"/>
    </row>
    <row r="242" spans="1:46">
      <c r="A242" s="72">
        <f t="shared" si="198"/>
        <v>120</v>
      </c>
      <c r="B242" s="61">
        <v>2.4500000000000002</v>
      </c>
      <c r="C242" s="66">
        <f t="shared" si="199"/>
        <v>294</v>
      </c>
      <c r="D242" s="255">
        <v>20</v>
      </c>
      <c r="E242" s="186">
        <f t="shared" si="185"/>
        <v>480</v>
      </c>
      <c r="F242" s="45">
        <f t="shared" si="200"/>
        <v>22.916666666666668</v>
      </c>
      <c r="G242" s="94">
        <f t="shared" si="201"/>
        <v>12</v>
      </c>
      <c r="H242" s="295">
        <f t="shared" si="202"/>
        <v>365.50080000000008</v>
      </c>
      <c r="I242" s="25"/>
      <c r="J242" s="52">
        <f t="shared" si="203"/>
        <v>35</v>
      </c>
      <c r="K242" s="25">
        <f t="shared" si="186"/>
        <v>29.970000000000002</v>
      </c>
      <c r="L242" s="157">
        <f t="shared" si="187"/>
        <v>11</v>
      </c>
      <c r="M242" s="55">
        <f t="shared" si="204"/>
        <v>35</v>
      </c>
      <c r="N242" s="838">
        <f t="shared" si="188"/>
        <v>30.937500000000004</v>
      </c>
      <c r="O242" s="68">
        <f>LOOKUP(N242,'Circuit Breakers'!$B$5:$B$38,'Circuit Breakers'!$C$5:$C$38)</f>
        <v>40</v>
      </c>
      <c r="P242" s="199">
        <f t="shared" si="189"/>
        <v>30</v>
      </c>
      <c r="Q242" s="1056">
        <f t="shared" si="205"/>
        <v>38.961000000000006</v>
      </c>
      <c r="R242" s="1064">
        <f>LOOKUP(Q242,'Circuit Breakers'!$B$5:$B$38,'Circuit Breakers'!$C$5:$C$38)</f>
        <v>40</v>
      </c>
      <c r="S242" s="64">
        <f t="shared" si="190"/>
        <v>30</v>
      </c>
      <c r="T242" s="25">
        <f t="shared" si="206"/>
        <v>26</v>
      </c>
      <c r="U242" s="158">
        <f>LOOKUP(T242,'Circuit Breakers'!$B$5:$B$38,'Circuit Breakers'!$C$5:$C$38)</f>
        <v>30</v>
      </c>
      <c r="V242" s="64">
        <f t="shared" si="207"/>
        <v>15</v>
      </c>
      <c r="W242" s="25">
        <f t="shared" si="191"/>
        <v>26.354166666666664</v>
      </c>
      <c r="X242" s="68" t="str">
        <f>LOOKUP(W242,'Wire-Cables Ampacities'!$B$5:$B$35,'Wire-Cables Ampacities'!$C$5:$C$35)</f>
        <v>#10</v>
      </c>
      <c r="Y242" s="64">
        <f t="shared" si="208"/>
        <v>10</v>
      </c>
      <c r="Z242" s="25">
        <f t="shared" si="192"/>
        <v>32.967000000000006</v>
      </c>
      <c r="AA242" s="68" t="str">
        <f>LOOKUP(Z242,'Wire-Cables Ampacities'!$B$5:$B$35,'Wire-Cables Ampacities'!$C$5:$C$35)</f>
        <v>#10</v>
      </c>
      <c r="AB242" s="64">
        <f t="shared" si="209"/>
        <v>10</v>
      </c>
      <c r="AC242" s="25">
        <f t="shared" si="193"/>
        <v>22</v>
      </c>
      <c r="AD242" s="68" t="str">
        <f>LOOKUP(AC242,'Wire-Cables Ampacities'!$B$5:$B$35,'Wire-Cables Ampacities'!$C$5:$C$35)</f>
        <v>#10</v>
      </c>
      <c r="AE242" s="81">
        <f t="shared" si="210"/>
        <v>0.59</v>
      </c>
      <c r="AF242" s="56">
        <f t="shared" si="194"/>
        <v>2013.1637799999996</v>
      </c>
      <c r="AG242" s="72">
        <f t="shared" si="211"/>
        <v>45</v>
      </c>
      <c r="AH242" s="15">
        <v>55</v>
      </c>
      <c r="AI242" s="64">
        <f t="shared" si="212"/>
        <v>20</v>
      </c>
      <c r="AJ242" s="56">
        <f t="shared" si="213"/>
        <v>124.60799999999998</v>
      </c>
      <c r="AK242" s="271">
        <f t="shared" si="195"/>
        <v>1.3845333333333332</v>
      </c>
      <c r="AL242" s="277">
        <f t="shared" si="196"/>
        <v>0.69226666666666659</v>
      </c>
      <c r="AM242" s="58">
        <v>600</v>
      </c>
      <c r="AN242" s="25">
        <v>24</v>
      </c>
      <c r="AO242" s="3">
        <v>48</v>
      </c>
      <c r="AP242" s="3">
        <v>16</v>
      </c>
      <c r="AQ242" s="281">
        <f t="shared" si="214"/>
        <v>29.333333333333332</v>
      </c>
      <c r="AR242" s="287">
        <f t="shared" si="197"/>
        <v>1646.4971133333329</v>
      </c>
      <c r="AS242" s="93"/>
      <c r="AT242" s="4"/>
    </row>
    <row r="243" spans="1:46">
      <c r="A243" s="98">
        <f t="shared" si="198"/>
        <v>120</v>
      </c>
      <c r="B243" s="304">
        <v>2.4500000000000002</v>
      </c>
      <c r="C243" s="256">
        <f t="shared" si="199"/>
        <v>294</v>
      </c>
      <c r="D243" s="101">
        <v>25</v>
      </c>
      <c r="E243" s="183">
        <f t="shared" si="185"/>
        <v>480</v>
      </c>
      <c r="F243" s="102">
        <f t="shared" si="200"/>
        <v>29.166666666666668</v>
      </c>
      <c r="G243" s="103">
        <f t="shared" si="201"/>
        <v>12</v>
      </c>
      <c r="H243" s="296">
        <f t="shared" si="202"/>
        <v>365.50080000000008</v>
      </c>
      <c r="I243" s="104"/>
      <c r="J243" s="180">
        <f t="shared" si="203"/>
        <v>35</v>
      </c>
      <c r="K243" s="104">
        <f t="shared" si="186"/>
        <v>37.462500000000006</v>
      </c>
      <c r="L243" s="263">
        <f t="shared" si="187"/>
        <v>14</v>
      </c>
      <c r="M243" s="106">
        <f t="shared" si="204"/>
        <v>35</v>
      </c>
      <c r="N243" s="1060">
        <f t="shared" si="188"/>
        <v>39.375000000000007</v>
      </c>
      <c r="O243" s="101">
        <f>LOOKUP(N243,'Circuit Breakers'!$B$5:$B$38,'Circuit Breakers'!$C$5:$C$38)</f>
        <v>40</v>
      </c>
      <c r="P243" s="262">
        <f t="shared" si="189"/>
        <v>30</v>
      </c>
      <c r="Q243" s="1057">
        <f t="shared" si="205"/>
        <v>48.701250000000009</v>
      </c>
      <c r="R243" s="1065">
        <f>LOOKUP(Q243,'Circuit Breakers'!$B$5:$B$38,'Circuit Breakers'!$C$5:$C$38)</f>
        <v>50</v>
      </c>
      <c r="S243" s="106">
        <f t="shared" si="190"/>
        <v>30</v>
      </c>
      <c r="T243" s="104">
        <f t="shared" si="206"/>
        <v>32.5</v>
      </c>
      <c r="U243" s="477">
        <f>LOOKUP(T243,'Circuit Breakers'!$B$5:$B$38,'Circuit Breakers'!$C$5:$C$38)</f>
        <v>40</v>
      </c>
      <c r="V243" s="106">
        <f t="shared" si="207"/>
        <v>15</v>
      </c>
      <c r="W243" s="104">
        <f t="shared" si="191"/>
        <v>33.541666666666664</v>
      </c>
      <c r="X243" s="101" t="str">
        <f>LOOKUP(W243,'Wire-Cables Ampacities'!$B$5:$B$35,'Wire-Cables Ampacities'!$C$5:$C$35)</f>
        <v>#10</v>
      </c>
      <c r="Y243" s="106">
        <f t="shared" si="208"/>
        <v>10</v>
      </c>
      <c r="Z243" s="104">
        <f t="shared" si="192"/>
        <v>41.208750000000009</v>
      </c>
      <c r="AA243" s="101" t="str">
        <f>LOOKUP(Z243,'Wire-Cables Ampacities'!$B$5:$B$35,'Wire-Cables Ampacities'!$C$5:$C$35)</f>
        <v>#8</v>
      </c>
      <c r="AB243" s="106">
        <f t="shared" si="209"/>
        <v>10</v>
      </c>
      <c r="AC243" s="104">
        <f t="shared" si="193"/>
        <v>27.500000000000004</v>
      </c>
      <c r="AD243" s="101" t="str">
        <f>LOOKUP(AC243,'Wire-Cables Ampacities'!$B$5:$B$35,'Wire-Cables Ampacities'!$C$5:$C$35)</f>
        <v>#10</v>
      </c>
      <c r="AE243" s="107">
        <f t="shared" si="210"/>
        <v>0.75000000000000011</v>
      </c>
      <c r="AF243" s="105">
        <f t="shared" si="194"/>
        <v>2559.1065000000003</v>
      </c>
      <c r="AG243" s="98">
        <f t="shared" si="211"/>
        <v>45</v>
      </c>
      <c r="AH243" s="99">
        <v>55</v>
      </c>
      <c r="AI243" s="106">
        <f t="shared" si="212"/>
        <v>20</v>
      </c>
      <c r="AJ243" s="105">
        <f t="shared" si="213"/>
        <v>158.40000000000003</v>
      </c>
      <c r="AK243" s="272">
        <f t="shared" si="195"/>
        <v>1.7600000000000005</v>
      </c>
      <c r="AL243" s="278">
        <f t="shared" si="196"/>
        <v>0.88000000000000023</v>
      </c>
      <c r="AM243" s="109">
        <v>600</v>
      </c>
      <c r="AN243" s="104">
        <v>24</v>
      </c>
      <c r="AO243" s="110">
        <v>48</v>
      </c>
      <c r="AP243" s="110">
        <v>16</v>
      </c>
      <c r="AQ243" s="282">
        <f t="shared" si="214"/>
        <v>29.333333333333332</v>
      </c>
      <c r="AR243" s="288">
        <f t="shared" si="197"/>
        <v>2192.4398333333338</v>
      </c>
      <c r="AS243" s="93"/>
      <c r="AT243" s="4"/>
    </row>
    <row r="244" spans="1:46">
      <c r="A244" s="72">
        <f t="shared" si="198"/>
        <v>120</v>
      </c>
      <c r="B244" s="61">
        <v>2.4500000000000002</v>
      </c>
      <c r="C244" s="66">
        <f t="shared" si="199"/>
        <v>294</v>
      </c>
      <c r="D244" s="257">
        <v>30</v>
      </c>
      <c r="E244" s="186">
        <f t="shared" si="185"/>
        <v>480</v>
      </c>
      <c r="F244" s="45">
        <f t="shared" si="200"/>
        <v>34.375</v>
      </c>
      <c r="G244" s="94">
        <f t="shared" si="201"/>
        <v>12</v>
      </c>
      <c r="H244" s="295">
        <f t="shared" si="202"/>
        <v>365.50080000000008</v>
      </c>
      <c r="I244" s="25"/>
      <c r="J244" s="52">
        <f t="shared" si="203"/>
        <v>35</v>
      </c>
      <c r="K244" s="25">
        <f t="shared" si="186"/>
        <v>44.955000000000005</v>
      </c>
      <c r="L244" s="157">
        <f t="shared" si="187"/>
        <v>16.5</v>
      </c>
      <c r="M244" s="64">
        <f t="shared" si="204"/>
        <v>35</v>
      </c>
      <c r="N244" s="838">
        <f t="shared" si="188"/>
        <v>46.40625</v>
      </c>
      <c r="O244" s="68">
        <f>LOOKUP(N244,'Circuit Breakers'!$B$5:$B$38,'Circuit Breakers'!$C$5:$C$38)</f>
        <v>50</v>
      </c>
      <c r="P244" s="199">
        <f t="shared" si="189"/>
        <v>30</v>
      </c>
      <c r="Q244" s="1056">
        <f t="shared" si="205"/>
        <v>58.441500000000012</v>
      </c>
      <c r="R244" s="1064">
        <f>LOOKUP(Q244,'Circuit Breakers'!$B$5:$B$38,'Circuit Breakers'!$C$5:$C$38)</f>
        <v>60</v>
      </c>
      <c r="S244" s="64">
        <f t="shared" si="190"/>
        <v>30</v>
      </c>
      <c r="T244" s="25">
        <f t="shared" si="206"/>
        <v>39</v>
      </c>
      <c r="U244" s="158">
        <f>LOOKUP(T244,'Circuit Breakers'!$B$5:$B$38,'Circuit Breakers'!$C$5:$C$38)</f>
        <v>40</v>
      </c>
      <c r="V244" s="64">
        <f t="shared" si="207"/>
        <v>15</v>
      </c>
      <c r="W244" s="25">
        <f t="shared" si="191"/>
        <v>39.53125</v>
      </c>
      <c r="X244" s="68" t="str">
        <f>LOOKUP(W244,'Wire-Cables Ampacities'!$B$5:$B$35,'Wire-Cables Ampacities'!$C$5:$C$35)</f>
        <v>#10</v>
      </c>
      <c r="Y244" s="64">
        <f t="shared" si="208"/>
        <v>10</v>
      </c>
      <c r="Z244" s="25">
        <f t="shared" si="192"/>
        <v>49.450500000000012</v>
      </c>
      <c r="AA244" s="68" t="str">
        <f>LOOKUP(Z244,'Wire-Cables Ampacities'!$B$5:$B$35,'Wire-Cables Ampacities'!$C$5:$C$35)</f>
        <v>#8</v>
      </c>
      <c r="AB244" s="64">
        <f t="shared" si="209"/>
        <v>10</v>
      </c>
      <c r="AC244" s="25">
        <f t="shared" si="193"/>
        <v>33</v>
      </c>
      <c r="AD244" s="68" t="str">
        <f>LOOKUP(AC244,'Wire-Cables Ampacities'!$B$5:$B$35,'Wire-Cables Ampacities'!$C$5:$C$35)</f>
        <v>#10</v>
      </c>
      <c r="AE244" s="81">
        <f t="shared" si="210"/>
        <v>0.88500000000000012</v>
      </c>
      <c r="AF244" s="56">
        <f t="shared" si="194"/>
        <v>3019.7456700000002</v>
      </c>
      <c r="AG244" s="72">
        <f t="shared" si="211"/>
        <v>45</v>
      </c>
      <c r="AH244" s="15">
        <v>55</v>
      </c>
      <c r="AI244" s="64">
        <f t="shared" si="212"/>
        <v>20</v>
      </c>
      <c r="AJ244" s="56">
        <f t="shared" si="213"/>
        <v>186.91200000000001</v>
      </c>
      <c r="AK244" s="271">
        <f t="shared" si="195"/>
        <v>2.0768</v>
      </c>
      <c r="AL244" s="277">
        <f t="shared" si="196"/>
        <v>1.0384</v>
      </c>
      <c r="AM244" s="58">
        <v>600</v>
      </c>
      <c r="AN244" s="25">
        <v>24</v>
      </c>
      <c r="AO244" s="3">
        <v>48</v>
      </c>
      <c r="AP244" s="3">
        <v>16</v>
      </c>
      <c r="AQ244" s="281">
        <f t="shared" si="214"/>
        <v>29.333333333333332</v>
      </c>
      <c r="AR244" s="287">
        <f t="shared" si="197"/>
        <v>2653.0790033333337</v>
      </c>
      <c r="AS244" s="93"/>
      <c r="AT244" s="4"/>
    </row>
    <row r="245" spans="1:46">
      <c r="A245" s="72">
        <f t="shared" si="198"/>
        <v>120</v>
      </c>
      <c r="B245" s="61">
        <v>2.4500000000000002</v>
      </c>
      <c r="C245" s="66">
        <f t="shared" si="199"/>
        <v>294</v>
      </c>
      <c r="D245" s="68">
        <v>35</v>
      </c>
      <c r="E245" s="186">
        <f t="shared" si="185"/>
        <v>480</v>
      </c>
      <c r="F245" s="45">
        <f t="shared" si="200"/>
        <v>40.625</v>
      </c>
      <c r="G245" s="94">
        <f t="shared" si="201"/>
        <v>12</v>
      </c>
      <c r="H245" s="295">
        <f t="shared" si="202"/>
        <v>365.50080000000008</v>
      </c>
      <c r="I245" s="25"/>
      <c r="J245" s="52">
        <f t="shared" si="203"/>
        <v>35</v>
      </c>
      <c r="K245" s="25">
        <f t="shared" si="186"/>
        <v>52.447500000000005</v>
      </c>
      <c r="L245" s="157">
        <f t="shared" si="187"/>
        <v>19.5</v>
      </c>
      <c r="M245" s="64">
        <f t="shared" si="204"/>
        <v>35</v>
      </c>
      <c r="N245" s="838">
        <f t="shared" si="188"/>
        <v>54.843750000000007</v>
      </c>
      <c r="O245" s="68">
        <f>LOOKUP(N245,'Circuit Breakers'!$B$5:$B$38,'Circuit Breakers'!$C$5:$C$38)</f>
        <v>60</v>
      </c>
      <c r="P245" s="199">
        <f t="shared" si="189"/>
        <v>30</v>
      </c>
      <c r="Q245" s="1056">
        <f t="shared" si="205"/>
        <v>68.181750000000008</v>
      </c>
      <c r="R245" s="1064">
        <f>LOOKUP(Q245,'Circuit Breakers'!$B$5:$B$38,'Circuit Breakers'!$C$5:$C$38)</f>
        <v>70</v>
      </c>
      <c r="S245" s="64">
        <f t="shared" si="190"/>
        <v>30</v>
      </c>
      <c r="T245" s="25">
        <f t="shared" si="206"/>
        <v>45.5</v>
      </c>
      <c r="U245" s="158">
        <f>LOOKUP(T245,'Circuit Breakers'!$B$5:$B$38,'Circuit Breakers'!$C$5:$C$38)</f>
        <v>50</v>
      </c>
      <c r="V245" s="64">
        <f t="shared" si="207"/>
        <v>15</v>
      </c>
      <c r="W245" s="25">
        <f t="shared" si="191"/>
        <v>46.718749999999993</v>
      </c>
      <c r="X245" s="68" t="str">
        <f>LOOKUP(W245,'Wire-Cables Ampacities'!$B$5:$B$35,'Wire-Cables Ampacities'!$C$5:$C$35)</f>
        <v>#8</v>
      </c>
      <c r="Y245" s="64">
        <f t="shared" si="208"/>
        <v>10</v>
      </c>
      <c r="Z245" s="25">
        <f t="shared" si="192"/>
        <v>57.692250000000008</v>
      </c>
      <c r="AA245" s="68" t="str">
        <f>LOOKUP(Z245,'Wire-Cables Ampacities'!$B$5:$B$35,'Wire-Cables Ampacities'!$C$5:$C$35)</f>
        <v>#8</v>
      </c>
      <c r="AB245" s="64">
        <f t="shared" si="209"/>
        <v>10</v>
      </c>
      <c r="AC245" s="25">
        <f t="shared" si="193"/>
        <v>38.5</v>
      </c>
      <c r="AD245" s="68" t="str">
        <f>LOOKUP(AC245,'Wire-Cables Ampacities'!$B$5:$B$35,'Wire-Cables Ampacities'!$C$5:$C$35)</f>
        <v>#10</v>
      </c>
      <c r="AE245" s="81">
        <f t="shared" si="210"/>
        <v>1.0449999999999999</v>
      </c>
      <c r="AF245" s="56">
        <f t="shared" si="194"/>
        <v>3565.6883899999998</v>
      </c>
      <c r="AG245" s="72">
        <f t="shared" si="211"/>
        <v>45</v>
      </c>
      <c r="AH245" s="15">
        <v>55</v>
      </c>
      <c r="AI245" s="64">
        <f t="shared" si="212"/>
        <v>20</v>
      </c>
      <c r="AJ245" s="56">
        <f t="shared" si="213"/>
        <v>220.70399999999998</v>
      </c>
      <c r="AK245" s="271">
        <f t="shared" si="195"/>
        <v>2.4522666666666666</v>
      </c>
      <c r="AL245" s="277">
        <f t="shared" si="196"/>
        <v>1.2261333333333333</v>
      </c>
      <c r="AM245" s="58">
        <v>600</v>
      </c>
      <c r="AN245" s="25">
        <v>24</v>
      </c>
      <c r="AO245" s="3">
        <v>48</v>
      </c>
      <c r="AP245" s="3">
        <v>16</v>
      </c>
      <c r="AQ245" s="281">
        <f t="shared" si="214"/>
        <v>29.333333333333332</v>
      </c>
      <c r="AR245" s="287">
        <f t="shared" si="197"/>
        <v>3199.0217233333333</v>
      </c>
      <c r="AS245" s="93"/>
      <c r="AT245" s="4"/>
    </row>
    <row r="246" spans="1:46">
      <c r="A246" s="98">
        <f t="shared" si="198"/>
        <v>120</v>
      </c>
      <c r="B246" s="304">
        <v>2.4500000000000002</v>
      </c>
      <c r="C246" s="100">
        <f t="shared" si="199"/>
        <v>294</v>
      </c>
      <c r="D246" s="101">
        <v>40</v>
      </c>
      <c r="E246" s="183">
        <f t="shared" si="185"/>
        <v>480</v>
      </c>
      <c r="F246" s="102">
        <f t="shared" si="200"/>
        <v>45.833333333333336</v>
      </c>
      <c r="G246" s="103">
        <f t="shared" si="201"/>
        <v>12</v>
      </c>
      <c r="H246" s="296">
        <f t="shared" si="202"/>
        <v>365.50080000000008</v>
      </c>
      <c r="I246" s="104"/>
      <c r="J246" s="180">
        <f t="shared" si="203"/>
        <v>35</v>
      </c>
      <c r="K246" s="104">
        <f t="shared" si="186"/>
        <v>59.940000000000005</v>
      </c>
      <c r="L246" s="263">
        <f t="shared" si="187"/>
        <v>22</v>
      </c>
      <c r="M246" s="106">
        <f t="shared" si="204"/>
        <v>35</v>
      </c>
      <c r="N246" s="1060">
        <f t="shared" si="188"/>
        <v>61.875000000000007</v>
      </c>
      <c r="O246" s="101">
        <f>LOOKUP(N246,'Circuit Breakers'!$B$5:$B$38,'Circuit Breakers'!$C$5:$C$38)</f>
        <v>60</v>
      </c>
      <c r="P246" s="262">
        <f t="shared" si="189"/>
        <v>30</v>
      </c>
      <c r="Q246" s="1057">
        <f t="shared" si="205"/>
        <v>77.922000000000011</v>
      </c>
      <c r="R246" s="1065">
        <f>LOOKUP(Q246,'Circuit Breakers'!$B$5:$B$38,'Circuit Breakers'!$C$5:$C$38)</f>
        <v>80</v>
      </c>
      <c r="S246" s="106">
        <f t="shared" si="190"/>
        <v>30</v>
      </c>
      <c r="T246" s="104">
        <f t="shared" si="206"/>
        <v>52</v>
      </c>
      <c r="U246" s="477">
        <f>LOOKUP(T246,'Circuit Breakers'!$B$5:$B$38,'Circuit Breakers'!$C$5:$C$38)</f>
        <v>60</v>
      </c>
      <c r="V246" s="106">
        <f t="shared" si="207"/>
        <v>15</v>
      </c>
      <c r="W246" s="104">
        <f t="shared" si="191"/>
        <v>52.708333333333329</v>
      </c>
      <c r="X246" s="101" t="str">
        <f>LOOKUP(W246,'Wire-Cables Ampacities'!$B$5:$B$35,'Wire-Cables Ampacities'!$C$5:$C$35)</f>
        <v>#8</v>
      </c>
      <c r="Y246" s="106">
        <f t="shared" si="208"/>
        <v>10</v>
      </c>
      <c r="Z246" s="104">
        <f t="shared" si="192"/>
        <v>65.934000000000012</v>
      </c>
      <c r="AA246" s="101" t="str">
        <f>LOOKUP(Z246,'Wire-Cables Ampacities'!$B$5:$B$35,'Wire-Cables Ampacities'!$C$5:$C$35)</f>
        <v>#6</v>
      </c>
      <c r="AB246" s="106">
        <f t="shared" si="209"/>
        <v>10</v>
      </c>
      <c r="AC246" s="104">
        <f t="shared" si="193"/>
        <v>44</v>
      </c>
      <c r="AD246" s="101" t="str">
        <f>LOOKUP(AC246,'Wire-Cables Ampacities'!$B$5:$B$35,'Wire-Cables Ampacities'!$C$5:$C$35)</f>
        <v>#8</v>
      </c>
      <c r="AE246" s="107">
        <f t="shared" si="210"/>
        <v>1.18</v>
      </c>
      <c r="AF246" s="105">
        <f t="shared" si="194"/>
        <v>4026.3275599999993</v>
      </c>
      <c r="AG246" s="98">
        <f t="shared" si="211"/>
        <v>45</v>
      </c>
      <c r="AH246" s="99">
        <v>55</v>
      </c>
      <c r="AI246" s="106">
        <f t="shared" si="212"/>
        <v>20</v>
      </c>
      <c r="AJ246" s="105">
        <f t="shared" si="213"/>
        <v>249.21599999999995</v>
      </c>
      <c r="AK246" s="272">
        <f t="shared" si="195"/>
        <v>2.7690666666666663</v>
      </c>
      <c r="AL246" s="278">
        <f t="shared" si="196"/>
        <v>1.3845333333333332</v>
      </c>
      <c r="AM246" s="109">
        <v>600</v>
      </c>
      <c r="AN246" s="104">
        <v>24</v>
      </c>
      <c r="AO246" s="110">
        <v>48</v>
      </c>
      <c r="AP246" s="110">
        <v>16</v>
      </c>
      <c r="AQ246" s="282">
        <f t="shared" si="214"/>
        <v>29.333333333333332</v>
      </c>
      <c r="AR246" s="288">
        <f t="shared" si="197"/>
        <v>3659.6608933333328</v>
      </c>
      <c r="AS246" s="93"/>
      <c r="AT246" s="4"/>
    </row>
    <row r="247" spans="1:46">
      <c r="A247" s="72">
        <f t="shared" si="198"/>
        <v>120</v>
      </c>
      <c r="B247" s="61">
        <v>2.4500000000000002</v>
      </c>
      <c r="C247" s="66">
        <f t="shared" si="199"/>
        <v>294</v>
      </c>
      <c r="D247" s="68">
        <v>50</v>
      </c>
      <c r="E247" s="186">
        <f t="shared" si="185"/>
        <v>480</v>
      </c>
      <c r="F247" s="45">
        <f t="shared" si="200"/>
        <v>58.333333333333336</v>
      </c>
      <c r="G247" s="94">
        <f t="shared" si="201"/>
        <v>12</v>
      </c>
      <c r="H247" s="295">
        <f t="shared" si="202"/>
        <v>365.50080000000008</v>
      </c>
      <c r="I247" s="25"/>
      <c r="J247" s="52">
        <f t="shared" si="203"/>
        <v>35</v>
      </c>
      <c r="K247" s="25">
        <f t="shared" si="186"/>
        <v>74.925000000000011</v>
      </c>
      <c r="L247" s="157">
        <f t="shared" si="187"/>
        <v>28</v>
      </c>
      <c r="M247" s="64">
        <f t="shared" si="204"/>
        <v>35</v>
      </c>
      <c r="N247" s="838">
        <f t="shared" si="188"/>
        <v>78.750000000000014</v>
      </c>
      <c r="O247" s="68">
        <f>LOOKUP(N247,'Circuit Breakers'!$B$5:$B$38,'Circuit Breakers'!$C$5:$C$38)</f>
        <v>80</v>
      </c>
      <c r="P247" s="199">
        <f t="shared" si="189"/>
        <v>30</v>
      </c>
      <c r="Q247" s="1056">
        <f t="shared" si="205"/>
        <v>97.402500000000018</v>
      </c>
      <c r="R247" s="1064">
        <f>LOOKUP(Q247,'Circuit Breakers'!$B$5:$B$38,'Circuit Breakers'!$C$5:$C$38)</f>
        <v>100</v>
      </c>
      <c r="S247" s="64">
        <f t="shared" si="190"/>
        <v>30</v>
      </c>
      <c r="T247" s="25">
        <f t="shared" si="206"/>
        <v>65</v>
      </c>
      <c r="U247" s="158">
        <f>LOOKUP(T247,'Circuit Breakers'!$B$5:$B$38,'Circuit Breakers'!$C$5:$C$38)</f>
        <v>70</v>
      </c>
      <c r="V247" s="64">
        <f t="shared" si="207"/>
        <v>15</v>
      </c>
      <c r="W247" s="25">
        <f t="shared" si="191"/>
        <v>67.083333333333329</v>
      </c>
      <c r="X247" s="68" t="str">
        <f>LOOKUP(W247,'Wire-Cables Ampacities'!$B$5:$B$35,'Wire-Cables Ampacities'!$C$5:$C$35)</f>
        <v>#6</v>
      </c>
      <c r="Y247" s="64">
        <f t="shared" si="208"/>
        <v>10</v>
      </c>
      <c r="Z247" s="25">
        <f t="shared" si="192"/>
        <v>82.417500000000018</v>
      </c>
      <c r="AA247" s="68" t="str">
        <f>LOOKUP(Z247,'Wire-Cables Ampacities'!$B$5:$B$35,'Wire-Cables Ampacities'!$C$5:$C$35)</f>
        <v>#4</v>
      </c>
      <c r="AB247" s="64">
        <f t="shared" si="209"/>
        <v>10</v>
      </c>
      <c r="AC247" s="25">
        <f t="shared" si="193"/>
        <v>55.000000000000007</v>
      </c>
      <c r="AD247" s="68" t="str">
        <f>LOOKUP(AC247,'Wire-Cables Ampacities'!$B$5:$B$35,'Wire-Cables Ampacities'!$C$5:$C$35)</f>
        <v>#8</v>
      </c>
      <c r="AE247" s="81">
        <f t="shared" si="210"/>
        <v>1.5000000000000002</v>
      </c>
      <c r="AF247" s="56">
        <f t="shared" si="194"/>
        <v>5118.2130000000006</v>
      </c>
      <c r="AG247" s="72">
        <f t="shared" si="211"/>
        <v>45</v>
      </c>
      <c r="AH247" s="15">
        <v>55</v>
      </c>
      <c r="AI247" s="64">
        <f t="shared" si="212"/>
        <v>20</v>
      </c>
      <c r="AJ247" s="56">
        <f t="shared" si="213"/>
        <v>316.80000000000007</v>
      </c>
      <c r="AK247" s="271">
        <f t="shared" si="195"/>
        <v>3.5200000000000009</v>
      </c>
      <c r="AL247" s="277">
        <f t="shared" si="196"/>
        <v>1.7600000000000005</v>
      </c>
      <c r="AM247" s="58">
        <v>800</v>
      </c>
      <c r="AN247" s="25">
        <v>34</v>
      </c>
      <c r="AO247" s="3">
        <v>48</v>
      </c>
      <c r="AP247" s="3">
        <v>28</v>
      </c>
      <c r="AQ247" s="281">
        <f t="shared" si="214"/>
        <v>47.944444444444443</v>
      </c>
      <c r="AR247" s="287">
        <f t="shared" si="197"/>
        <v>4518.907444444445</v>
      </c>
      <c r="AS247" s="93"/>
      <c r="AT247" s="4"/>
    </row>
    <row r="248" spans="1:46">
      <c r="A248" s="72">
        <f t="shared" si="198"/>
        <v>120</v>
      </c>
      <c r="B248" s="61">
        <v>2.4500000000000002</v>
      </c>
      <c r="C248" s="66">
        <f t="shared" si="199"/>
        <v>294</v>
      </c>
      <c r="D248" s="68">
        <v>60</v>
      </c>
      <c r="E248" s="186">
        <f t="shared" si="185"/>
        <v>480</v>
      </c>
      <c r="F248" s="45">
        <f t="shared" si="200"/>
        <v>68.75</v>
      </c>
      <c r="G248" s="94">
        <f t="shared" si="201"/>
        <v>12</v>
      </c>
      <c r="H248" s="295">
        <f t="shared" si="202"/>
        <v>365.50080000000008</v>
      </c>
      <c r="I248" s="25"/>
      <c r="J248" s="52">
        <f t="shared" si="203"/>
        <v>35</v>
      </c>
      <c r="K248" s="25">
        <f t="shared" si="186"/>
        <v>89.910000000000011</v>
      </c>
      <c r="L248" s="157">
        <f t="shared" si="187"/>
        <v>33</v>
      </c>
      <c r="M248" s="64">
        <f t="shared" si="204"/>
        <v>35</v>
      </c>
      <c r="N248" s="838">
        <f t="shared" si="188"/>
        <v>92.8125</v>
      </c>
      <c r="O248" s="68">
        <f>LOOKUP(N248,'Circuit Breakers'!$B$5:$B$38,'Circuit Breakers'!$C$5:$C$38)</f>
        <v>100</v>
      </c>
      <c r="P248" s="199">
        <f t="shared" si="189"/>
        <v>30</v>
      </c>
      <c r="Q248" s="1056">
        <f t="shared" si="205"/>
        <v>116.88300000000002</v>
      </c>
      <c r="R248" s="1064">
        <f>LOOKUP(Q248,'Circuit Breakers'!$B$5:$B$38,'Circuit Breakers'!$C$5:$C$38)</f>
        <v>125</v>
      </c>
      <c r="S248" s="64">
        <f t="shared" si="190"/>
        <v>30</v>
      </c>
      <c r="T248" s="25">
        <f t="shared" si="206"/>
        <v>78</v>
      </c>
      <c r="U248" s="158">
        <f>LOOKUP(T248,'Circuit Breakers'!$B$5:$B$38,'Circuit Breakers'!$C$5:$C$38)</f>
        <v>80</v>
      </c>
      <c r="V248" s="64">
        <f t="shared" si="207"/>
        <v>15</v>
      </c>
      <c r="W248" s="25">
        <f t="shared" si="191"/>
        <v>79.0625</v>
      </c>
      <c r="X248" s="68" t="str">
        <f>LOOKUP(W248,'Wire-Cables Ampacities'!$B$5:$B$35,'Wire-Cables Ampacities'!$C$5:$C$35)</f>
        <v>#6</v>
      </c>
      <c r="Y248" s="64">
        <f t="shared" si="208"/>
        <v>10</v>
      </c>
      <c r="Z248" s="25">
        <f t="shared" si="192"/>
        <v>98.901000000000025</v>
      </c>
      <c r="AA248" s="68" t="str">
        <f>LOOKUP(Z248,'Wire-Cables Ampacities'!$B$5:$B$35,'Wire-Cables Ampacities'!$C$5:$C$35)</f>
        <v>#4</v>
      </c>
      <c r="AB248" s="64">
        <f t="shared" si="209"/>
        <v>10</v>
      </c>
      <c r="AC248" s="25">
        <f t="shared" si="193"/>
        <v>66</v>
      </c>
      <c r="AD248" s="68" t="str">
        <f>LOOKUP(AC248,'Wire-Cables Ampacities'!$B$5:$B$35,'Wire-Cables Ampacities'!$C$5:$C$35)</f>
        <v>#6</v>
      </c>
      <c r="AE248" s="81">
        <f t="shared" si="210"/>
        <v>1.7700000000000002</v>
      </c>
      <c r="AF248" s="56">
        <f t="shared" si="194"/>
        <v>6039.4913400000005</v>
      </c>
      <c r="AG248" s="72">
        <f t="shared" si="211"/>
        <v>45</v>
      </c>
      <c r="AH248" s="15">
        <v>55</v>
      </c>
      <c r="AI248" s="64">
        <f t="shared" si="212"/>
        <v>20</v>
      </c>
      <c r="AJ248" s="56">
        <f t="shared" si="213"/>
        <v>373.82400000000001</v>
      </c>
      <c r="AK248" s="271">
        <f t="shared" si="195"/>
        <v>4.1536</v>
      </c>
      <c r="AL248" s="277">
        <f t="shared" si="196"/>
        <v>2.0768</v>
      </c>
      <c r="AM248" s="58">
        <v>800</v>
      </c>
      <c r="AN248" s="25">
        <v>34</v>
      </c>
      <c r="AO248" s="3">
        <v>48</v>
      </c>
      <c r="AP248" s="3">
        <v>28</v>
      </c>
      <c r="AQ248" s="281">
        <f t="shared" si="214"/>
        <v>47.944444444444443</v>
      </c>
      <c r="AR248" s="287">
        <f t="shared" si="197"/>
        <v>5440.1857844444448</v>
      </c>
      <c r="AS248" s="93"/>
      <c r="AT248" s="4"/>
    </row>
    <row r="249" spans="1:46">
      <c r="A249" s="98">
        <f t="shared" si="198"/>
        <v>120</v>
      </c>
      <c r="B249" s="304">
        <v>2.4500000000000002</v>
      </c>
      <c r="C249" s="100">
        <f t="shared" si="199"/>
        <v>294</v>
      </c>
      <c r="D249" s="101">
        <v>75</v>
      </c>
      <c r="E249" s="183">
        <f t="shared" si="185"/>
        <v>480</v>
      </c>
      <c r="F249" s="102">
        <f t="shared" si="200"/>
        <v>87.5</v>
      </c>
      <c r="G249" s="103">
        <f t="shared" si="201"/>
        <v>12</v>
      </c>
      <c r="H249" s="296">
        <f t="shared" si="202"/>
        <v>365.50080000000008</v>
      </c>
      <c r="I249" s="104"/>
      <c r="J249" s="180">
        <f t="shared" si="203"/>
        <v>35</v>
      </c>
      <c r="K249" s="104">
        <f t="shared" si="186"/>
        <v>112.3875</v>
      </c>
      <c r="L249" s="263">
        <f t="shared" si="187"/>
        <v>42</v>
      </c>
      <c r="M249" s="106">
        <f t="shared" si="204"/>
        <v>35</v>
      </c>
      <c r="N249" s="1060">
        <f t="shared" si="188"/>
        <v>118.12500000000001</v>
      </c>
      <c r="O249" s="101">
        <f>LOOKUP(N249,'Circuit Breakers'!$B$5:$B$38,'Circuit Breakers'!$C$5:$C$38)</f>
        <v>125</v>
      </c>
      <c r="P249" s="262">
        <f t="shared" si="189"/>
        <v>30</v>
      </c>
      <c r="Q249" s="1057">
        <f t="shared" si="205"/>
        <v>146.10375000000002</v>
      </c>
      <c r="R249" s="1065">
        <f>LOOKUP(Q249,'Circuit Breakers'!$B$5:$B$38,'Circuit Breakers'!$C$5:$C$38)</f>
        <v>150</v>
      </c>
      <c r="S249" s="106">
        <f t="shared" si="190"/>
        <v>30</v>
      </c>
      <c r="T249" s="104">
        <f t="shared" si="206"/>
        <v>97.5</v>
      </c>
      <c r="U249" s="477">
        <f>LOOKUP(T249,'Circuit Breakers'!$B$5:$B$38,'Circuit Breakers'!$C$5:$C$38)</f>
        <v>100</v>
      </c>
      <c r="V249" s="106">
        <f t="shared" si="207"/>
        <v>15</v>
      </c>
      <c r="W249" s="104">
        <f t="shared" si="191"/>
        <v>100.62499999999999</v>
      </c>
      <c r="X249" s="101" t="str">
        <f>LOOKUP(W249,'Wire-Cables Ampacities'!$B$5:$B$35,'Wire-Cables Ampacities'!$C$5:$C$35)</f>
        <v>#4</v>
      </c>
      <c r="Y249" s="106">
        <f t="shared" si="208"/>
        <v>10</v>
      </c>
      <c r="Z249" s="104">
        <f t="shared" si="192"/>
        <v>123.62625000000001</v>
      </c>
      <c r="AA249" s="101" t="str">
        <f>LOOKUP(Z249,'Wire-Cables Ampacities'!$B$5:$B$35,'Wire-Cables Ampacities'!$C$5:$C$35)</f>
        <v>#2</v>
      </c>
      <c r="AB249" s="106">
        <f t="shared" si="209"/>
        <v>10</v>
      </c>
      <c r="AC249" s="104">
        <f t="shared" si="193"/>
        <v>82.5</v>
      </c>
      <c r="AD249" s="101" t="str">
        <f>LOOKUP(AC249,'Wire-Cables Ampacities'!$B$5:$B$35,'Wire-Cables Ampacities'!$C$5:$C$35)</f>
        <v>#4</v>
      </c>
      <c r="AE249" s="107">
        <f t="shared" si="210"/>
        <v>2.25</v>
      </c>
      <c r="AF249" s="105">
        <f t="shared" si="194"/>
        <v>7677.3194999999996</v>
      </c>
      <c r="AG249" s="98">
        <f t="shared" si="211"/>
        <v>45</v>
      </c>
      <c r="AH249" s="99">
        <v>55</v>
      </c>
      <c r="AI249" s="106">
        <f t="shared" si="212"/>
        <v>20</v>
      </c>
      <c r="AJ249" s="105">
        <f t="shared" si="213"/>
        <v>475.2</v>
      </c>
      <c r="AK249" s="272">
        <f t="shared" si="195"/>
        <v>5.28</v>
      </c>
      <c r="AL249" s="278">
        <f t="shared" si="196"/>
        <v>2.64</v>
      </c>
      <c r="AM249" s="109">
        <v>800</v>
      </c>
      <c r="AN249" s="104">
        <v>34</v>
      </c>
      <c r="AO249" s="110">
        <v>48</v>
      </c>
      <c r="AP249" s="110">
        <v>28</v>
      </c>
      <c r="AQ249" s="282">
        <f t="shared" si="214"/>
        <v>47.944444444444443</v>
      </c>
      <c r="AR249" s="288">
        <f t="shared" si="197"/>
        <v>7078.013944444444</v>
      </c>
      <c r="AS249" s="93"/>
      <c r="AT249" s="4"/>
    </row>
    <row r="250" spans="1:46">
      <c r="A250" s="72">
        <f t="shared" si="198"/>
        <v>120</v>
      </c>
      <c r="B250" s="61">
        <v>2.4500000000000002</v>
      </c>
      <c r="C250" s="66">
        <f t="shared" si="199"/>
        <v>294</v>
      </c>
      <c r="D250" s="68">
        <v>100</v>
      </c>
      <c r="E250" s="186">
        <f t="shared" si="185"/>
        <v>480</v>
      </c>
      <c r="F250" s="45">
        <f t="shared" si="200"/>
        <v>114.58333333333333</v>
      </c>
      <c r="G250" s="94">
        <f t="shared" si="201"/>
        <v>12</v>
      </c>
      <c r="H250" s="295">
        <f t="shared" si="202"/>
        <v>365.50080000000008</v>
      </c>
      <c r="I250" s="25"/>
      <c r="J250" s="52">
        <f t="shared" si="203"/>
        <v>35</v>
      </c>
      <c r="K250" s="25">
        <f t="shared" si="186"/>
        <v>149.85000000000002</v>
      </c>
      <c r="L250" s="157">
        <f t="shared" si="187"/>
        <v>55</v>
      </c>
      <c r="M250" s="64">
        <f t="shared" si="204"/>
        <v>35</v>
      </c>
      <c r="N250" s="838">
        <f t="shared" si="188"/>
        <v>154.6875</v>
      </c>
      <c r="O250" s="68">
        <f>LOOKUP(N250,'Circuit Breakers'!$B$5:$B$38,'Circuit Breakers'!$C$5:$C$38)</f>
        <v>175</v>
      </c>
      <c r="P250" s="199">
        <f t="shared" si="189"/>
        <v>30</v>
      </c>
      <c r="Q250" s="1056">
        <f t="shared" si="205"/>
        <v>194.80500000000004</v>
      </c>
      <c r="R250" s="1064">
        <f>LOOKUP(Q250,'Circuit Breakers'!$B$5:$B$38,'Circuit Breakers'!$C$5:$C$38)</f>
        <v>200</v>
      </c>
      <c r="S250" s="64">
        <f t="shared" si="190"/>
        <v>30</v>
      </c>
      <c r="T250" s="25">
        <f t="shared" si="206"/>
        <v>130</v>
      </c>
      <c r="U250" s="158">
        <f>LOOKUP(T250,'Circuit Breakers'!$B$5:$B$38,'Circuit Breakers'!$C$5:$C$38)</f>
        <v>150</v>
      </c>
      <c r="V250" s="64">
        <f t="shared" si="207"/>
        <v>15</v>
      </c>
      <c r="W250" s="25">
        <f t="shared" si="191"/>
        <v>131.77083333333331</v>
      </c>
      <c r="X250" s="68" t="str">
        <f>LOOKUP(W250,'Wire-Cables Ampacities'!$B$5:$B$35,'Wire-Cables Ampacities'!$C$5:$C$35)</f>
        <v>#2</v>
      </c>
      <c r="Y250" s="64">
        <f t="shared" si="208"/>
        <v>10</v>
      </c>
      <c r="Z250" s="25">
        <f t="shared" si="192"/>
        <v>164.83500000000004</v>
      </c>
      <c r="AA250" s="68" t="str">
        <f>LOOKUP(Z250,'Wire-Cables Ampacities'!$B$5:$B$35,'Wire-Cables Ampacities'!$C$5:$C$35)</f>
        <v>#1</v>
      </c>
      <c r="AB250" s="64">
        <f t="shared" si="209"/>
        <v>10</v>
      </c>
      <c r="AC250" s="25">
        <f t="shared" si="193"/>
        <v>110.00000000000001</v>
      </c>
      <c r="AD250" s="68" t="str">
        <f>LOOKUP(AC250,'Wire-Cables Ampacities'!$B$5:$B$35,'Wire-Cables Ampacities'!$C$5:$C$35)</f>
        <v>#3</v>
      </c>
      <c r="AE250" s="81">
        <f t="shared" si="210"/>
        <v>2.95</v>
      </c>
      <c r="AF250" s="56">
        <f t="shared" si="194"/>
        <v>10065.8189</v>
      </c>
      <c r="AG250" s="72">
        <f t="shared" si="211"/>
        <v>45</v>
      </c>
      <c r="AH250" s="15">
        <v>55</v>
      </c>
      <c r="AI250" s="64">
        <f t="shared" si="212"/>
        <v>20</v>
      </c>
      <c r="AJ250" s="56">
        <f t="shared" si="213"/>
        <v>623.04000000000008</v>
      </c>
      <c r="AK250" s="271">
        <f t="shared" si="195"/>
        <v>6.9226666666666672</v>
      </c>
      <c r="AL250" s="277">
        <f t="shared" si="196"/>
        <v>3.4613333333333336</v>
      </c>
      <c r="AM250" s="58">
        <v>800</v>
      </c>
      <c r="AN250" s="25">
        <v>34</v>
      </c>
      <c r="AO250" s="3">
        <v>48</v>
      </c>
      <c r="AP250" s="3">
        <v>28</v>
      </c>
      <c r="AQ250" s="281">
        <f t="shared" si="214"/>
        <v>47.944444444444443</v>
      </c>
      <c r="AR250" s="287">
        <f t="shared" si="197"/>
        <v>9466.5133444444455</v>
      </c>
      <c r="AS250" s="93"/>
      <c r="AT250" s="4"/>
    </row>
    <row r="251" spans="1:46">
      <c r="A251" s="72">
        <f t="shared" si="198"/>
        <v>120</v>
      </c>
      <c r="B251" s="61">
        <v>2.4500000000000002</v>
      </c>
      <c r="C251" s="66">
        <f t="shared" si="199"/>
        <v>294</v>
      </c>
      <c r="D251" s="68">
        <v>125</v>
      </c>
      <c r="E251" s="186">
        <f t="shared" si="185"/>
        <v>480</v>
      </c>
      <c r="F251" s="45">
        <f t="shared" si="200"/>
        <v>143.75</v>
      </c>
      <c r="G251" s="94">
        <f t="shared" si="201"/>
        <v>12</v>
      </c>
      <c r="H251" s="295">
        <f t="shared" si="202"/>
        <v>365.50080000000008</v>
      </c>
      <c r="I251" s="25"/>
      <c r="J251" s="52">
        <f t="shared" si="203"/>
        <v>35</v>
      </c>
      <c r="K251" s="25">
        <f t="shared" si="186"/>
        <v>187.31250000000003</v>
      </c>
      <c r="L251" s="157">
        <f t="shared" si="187"/>
        <v>69</v>
      </c>
      <c r="M251" s="64">
        <f t="shared" si="204"/>
        <v>35</v>
      </c>
      <c r="N251" s="838">
        <f t="shared" si="188"/>
        <v>194.0625</v>
      </c>
      <c r="O251" s="68">
        <f>LOOKUP(N251,'Circuit Breakers'!$B$5:$B$38,'Circuit Breakers'!$C$5:$C$38)</f>
        <v>200</v>
      </c>
      <c r="P251" s="199">
        <f t="shared" si="189"/>
        <v>30</v>
      </c>
      <c r="Q251" s="1056">
        <f t="shared" si="205"/>
        <v>243.50625000000005</v>
      </c>
      <c r="R251" s="1064">
        <f>LOOKUP(Q251,'Circuit Breakers'!$B$5:$B$38,'Circuit Breakers'!$C$5:$C$38)</f>
        <v>250</v>
      </c>
      <c r="S251" s="64">
        <f t="shared" si="190"/>
        <v>30</v>
      </c>
      <c r="T251" s="25">
        <f t="shared" si="206"/>
        <v>162.5</v>
      </c>
      <c r="U251" s="158">
        <f>LOOKUP(T251,'Circuit Breakers'!$B$5:$B$38,'Circuit Breakers'!$C$5:$C$38)</f>
        <v>175</v>
      </c>
      <c r="V251" s="64">
        <f t="shared" si="207"/>
        <v>15</v>
      </c>
      <c r="W251" s="25">
        <f t="shared" si="191"/>
        <v>165.3125</v>
      </c>
      <c r="X251" s="68" t="str">
        <f>LOOKUP(W251,'Wire-Cables Ampacities'!$B$5:$B$35,'Wire-Cables Ampacities'!$C$5:$C$35)</f>
        <v>#1</v>
      </c>
      <c r="Y251" s="64">
        <f t="shared" si="208"/>
        <v>10</v>
      </c>
      <c r="Z251" s="25">
        <f t="shared" si="192"/>
        <v>206.04375000000005</v>
      </c>
      <c r="AA251" s="68" t="str">
        <f>LOOKUP(Z251,'Wire-Cables Ampacities'!$B$5:$B$35,'Wire-Cables Ampacities'!$C$5:$C$35)</f>
        <v>#2/0</v>
      </c>
      <c r="AB251" s="64">
        <f t="shared" si="209"/>
        <v>10</v>
      </c>
      <c r="AC251" s="25">
        <f t="shared" si="193"/>
        <v>137.5</v>
      </c>
      <c r="AD251" s="68" t="str">
        <f>LOOKUP(AC251,'Wire-Cables Ampacities'!$B$5:$B$35,'Wire-Cables Ampacities'!$C$5:$C$35)</f>
        <v>#2</v>
      </c>
      <c r="AE251" s="81">
        <f t="shared" si="210"/>
        <v>3.7</v>
      </c>
      <c r="AF251" s="56">
        <f t="shared" si="194"/>
        <v>12624.9254</v>
      </c>
      <c r="AG251" s="72">
        <f t="shared" si="211"/>
        <v>45</v>
      </c>
      <c r="AH251" s="15">
        <v>55</v>
      </c>
      <c r="AI251" s="64">
        <f t="shared" si="212"/>
        <v>20</v>
      </c>
      <c r="AJ251" s="56">
        <f t="shared" si="213"/>
        <v>781.44</v>
      </c>
      <c r="AK251" s="271">
        <f t="shared" si="195"/>
        <v>8.6826666666666679</v>
      </c>
      <c r="AL251" s="277">
        <f t="shared" si="196"/>
        <v>4.3413333333333339</v>
      </c>
      <c r="AM251" s="58">
        <v>800</v>
      </c>
      <c r="AN251" s="25">
        <v>34</v>
      </c>
      <c r="AO251" s="3">
        <v>48</v>
      </c>
      <c r="AP251" s="3">
        <v>28</v>
      </c>
      <c r="AQ251" s="281">
        <f t="shared" si="214"/>
        <v>47.944444444444443</v>
      </c>
      <c r="AR251" s="287">
        <f t="shared" si="197"/>
        <v>12025.619844444445</v>
      </c>
      <c r="AS251" s="93"/>
      <c r="AT251" s="4"/>
    </row>
    <row r="252" spans="1:46">
      <c r="A252" s="98">
        <f t="shared" si="198"/>
        <v>120</v>
      </c>
      <c r="B252" s="304">
        <v>2.4500000000000002</v>
      </c>
      <c r="C252" s="100">
        <f t="shared" si="199"/>
        <v>294</v>
      </c>
      <c r="D252" s="101">
        <v>150</v>
      </c>
      <c r="E252" s="183">
        <f t="shared" si="185"/>
        <v>480</v>
      </c>
      <c r="F252" s="102">
        <f t="shared" si="200"/>
        <v>172.91666666666666</v>
      </c>
      <c r="G252" s="103">
        <f t="shared" si="201"/>
        <v>12</v>
      </c>
      <c r="H252" s="296">
        <f t="shared" si="202"/>
        <v>365.50080000000008</v>
      </c>
      <c r="I252" s="104"/>
      <c r="J252" s="180">
        <f t="shared" si="203"/>
        <v>35</v>
      </c>
      <c r="K252" s="104">
        <f t="shared" si="186"/>
        <v>224.77500000000001</v>
      </c>
      <c r="L252" s="263">
        <f t="shared" si="187"/>
        <v>83</v>
      </c>
      <c r="M252" s="106">
        <f t="shared" si="204"/>
        <v>35</v>
      </c>
      <c r="N252" s="1060">
        <f t="shared" si="188"/>
        <v>233.4375</v>
      </c>
      <c r="O252" s="101">
        <f>LOOKUP(N252,'Circuit Breakers'!$B$5:$B$38,'Circuit Breakers'!$C$5:$C$38)</f>
        <v>250</v>
      </c>
      <c r="P252" s="262">
        <f t="shared" si="189"/>
        <v>30</v>
      </c>
      <c r="Q252" s="1057">
        <f t="shared" si="205"/>
        <v>292.20750000000004</v>
      </c>
      <c r="R252" s="1065">
        <f>LOOKUP(Q252,'Circuit Breakers'!$B$5:$B$38,'Circuit Breakers'!$C$5:$C$38)</f>
        <v>300</v>
      </c>
      <c r="S252" s="106">
        <f t="shared" si="190"/>
        <v>30</v>
      </c>
      <c r="T252" s="104">
        <f t="shared" si="206"/>
        <v>195</v>
      </c>
      <c r="U252" s="477">
        <f>LOOKUP(T252,'Circuit Breakers'!$B$5:$B$38,'Circuit Breakers'!$C$5:$C$38)</f>
        <v>200</v>
      </c>
      <c r="V252" s="106">
        <f t="shared" si="207"/>
        <v>15</v>
      </c>
      <c r="W252" s="104">
        <f t="shared" si="191"/>
        <v>198.85416666666663</v>
      </c>
      <c r="X252" s="101" t="str">
        <f>LOOKUP(W252,'Wire-Cables Ampacities'!$B$5:$B$35,'Wire-Cables Ampacities'!$C$5:$C$35)</f>
        <v>#2/0</v>
      </c>
      <c r="Y252" s="106">
        <f t="shared" si="208"/>
        <v>10</v>
      </c>
      <c r="Z252" s="104">
        <f t="shared" si="192"/>
        <v>247.25250000000003</v>
      </c>
      <c r="AA252" s="101" t="str">
        <f>LOOKUP(Z252,'Wire-Cables Ampacities'!$B$5:$B$35,'Wire-Cables Ampacities'!$C$5:$C$35)</f>
        <v>#3/0</v>
      </c>
      <c r="AB252" s="106">
        <f t="shared" si="209"/>
        <v>10</v>
      </c>
      <c r="AC252" s="104">
        <f t="shared" si="193"/>
        <v>165</v>
      </c>
      <c r="AD252" s="101" t="str">
        <f>LOOKUP(AC252,'Wire-Cables Ampacities'!$B$5:$B$35,'Wire-Cables Ampacities'!$C$5:$C$35)</f>
        <v>#1</v>
      </c>
      <c r="AE252" s="107">
        <f t="shared" si="210"/>
        <v>4.45</v>
      </c>
      <c r="AF252" s="105">
        <f t="shared" si="194"/>
        <v>15184.031899999998</v>
      </c>
      <c r="AG252" s="98">
        <f t="shared" si="211"/>
        <v>45</v>
      </c>
      <c r="AH252" s="99">
        <v>55</v>
      </c>
      <c r="AI252" s="106">
        <f t="shared" si="212"/>
        <v>20</v>
      </c>
      <c r="AJ252" s="105">
        <f t="shared" si="213"/>
        <v>939.84</v>
      </c>
      <c r="AK252" s="272">
        <f t="shared" si="195"/>
        <v>10.442666666666668</v>
      </c>
      <c r="AL252" s="278">
        <f t="shared" si="196"/>
        <v>5.2213333333333338</v>
      </c>
      <c r="AM252" s="109">
        <v>800</v>
      </c>
      <c r="AN252" s="104">
        <v>34</v>
      </c>
      <c r="AO252" s="110">
        <v>48</v>
      </c>
      <c r="AP252" s="110">
        <v>28</v>
      </c>
      <c r="AQ252" s="282">
        <f t="shared" si="214"/>
        <v>47.944444444444443</v>
      </c>
      <c r="AR252" s="288">
        <f t="shared" si="197"/>
        <v>14584.726344444443</v>
      </c>
      <c r="AS252" s="93"/>
      <c r="AT252" s="4"/>
    </row>
    <row r="253" spans="1:46">
      <c r="A253" s="72">
        <f t="shared" si="198"/>
        <v>120</v>
      </c>
      <c r="B253" s="61">
        <v>2.4500000000000002</v>
      </c>
      <c r="C253" s="66">
        <f t="shared" si="199"/>
        <v>294</v>
      </c>
      <c r="D253" s="68">
        <v>175</v>
      </c>
      <c r="E253" s="186">
        <f t="shared" si="185"/>
        <v>480</v>
      </c>
      <c r="F253" s="45">
        <f t="shared" si="200"/>
        <v>200</v>
      </c>
      <c r="G253" s="94">
        <f t="shared" si="201"/>
        <v>12</v>
      </c>
      <c r="H253" s="295">
        <f t="shared" si="202"/>
        <v>365.50080000000008</v>
      </c>
      <c r="I253" s="25"/>
      <c r="J253" s="52">
        <f t="shared" si="203"/>
        <v>35</v>
      </c>
      <c r="K253" s="25">
        <f t="shared" si="186"/>
        <v>262.23750000000007</v>
      </c>
      <c r="L253" s="157">
        <f t="shared" si="187"/>
        <v>96</v>
      </c>
      <c r="M253" s="64">
        <f t="shared" si="204"/>
        <v>35</v>
      </c>
      <c r="N253" s="838">
        <f t="shared" si="188"/>
        <v>270</v>
      </c>
      <c r="O253" s="68">
        <f>LOOKUP(N253,'Circuit Breakers'!$B$5:$B$38,'Circuit Breakers'!$C$5:$C$38)</f>
        <v>300</v>
      </c>
      <c r="P253" s="199">
        <f t="shared" si="189"/>
        <v>30</v>
      </c>
      <c r="Q253" s="1056">
        <f t="shared" si="205"/>
        <v>340.90875000000011</v>
      </c>
      <c r="R253" s="1064">
        <f>LOOKUP(Q253,'Circuit Breakers'!$B$5:$B$38,'Circuit Breakers'!$C$5:$C$38)</f>
        <v>350</v>
      </c>
      <c r="S253" s="64">
        <f t="shared" si="190"/>
        <v>30</v>
      </c>
      <c r="T253" s="25">
        <f t="shared" si="206"/>
        <v>227.5</v>
      </c>
      <c r="U253" s="158">
        <f>LOOKUP(T253,'Circuit Breakers'!$B$5:$B$38,'Circuit Breakers'!$C$5:$C$38)</f>
        <v>250</v>
      </c>
      <c r="V253" s="64">
        <f t="shared" si="207"/>
        <v>15</v>
      </c>
      <c r="W253" s="25">
        <f t="shared" si="191"/>
        <v>229.99999999999997</v>
      </c>
      <c r="X253" s="68" t="str">
        <f>LOOKUP(W253,'Wire-Cables Ampacities'!$B$5:$B$35,'Wire-Cables Ampacities'!$C$5:$C$35)</f>
        <v>#3/0</v>
      </c>
      <c r="Y253" s="64">
        <f t="shared" si="208"/>
        <v>10</v>
      </c>
      <c r="Z253" s="25">
        <f t="shared" si="192"/>
        <v>288.46125000000012</v>
      </c>
      <c r="AA253" s="68" t="str">
        <f>LOOKUP(Z253,'Wire-Cables Ampacities'!$B$5:$B$35,'Wire-Cables Ampacities'!$C$5:$C$35)</f>
        <v>#4/0</v>
      </c>
      <c r="AB253" s="64">
        <f t="shared" si="209"/>
        <v>10</v>
      </c>
      <c r="AC253" s="25">
        <f t="shared" si="193"/>
        <v>192.50000000000003</v>
      </c>
      <c r="AD253" s="68" t="str">
        <f>LOOKUP(AC253,'Wire-Cables Ampacities'!$B$5:$B$35,'Wire-Cables Ampacities'!$C$5:$C$35)</f>
        <v>#1/0</v>
      </c>
      <c r="AE253" s="81">
        <f t="shared" si="210"/>
        <v>5.1500000000000012</v>
      </c>
      <c r="AF253" s="56">
        <f t="shared" si="194"/>
        <v>17572.531300000002</v>
      </c>
      <c r="AG253" s="72">
        <f t="shared" si="211"/>
        <v>45</v>
      </c>
      <c r="AH253" s="15">
        <v>55</v>
      </c>
      <c r="AI253" s="64">
        <f t="shared" si="212"/>
        <v>20</v>
      </c>
      <c r="AJ253" s="56">
        <f t="shared" si="213"/>
        <v>1087.6800000000003</v>
      </c>
      <c r="AK253" s="271">
        <f t="shared" si="195"/>
        <v>12.085333333333336</v>
      </c>
      <c r="AL253" s="277">
        <f t="shared" si="196"/>
        <v>6.0426666666666682</v>
      </c>
      <c r="AM253" s="58">
        <v>1200</v>
      </c>
      <c r="AN253" s="25">
        <v>38</v>
      </c>
      <c r="AO253" s="3">
        <v>70</v>
      </c>
      <c r="AP253" s="3">
        <v>28</v>
      </c>
      <c r="AQ253" s="281">
        <f t="shared" si="214"/>
        <v>71.555555555555557</v>
      </c>
      <c r="AR253" s="287">
        <f t="shared" si="197"/>
        <v>16678.086855555557</v>
      </c>
      <c r="AS253" s="93"/>
      <c r="AT253" s="4"/>
    </row>
    <row r="254" spans="1:46">
      <c r="A254" s="72">
        <f t="shared" si="198"/>
        <v>120</v>
      </c>
      <c r="B254" s="61">
        <v>2.4500000000000002</v>
      </c>
      <c r="C254" s="66">
        <f t="shared" si="199"/>
        <v>294</v>
      </c>
      <c r="D254" s="68">
        <v>200</v>
      </c>
      <c r="E254" s="186">
        <f t="shared" si="185"/>
        <v>480</v>
      </c>
      <c r="F254" s="45">
        <f t="shared" si="200"/>
        <v>229.16666666666666</v>
      </c>
      <c r="G254" s="94">
        <f t="shared" si="201"/>
        <v>12</v>
      </c>
      <c r="H254" s="295">
        <f t="shared" si="202"/>
        <v>365.50080000000008</v>
      </c>
      <c r="I254" s="25"/>
      <c r="J254" s="52">
        <f t="shared" si="203"/>
        <v>35</v>
      </c>
      <c r="K254" s="25">
        <f t="shared" si="186"/>
        <v>299.70000000000005</v>
      </c>
      <c r="L254" s="157">
        <f t="shared" si="187"/>
        <v>110</v>
      </c>
      <c r="M254" s="64">
        <f t="shared" si="204"/>
        <v>35</v>
      </c>
      <c r="N254" s="838">
        <f t="shared" si="188"/>
        <v>309.375</v>
      </c>
      <c r="O254" s="68">
        <f>LOOKUP(N254,'Circuit Breakers'!$B$5:$B$38,'Circuit Breakers'!$C$5:$C$38)</f>
        <v>350</v>
      </c>
      <c r="P254" s="199">
        <f t="shared" si="189"/>
        <v>30</v>
      </c>
      <c r="Q254" s="1056">
        <f t="shared" si="205"/>
        <v>389.61000000000007</v>
      </c>
      <c r="R254" s="1064">
        <f>LOOKUP(Q254,'Circuit Breakers'!$B$5:$B$38,'Circuit Breakers'!$C$5:$C$38)</f>
        <v>400</v>
      </c>
      <c r="S254" s="64">
        <f t="shared" si="190"/>
        <v>30</v>
      </c>
      <c r="T254" s="25">
        <f t="shared" si="206"/>
        <v>260</v>
      </c>
      <c r="U254" s="158">
        <f>LOOKUP(T254,'Circuit Breakers'!$B$5:$B$38,'Circuit Breakers'!$C$5:$C$38)</f>
        <v>300</v>
      </c>
      <c r="V254" s="64">
        <f t="shared" si="207"/>
        <v>15</v>
      </c>
      <c r="W254" s="25">
        <f t="shared" si="191"/>
        <v>263.54166666666663</v>
      </c>
      <c r="X254" s="68" t="str">
        <f>LOOKUP(W254,'Wire-Cables Ampacities'!$B$5:$B$35,'Wire-Cables Ampacities'!$C$5:$C$35)</f>
        <v>#4/0</v>
      </c>
      <c r="Y254" s="64">
        <f t="shared" si="208"/>
        <v>10</v>
      </c>
      <c r="Z254" s="25">
        <f t="shared" si="192"/>
        <v>329.67000000000007</v>
      </c>
      <c r="AA254" s="68" t="str">
        <f>LOOKUP(Z254,'Wire-Cables Ampacities'!$B$5:$B$35,'Wire-Cables Ampacities'!$C$5:$C$35)</f>
        <v>250MCM</v>
      </c>
      <c r="AB254" s="64">
        <f t="shared" si="209"/>
        <v>10</v>
      </c>
      <c r="AC254" s="25">
        <f t="shared" si="193"/>
        <v>220.00000000000003</v>
      </c>
      <c r="AD254" s="68" t="str">
        <f>LOOKUP(AC254,'Wire-Cables Ampacities'!$B$5:$B$35,'Wire-Cables Ampacities'!$C$5:$C$35)</f>
        <v>#2/0</v>
      </c>
      <c r="AE254" s="81">
        <f t="shared" si="210"/>
        <v>5.9</v>
      </c>
      <c r="AF254" s="56">
        <f t="shared" si="194"/>
        <v>20131.6378</v>
      </c>
      <c r="AG254" s="72">
        <f t="shared" si="211"/>
        <v>45</v>
      </c>
      <c r="AH254" s="15">
        <v>55</v>
      </c>
      <c r="AI254" s="64">
        <f t="shared" si="212"/>
        <v>20</v>
      </c>
      <c r="AJ254" s="56">
        <f t="shared" si="213"/>
        <v>1246.0800000000002</v>
      </c>
      <c r="AK254" s="271">
        <f t="shared" si="195"/>
        <v>13.845333333333334</v>
      </c>
      <c r="AL254" s="277">
        <f t="shared" si="196"/>
        <v>6.9226666666666672</v>
      </c>
      <c r="AM254" s="58">
        <v>1200</v>
      </c>
      <c r="AN254" s="25">
        <v>38</v>
      </c>
      <c r="AO254" s="3">
        <v>70</v>
      </c>
      <c r="AP254" s="3">
        <v>28</v>
      </c>
      <c r="AQ254" s="281">
        <f t="shared" si="214"/>
        <v>71.555555555555557</v>
      </c>
      <c r="AR254" s="287">
        <f t="shared" si="197"/>
        <v>19237.193355555555</v>
      </c>
      <c r="AS254" s="93"/>
      <c r="AT254" s="4"/>
    </row>
    <row r="255" spans="1:46">
      <c r="A255" s="98">
        <f t="shared" si="198"/>
        <v>120</v>
      </c>
      <c r="B255" s="304">
        <v>2.4500000000000002</v>
      </c>
      <c r="C255" s="100">
        <f t="shared" si="199"/>
        <v>294</v>
      </c>
      <c r="D255" s="101">
        <v>250</v>
      </c>
      <c r="E255" s="183">
        <f t="shared" si="185"/>
        <v>480</v>
      </c>
      <c r="F255" s="102">
        <f t="shared" si="200"/>
        <v>285.41666666666669</v>
      </c>
      <c r="G255" s="103">
        <f t="shared" si="201"/>
        <v>12</v>
      </c>
      <c r="H255" s="296">
        <f t="shared" si="202"/>
        <v>365.50080000000008</v>
      </c>
      <c r="I255" s="104"/>
      <c r="J255" s="180">
        <f t="shared" si="203"/>
        <v>35</v>
      </c>
      <c r="K255" s="104">
        <f t="shared" si="186"/>
        <v>374.62500000000006</v>
      </c>
      <c r="L255" s="263">
        <f t="shared" si="187"/>
        <v>137</v>
      </c>
      <c r="M255" s="106">
        <f t="shared" si="204"/>
        <v>35</v>
      </c>
      <c r="N255" s="1060">
        <f t="shared" si="188"/>
        <v>385.31250000000006</v>
      </c>
      <c r="O255" s="101">
        <f>LOOKUP(N255,'Circuit Breakers'!$B$5:$B$38,'Circuit Breakers'!$C$5:$C$38)</f>
        <v>400</v>
      </c>
      <c r="P255" s="262">
        <f t="shared" si="189"/>
        <v>30</v>
      </c>
      <c r="Q255" s="1057">
        <f t="shared" si="205"/>
        <v>487.0125000000001</v>
      </c>
      <c r="R255" s="1065">
        <f>LOOKUP(Q255,'Circuit Breakers'!$B$5:$B$38,'Circuit Breakers'!$C$5:$C$38)</f>
        <v>500</v>
      </c>
      <c r="S255" s="106">
        <f t="shared" si="190"/>
        <v>30</v>
      </c>
      <c r="T255" s="104">
        <f t="shared" si="206"/>
        <v>325</v>
      </c>
      <c r="U255" s="477">
        <f>LOOKUP(T255,'Circuit Breakers'!$B$5:$B$38,'Circuit Breakers'!$C$5:$C$38)</f>
        <v>350</v>
      </c>
      <c r="V255" s="106">
        <f t="shared" si="207"/>
        <v>15</v>
      </c>
      <c r="W255" s="104">
        <f t="shared" si="191"/>
        <v>328.22916666666669</v>
      </c>
      <c r="X255" s="101" t="str">
        <f>LOOKUP(W255,'Wire-Cables Ampacities'!$B$5:$B$35,'Wire-Cables Ampacities'!$C$5:$C$35)</f>
        <v>250MCM</v>
      </c>
      <c r="Y255" s="106">
        <f t="shared" si="208"/>
        <v>10</v>
      </c>
      <c r="Z255" s="104">
        <f t="shared" si="192"/>
        <v>412.08750000000009</v>
      </c>
      <c r="AA255" s="101" t="str">
        <f>LOOKUP(Z255,'Wire-Cables Ampacities'!$B$5:$B$35,'Wire-Cables Ampacities'!$C$5:$C$35)</f>
        <v>#2/0 2x</v>
      </c>
      <c r="AB255" s="106">
        <f t="shared" si="209"/>
        <v>10</v>
      </c>
      <c r="AC255" s="104">
        <f t="shared" si="193"/>
        <v>275</v>
      </c>
      <c r="AD255" s="101" t="str">
        <f>LOOKUP(AC255,'Wire-Cables Ampacities'!$B$5:$B$35,'Wire-Cables Ampacities'!$C$5:$C$35)</f>
        <v>#4/0</v>
      </c>
      <c r="AE255" s="107">
        <f t="shared" si="210"/>
        <v>7.3500000000000005</v>
      </c>
      <c r="AF255" s="105">
        <f t="shared" si="194"/>
        <v>25079.243699999999</v>
      </c>
      <c r="AG255" s="98">
        <f t="shared" si="211"/>
        <v>45</v>
      </c>
      <c r="AH255" s="99">
        <v>55</v>
      </c>
      <c r="AI255" s="106">
        <f t="shared" si="212"/>
        <v>20</v>
      </c>
      <c r="AJ255" s="105">
        <f t="shared" si="213"/>
        <v>1552.3200000000002</v>
      </c>
      <c r="AK255" s="272">
        <f t="shared" si="195"/>
        <v>17.248000000000001</v>
      </c>
      <c r="AL255" s="278">
        <f t="shared" si="196"/>
        <v>8.6240000000000006</v>
      </c>
      <c r="AM255" s="109">
        <v>1200</v>
      </c>
      <c r="AN255" s="104">
        <v>38</v>
      </c>
      <c r="AO255" s="110">
        <v>70</v>
      </c>
      <c r="AP255" s="110">
        <v>28</v>
      </c>
      <c r="AQ255" s="282">
        <f t="shared" si="214"/>
        <v>71.555555555555557</v>
      </c>
      <c r="AR255" s="288">
        <f t="shared" si="197"/>
        <v>24184.799255555554</v>
      </c>
      <c r="AS255" s="93"/>
      <c r="AT255" s="4"/>
    </row>
    <row r="256" spans="1:46">
      <c r="A256" s="72">
        <f t="shared" si="198"/>
        <v>120</v>
      </c>
      <c r="B256" s="61">
        <v>2.4500000000000002</v>
      </c>
      <c r="C256" s="66">
        <f t="shared" si="199"/>
        <v>294</v>
      </c>
      <c r="D256" s="68">
        <v>300</v>
      </c>
      <c r="E256" s="186">
        <f t="shared" si="185"/>
        <v>480</v>
      </c>
      <c r="F256" s="45">
        <f t="shared" si="200"/>
        <v>343.75</v>
      </c>
      <c r="G256" s="94">
        <f t="shared" si="201"/>
        <v>12</v>
      </c>
      <c r="H256" s="295">
        <f t="shared" si="202"/>
        <v>365.50080000000008</v>
      </c>
      <c r="I256" s="25"/>
      <c r="J256" s="52">
        <f t="shared" si="203"/>
        <v>35</v>
      </c>
      <c r="K256" s="25">
        <f t="shared" si="186"/>
        <v>449.55</v>
      </c>
      <c r="L256" s="157">
        <f t="shared" si="187"/>
        <v>165</v>
      </c>
      <c r="M256" s="64">
        <f t="shared" si="204"/>
        <v>35</v>
      </c>
      <c r="N256" s="838">
        <f t="shared" si="188"/>
        <v>464.06250000000006</v>
      </c>
      <c r="O256" s="68">
        <f>LOOKUP(N256,'Circuit Breakers'!$B$5:$B$38,'Circuit Breakers'!$C$5:$C$38)</f>
        <v>500</v>
      </c>
      <c r="P256" s="199">
        <f t="shared" si="189"/>
        <v>30</v>
      </c>
      <c r="Q256" s="1056">
        <f t="shared" si="205"/>
        <v>584.41500000000008</v>
      </c>
      <c r="R256" s="1064">
        <f>LOOKUP(Q256,'Circuit Breakers'!$B$5:$B$38,'Circuit Breakers'!$C$5:$C$38)</f>
        <v>600</v>
      </c>
      <c r="S256" s="64">
        <f t="shared" si="190"/>
        <v>30</v>
      </c>
      <c r="T256" s="25">
        <f t="shared" si="206"/>
        <v>390</v>
      </c>
      <c r="U256" s="158">
        <f>LOOKUP(T256,'Circuit Breakers'!$B$5:$B$38,'Circuit Breakers'!$C$5:$C$38)</f>
        <v>400</v>
      </c>
      <c r="V256" s="64">
        <f t="shared" si="207"/>
        <v>15</v>
      </c>
      <c r="W256" s="25">
        <f t="shared" si="191"/>
        <v>395.31249999999994</v>
      </c>
      <c r="X256" s="68" t="str">
        <f>LOOKUP(W256,'Wire-Cables Ampacities'!$B$5:$B$35,'Wire-Cables Ampacities'!$C$5:$C$35)</f>
        <v>#2/0 2x</v>
      </c>
      <c r="Y256" s="64">
        <f t="shared" si="208"/>
        <v>10</v>
      </c>
      <c r="Z256" s="25">
        <f t="shared" si="192"/>
        <v>494.50500000000005</v>
      </c>
      <c r="AA256" s="68" t="str">
        <f>LOOKUP(Z256,'Wire-Cables Ampacities'!$B$5:$B$35,'Wire-Cables Ampacities'!$C$5:$C$35)</f>
        <v>#3/0 2x</v>
      </c>
      <c r="AB256" s="64">
        <f t="shared" si="209"/>
        <v>10</v>
      </c>
      <c r="AC256" s="25">
        <f t="shared" si="193"/>
        <v>330</v>
      </c>
      <c r="AD256" s="68" t="str">
        <f>LOOKUP(AC256,'Wire-Cables Ampacities'!$B$5:$B$35,'Wire-Cables Ampacities'!$C$5:$C$35)</f>
        <v>250MCM</v>
      </c>
      <c r="AE256" s="81">
        <f t="shared" si="210"/>
        <v>8.85</v>
      </c>
      <c r="AF256" s="56">
        <f t="shared" ref="AF256:AF267" si="215">AE256*3.412142*1000</f>
        <v>30197.456699999995</v>
      </c>
      <c r="AG256" s="72">
        <f t="shared" si="211"/>
        <v>45</v>
      </c>
      <c r="AH256" s="15">
        <v>55</v>
      </c>
      <c r="AI256" s="64">
        <f t="shared" si="212"/>
        <v>20</v>
      </c>
      <c r="AJ256" s="56">
        <f t="shared" si="213"/>
        <v>1869.12</v>
      </c>
      <c r="AK256" s="271">
        <f t="shared" si="195"/>
        <v>20.767999999999997</v>
      </c>
      <c r="AL256" s="277">
        <f t="shared" si="196"/>
        <v>10.383999999999999</v>
      </c>
      <c r="AM256" s="58">
        <v>1200</v>
      </c>
      <c r="AN256" s="25">
        <v>38</v>
      </c>
      <c r="AO256" s="3">
        <v>70</v>
      </c>
      <c r="AP256" s="3">
        <v>28</v>
      </c>
      <c r="AQ256" s="281">
        <f t="shared" si="214"/>
        <v>71.555555555555557</v>
      </c>
      <c r="AR256" s="287">
        <f t="shared" ref="AR256:AR267" si="216">AF256+(1.25*AQ256*(AG256-AH256))</f>
        <v>29303.01225555555</v>
      </c>
      <c r="AS256" s="93"/>
      <c r="AT256" s="4"/>
    </row>
    <row r="257" spans="1:46">
      <c r="A257" s="72">
        <f t="shared" si="198"/>
        <v>120</v>
      </c>
      <c r="B257" s="61">
        <v>2.4500000000000002</v>
      </c>
      <c r="C257" s="66">
        <f t="shared" si="199"/>
        <v>294</v>
      </c>
      <c r="D257" s="68">
        <v>350</v>
      </c>
      <c r="E257" s="186">
        <f t="shared" si="185"/>
        <v>480</v>
      </c>
      <c r="F257" s="45">
        <f t="shared" si="200"/>
        <v>400</v>
      </c>
      <c r="G257" s="94">
        <f t="shared" si="201"/>
        <v>12</v>
      </c>
      <c r="H257" s="295">
        <f t="shared" si="202"/>
        <v>365.50080000000008</v>
      </c>
      <c r="I257" s="25"/>
      <c r="J257" s="52">
        <f t="shared" si="203"/>
        <v>35</v>
      </c>
      <c r="K257" s="25">
        <f t="shared" si="186"/>
        <v>524.47500000000014</v>
      </c>
      <c r="L257" s="157">
        <f t="shared" si="187"/>
        <v>192</v>
      </c>
      <c r="M257" s="64">
        <f t="shared" si="204"/>
        <v>35</v>
      </c>
      <c r="N257" s="838">
        <f t="shared" si="188"/>
        <v>540</v>
      </c>
      <c r="O257" s="68">
        <f>LOOKUP(N257,'Circuit Breakers'!$B$5:$B$38,'Circuit Breakers'!$C$5:$C$38)</f>
        <v>600</v>
      </c>
      <c r="P257" s="199">
        <f t="shared" si="189"/>
        <v>30</v>
      </c>
      <c r="Q257" s="1056">
        <f t="shared" si="205"/>
        <v>681.81750000000022</v>
      </c>
      <c r="R257" s="1064">
        <f>LOOKUP(Q257,'Circuit Breakers'!$B$5:$B$38,'Circuit Breakers'!$C$5:$C$38)</f>
        <v>700</v>
      </c>
      <c r="S257" s="64">
        <f t="shared" si="190"/>
        <v>30</v>
      </c>
      <c r="T257" s="25">
        <f t="shared" si="206"/>
        <v>455</v>
      </c>
      <c r="U257" s="158">
        <f>LOOKUP(T257,'Circuit Breakers'!$B$5:$B$38,'Circuit Breakers'!$C$5:$C$38)</f>
        <v>500</v>
      </c>
      <c r="V257" s="64">
        <f t="shared" si="207"/>
        <v>15</v>
      </c>
      <c r="W257" s="25">
        <f t="shared" si="191"/>
        <v>459.99999999999994</v>
      </c>
      <c r="X257" s="68" t="str">
        <f>LOOKUP(W257,'Wire-Cables Ampacities'!$B$5:$B$35,'Wire-Cables Ampacities'!$C$5:$C$35)</f>
        <v>#3/0 2x</v>
      </c>
      <c r="Y257" s="64">
        <f t="shared" si="208"/>
        <v>10</v>
      </c>
      <c r="Z257" s="25">
        <f t="shared" si="192"/>
        <v>576.92250000000024</v>
      </c>
      <c r="AA257" s="68" t="str">
        <f>LOOKUP(Z257,'Wire-Cables Ampacities'!$B$5:$B$35,'Wire-Cables Ampacities'!$C$5:$C$35)</f>
        <v>#4/0 2x</v>
      </c>
      <c r="AB257" s="64">
        <f t="shared" si="209"/>
        <v>10</v>
      </c>
      <c r="AC257" s="25">
        <f t="shared" si="193"/>
        <v>385.00000000000006</v>
      </c>
      <c r="AD257" s="68" t="str">
        <f>LOOKUP(AC257,'Wire-Cables Ampacities'!$B$5:$B$35,'Wire-Cables Ampacities'!$C$5:$C$35)</f>
        <v>#2/0 2x</v>
      </c>
      <c r="AE257" s="81">
        <f t="shared" si="210"/>
        <v>10.300000000000002</v>
      </c>
      <c r="AF257" s="56">
        <f t="shared" si="215"/>
        <v>35145.062600000005</v>
      </c>
      <c r="AG257" s="72">
        <f t="shared" si="211"/>
        <v>45</v>
      </c>
      <c r="AH257" s="15">
        <v>55</v>
      </c>
      <c r="AI257" s="64">
        <f t="shared" si="212"/>
        <v>20</v>
      </c>
      <c r="AJ257" s="56">
        <f t="shared" si="213"/>
        <v>2175.3600000000006</v>
      </c>
      <c r="AK257" s="271">
        <f t="shared" si="195"/>
        <v>24.170666666666673</v>
      </c>
      <c r="AL257" s="277">
        <f t="shared" si="196"/>
        <v>12.085333333333336</v>
      </c>
      <c r="AM257" s="58">
        <v>1200</v>
      </c>
      <c r="AN257" s="25">
        <v>38</v>
      </c>
      <c r="AO257" s="3">
        <v>70</v>
      </c>
      <c r="AP257" s="3">
        <v>28</v>
      </c>
      <c r="AQ257" s="281">
        <f t="shared" si="214"/>
        <v>71.555555555555557</v>
      </c>
      <c r="AR257" s="287">
        <f t="shared" si="216"/>
        <v>34250.618155555559</v>
      </c>
      <c r="AS257" s="93"/>
      <c r="AT257" s="4"/>
    </row>
    <row r="258" spans="1:46">
      <c r="A258" s="98">
        <f t="shared" si="198"/>
        <v>120</v>
      </c>
      <c r="B258" s="304">
        <v>2.4500000000000002</v>
      </c>
      <c r="C258" s="100">
        <f t="shared" si="199"/>
        <v>294</v>
      </c>
      <c r="D258" s="101">
        <v>400</v>
      </c>
      <c r="E258" s="183">
        <f t="shared" si="185"/>
        <v>480</v>
      </c>
      <c r="F258" s="102">
        <f t="shared" si="200"/>
        <v>458.33333333333331</v>
      </c>
      <c r="G258" s="103">
        <f t="shared" si="201"/>
        <v>12</v>
      </c>
      <c r="H258" s="296">
        <f t="shared" si="202"/>
        <v>365.50080000000008</v>
      </c>
      <c r="I258" s="104"/>
      <c r="J258" s="180">
        <f t="shared" si="203"/>
        <v>35</v>
      </c>
      <c r="K258" s="104">
        <f t="shared" si="186"/>
        <v>599.40000000000009</v>
      </c>
      <c r="L258" s="263">
        <f t="shared" si="187"/>
        <v>220</v>
      </c>
      <c r="M258" s="106">
        <f t="shared" si="204"/>
        <v>35</v>
      </c>
      <c r="N258" s="1060">
        <f t="shared" si="188"/>
        <v>618.75</v>
      </c>
      <c r="O258" s="101">
        <f>LOOKUP(N258,'Circuit Breakers'!$B$5:$B$38,'Circuit Breakers'!$C$5:$C$38)</f>
        <v>700</v>
      </c>
      <c r="P258" s="262">
        <f t="shared" si="189"/>
        <v>30</v>
      </c>
      <c r="Q258" s="1057">
        <f t="shared" si="205"/>
        <v>779.22000000000014</v>
      </c>
      <c r="R258" s="1065">
        <f>LOOKUP(Q258,'Circuit Breakers'!$B$5:$B$38,'Circuit Breakers'!$C$5:$C$38)</f>
        <v>800</v>
      </c>
      <c r="S258" s="106">
        <f t="shared" si="190"/>
        <v>30</v>
      </c>
      <c r="T258" s="104">
        <f t="shared" si="206"/>
        <v>520</v>
      </c>
      <c r="U258" s="477">
        <f>LOOKUP(T258,'Circuit Breakers'!$B$5:$B$38,'Circuit Breakers'!$C$5:$C$38)</f>
        <v>600</v>
      </c>
      <c r="V258" s="106">
        <f t="shared" si="207"/>
        <v>15</v>
      </c>
      <c r="W258" s="104">
        <f t="shared" si="191"/>
        <v>527.08333333333326</v>
      </c>
      <c r="X258" s="101" t="str">
        <f>LOOKUP(W258,'Wire-Cables Ampacities'!$B$5:$B$35,'Wire-Cables Ampacities'!$C$5:$C$35)</f>
        <v>#4/0 2x</v>
      </c>
      <c r="Y258" s="106">
        <f t="shared" si="208"/>
        <v>10</v>
      </c>
      <c r="Z258" s="104">
        <f t="shared" si="192"/>
        <v>659.34000000000015</v>
      </c>
      <c r="AA258" s="101" t="str">
        <f>LOOKUP(Z258,'Wire-Cables Ampacities'!$B$5:$B$35,'Wire-Cables Ampacities'!$C$5:$C$35)</f>
        <v>300MCM 2x</v>
      </c>
      <c r="AB258" s="106">
        <f t="shared" si="209"/>
        <v>10</v>
      </c>
      <c r="AC258" s="104">
        <f t="shared" si="193"/>
        <v>440.00000000000006</v>
      </c>
      <c r="AD258" s="101" t="str">
        <f>LOOKUP(AC258,'Wire-Cables Ampacities'!$B$5:$B$35,'Wire-Cables Ampacities'!$C$5:$C$35)</f>
        <v>#3/0 2x</v>
      </c>
      <c r="AE258" s="107">
        <f t="shared" si="210"/>
        <v>11.8</v>
      </c>
      <c r="AF258" s="105">
        <f t="shared" si="215"/>
        <v>40263.275600000001</v>
      </c>
      <c r="AG258" s="98">
        <f t="shared" si="211"/>
        <v>45</v>
      </c>
      <c r="AH258" s="99">
        <v>55</v>
      </c>
      <c r="AI258" s="106">
        <f t="shared" si="212"/>
        <v>20</v>
      </c>
      <c r="AJ258" s="105">
        <f t="shared" si="213"/>
        <v>2492.1600000000003</v>
      </c>
      <c r="AK258" s="272">
        <f t="shared" si="195"/>
        <v>27.690666666666669</v>
      </c>
      <c r="AL258" s="278">
        <f t="shared" si="196"/>
        <v>13.845333333333334</v>
      </c>
      <c r="AM258" s="109">
        <v>1200</v>
      </c>
      <c r="AN258" s="104">
        <v>38</v>
      </c>
      <c r="AO258" s="110">
        <v>70</v>
      </c>
      <c r="AP258" s="110">
        <v>28</v>
      </c>
      <c r="AQ258" s="282">
        <f t="shared" si="214"/>
        <v>71.555555555555557</v>
      </c>
      <c r="AR258" s="288">
        <f t="shared" si="216"/>
        <v>39368.831155555556</v>
      </c>
      <c r="AS258" s="93"/>
      <c r="AT258" s="4"/>
    </row>
    <row r="259" spans="1:46">
      <c r="A259" s="72">
        <f t="shared" si="198"/>
        <v>120</v>
      </c>
      <c r="B259" s="61">
        <v>2.4500000000000002</v>
      </c>
      <c r="C259" s="66">
        <f t="shared" si="199"/>
        <v>294</v>
      </c>
      <c r="D259" s="68">
        <v>450</v>
      </c>
      <c r="E259" s="186">
        <f t="shared" si="185"/>
        <v>480</v>
      </c>
      <c r="F259" s="45">
        <f t="shared" si="200"/>
        <v>514.58333333333337</v>
      </c>
      <c r="G259" s="94">
        <f t="shared" si="201"/>
        <v>12</v>
      </c>
      <c r="H259" s="295">
        <f t="shared" si="202"/>
        <v>365.50080000000008</v>
      </c>
      <c r="I259" s="25"/>
      <c r="J259" s="52">
        <f t="shared" si="203"/>
        <v>35</v>
      </c>
      <c r="K259" s="25">
        <f t="shared" si="186"/>
        <v>674.32500000000005</v>
      </c>
      <c r="L259" s="157">
        <f t="shared" si="187"/>
        <v>247</v>
      </c>
      <c r="M259" s="64">
        <f t="shared" si="204"/>
        <v>35</v>
      </c>
      <c r="N259" s="838">
        <f t="shared" si="188"/>
        <v>694.68750000000011</v>
      </c>
      <c r="O259" s="68">
        <f>LOOKUP(N259,'Circuit Breakers'!$B$5:$B$38,'Circuit Breakers'!$C$5:$C$38)</f>
        <v>700</v>
      </c>
      <c r="P259" s="199">
        <f t="shared" si="189"/>
        <v>30</v>
      </c>
      <c r="Q259" s="1056">
        <f t="shared" si="205"/>
        <v>876.62250000000006</v>
      </c>
      <c r="R259" s="1064">
        <f>LOOKUP(Q259,'Circuit Breakers'!$B$5:$B$38,'Circuit Breakers'!$C$5:$C$38)</f>
        <v>900</v>
      </c>
      <c r="S259" s="64">
        <f t="shared" si="190"/>
        <v>30</v>
      </c>
      <c r="T259" s="25">
        <f t="shared" si="206"/>
        <v>585</v>
      </c>
      <c r="U259" s="158">
        <f>LOOKUP(T259,'Circuit Breakers'!$B$5:$B$38,'Circuit Breakers'!$C$5:$C$38)</f>
        <v>600</v>
      </c>
      <c r="V259" s="64">
        <f t="shared" si="207"/>
        <v>15</v>
      </c>
      <c r="W259" s="25">
        <f t="shared" si="191"/>
        <v>591.77083333333337</v>
      </c>
      <c r="X259" s="68" t="str">
        <f>LOOKUP(W259,'Wire-Cables Ampacities'!$B$5:$B$35,'Wire-Cables Ampacities'!$C$5:$C$35)</f>
        <v>250MCM 2x</v>
      </c>
      <c r="Y259" s="64">
        <f t="shared" si="208"/>
        <v>10</v>
      </c>
      <c r="Z259" s="25">
        <f t="shared" si="192"/>
        <v>741.75750000000016</v>
      </c>
      <c r="AA259" s="68" t="str">
        <f>LOOKUP(Z259,'Wire-Cables Ampacities'!$B$5:$B$35,'Wire-Cables Ampacities'!$C$5:$C$35)</f>
        <v>Buss</v>
      </c>
      <c r="AB259" s="64">
        <f t="shared" si="209"/>
        <v>10</v>
      </c>
      <c r="AC259" s="25">
        <f t="shared" si="193"/>
        <v>495.00000000000006</v>
      </c>
      <c r="AD259" s="68" t="str">
        <f>LOOKUP(AC259,'Wire-Cables Ampacities'!$B$5:$B$35,'Wire-Cables Ampacities'!$C$5:$C$35)</f>
        <v>#3/0 2x</v>
      </c>
      <c r="AE259" s="81">
        <f t="shared" si="210"/>
        <v>13.250000000000002</v>
      </c>
      <c r="AF259" s="56">
        <f t="shared" si="215"/>
        <v>45210.881500000003</v>
      </c>
      <c r="AG259" s="72">
        <f t="shared" si="211"/>
        <v>45</v>
      </c>
      <c r="AH259" s="15">
        <v>55</v>
      </c>
      <c r="AI259" s="64">
        <f t="shared" si="212"/>
        <v>20</v>
      </c>
      <c r="AJ259" s="56">
        <f t="shared" si="213"/>
        <v>2798.4000000000005</v>
      </c>
      <c r="AK259" s="271">
        <f t="shared" si="195"/>
        <v>31.093333333333341</v>
      </c>
      <c r="AL259" s="277">
        <f t="shared" si="196"/>
        <v>15.54666666666667</v>
      </c>
      <c r="AM259" s="58">
        <v>1200</v>
      </c>
      <c r="AN259" s="25">
        <v>38</v>
      </c>
      <c r="AO259" s="3">
        <v>70</v>
      </c>
      <c r="AP259" s="3">
        <v>28</v>
      </c>
      <c r="AQ259" s="281">
        <f t="shared" si="214"/>
        <v>71.555555555555557</v>
      </c>
      <c r="AR259" s="287">
        <f t="shared" si="216"/>
        <v>44316.437055555558</v>
      </c>
      <c r="AS259" s="93"/>
      <c r="AT259" s="4"/>
    </row>
    <row r="260" spans="1:46">
      <c r="A260" s="72">
        <f t="shared" si="198"/>
        <v>120</v>
      </c>
      <c r="B260" s="61">
        <v>2.4500000000000002</v>
      </c>
      <c r="C260" s="66">
        <f t="shared" si="199"/>
        <v>294</v>
      </c>
      <c r="D260" s="68">
        <v>500</v>
      </c>
      <c r="E260" s="186">
        <f t="shared" si="185"/>
        <v>480</v>
      </c>
      <c r="F260" s="45">
        <f t="shared" si="200"/>
        <v>570.83333333333337</v>
      </c>
      <c r="G260" s="94">
        <f t="shared" si="201"/>
        <v>12</v>
      </c>
      <c r="H260" s="295">
        <f t="shared" si="202"/>
        <v>365.50080000000008</v>
      </c>
      <c r="I260" s="25"/>
      <c r="J260" s="52">
        <f t="shared" si="203"/>
        <v>35</v>
      </c>
      <c r="K260" s="25">
        <f t="shared" si="186"/>
        <v>749.25000000000011</v>
      </c>
      <c r="L260" s="157">
        <f t="shared" si="187"/>
        <v>274</v>
      </c>
      <c r="M260" s="64">
        <f t="shared" si="204"/>
        <v>35</v>
      </c>
      <c r="N260" s="838">
        <f t="shared" si="188"/>
        <v>770.62500000000011</v>
      </c>
      <c r="O260" s="68">
        <f>LOOKUP(N260,'Circuit Breakers'!$B$5:$B$38,'Circuit Breakers'!$C$5:$C$38)</f>
        <v>800</v>
      </c>
      <c r="P260" s="199">
        <f t="shared" si="189"/>
        <v>30</v>
      </c>
      <c r="Q260" s="1056">
        <f t="shared" si="205"/>
        <v>974.0250000000002</v>
      </c>
      <c r="R260" s="1064">
        <f>LOOKUP(Q260,'Circuit Breakers'!$B$5:$B$38,'Circuit Breakers'!$C$5:$C$38)</f>
        <v>1000</v>
      </c>
      <c r="S260" s="64">
        <f t="shared" si="190"/>
        <v>30</v>
      </c>
      <c r="T260" s="25">
        <f t="shared" si="206"/>
        <v>650</v>
      </c>
      <c r="U260" s="158">
        <f>LOOKUP(T260,'Circuit Breakers'!$B$5:$B$38,'Circuit Breakers'!$C$5:$C$38)</f>
        <v>700</v>
      </c>
      <c r="V260" s="64">
        <f t="shared" si="207"/>
        <v>15</v>
      </c>
      <c r="W260" s="25">
        <f t="shared" si="191"/>
        <v>656.45833333333337</v>
      </c>
      <c r="X260" s="68" t="str">
        <f>LOOKUP(W260,'Wire-Cables Ampacities'!$B$5:$B$35,'Wire-Cables Ampacities'!$C$5:$C$35)</f>
        <v>300MCM 2x</v>
      </c>
      <c r="Y260" s="64">
        <f t="shared" si="208"/>
        <v>10</v>
      </c>
      <c r="Z260" s="25">
        <f t="shared" si="192"/>
        <v>824.17500000000018</v>
      </c>
      <c r="AA260" s="68" t="str">
        <f>LOOKUP(Z260,'Wire-Cables Ampacities'!$B$5:$B$35,'Wire-Cables Ampacities'!$C$5:$C$35)</f>
        <v>Buss</v>
      </c>
      <c r="AB260" s="64">
        <f t="shared" si="209"/>
        <v>10</v>
      </c>
      <c r="AC260" s="25">
        <f t="shared" si="193"/>
        <v>550</v>
      </c>
      <c r="AD260" s="68" t="str">
        <f>LOOKUP(AC260,'Wire-Cables Ampacities'!$B$5:$B$35,'Wire-Cables Ampacities'!$C$5:$C$35)</f>
        <v>#4/0 2x</v>
      </c>
      <c r="AE260" s="81">
        <f t="shared" si="210"/>
        <v>14.700000000000001</v>
      </c>
      <c r="AF260" s="56">
        <f t="shared" si="215"/>
        <v>50158.487399999998</v>
      </c>
      <c r="AG260" s="72">
        <f t="shared" si="211"/>
        <v>45</v>
      </c>
      <c r="AH260" s="15">
        <v>55</v>
      </c>
      <c r="AI260" s="64">
        <f t="shared" si="212"/>
        <v>20</v>
      </c>
      <c r="AJ260" s="56">
        <f t="shared" si="213"/>
        <v>3104.6400000000003</v>
      </c>
      <c r="AK260" s="271">
        <f t="shared" si="195"/>
        <v>34.496000000000002</v>
      </c>
      <c r="AL260" s="277">
        <f t="shared" si="196"/>
        <v>17.248000000000001</v>
      </c>
      <c r="AM260" s="58">
        <v>1200</v>
      </c>
      <c r="AN260" s="25">
        <v>38</v>
      </c>
      <c r="AO260" s="3">
        <v>70</v>
      </c>
      <c r="AP260" s="3">
        <v>28</v>
      </c>
      <c r="AQ260" s="281">
        <f t="shared" si="214"/>
        <v>71.555555555555557</v>
      </c>
      <c r="AR260" s="287">
        <f t="shared" si="216"/>
        <v>49264.042955555553</v>
      </c>
      <c r="AS260" s="93"/>
      <c r="AT260" s="4"/>
    </row>
    <row r="261" spans="1:46">
      <c r="A261" s="98">
        <f t="shared" si="198"/>
        <v>120</v>
      </c>
      <c r="B261" s="304">
        <v>2.4500000000000002</v>
      </c>
      <c r="C261" s="100">
        <f t="shared" si="199"/>
        <v>294</v>
      </c>
      <c r="D261" s="101">
        <v>600</v>
      </c>
      <c r="E261" s="183">
        <f t="shared" si="185"/>
        <v>480</v>
      </c>
      <c r="F261" s="102">
        <f t="shared" si="200"/>
        <v>685.41666666666663</v>
      </c>
      <c r="G261" s="103">
        <f t="shared" si="201"/>
        <v>12</v>
      </c>
      <c r="H261" s="296">
        <f t="shared" si="202"/>
        <v>365.50080000000008</v>
      </c>
      <c r="I261" s="104"/>
      <c r="J261" s="180">
        <f t="shared" si="203"/>
        <v>35</v>
      </c>
      <c r="K261" s="104">
        <f t="shared" si="186"/>
        <v>899.1</v>
      </c>
      <c r="L261" s="263">
        <f t="shared" si="187"/>
        <v>329</v>
      </c>
      <c r="M261" s="106">
        <f t="shared" si="204"/>
        <v>35</v>
      </c>
      <c r="N261" s="1060">
        <f t="shared" si="188"/>
        <v>925.3125</v>
      </c>
      <c r="O261" s="101">
        <f>LOOKUP(N261,'Circuit Breakers'!$B$5:$B$38,'Circuit Breakers'!$C$5:$C$38)</f>
        <v>1000</v>
      </c>
      <c r="P261" s="262">
        <f t="shared" si="189"/>
        <v>30</v>
      </c>
      <c r="Q261" s="1057">
        <f t="shared" si="205"/>
        <v>1168.8300000000002</v>
      </c>
      <c r="R261" s="1065">
        <f>LOOKUP(Q261,'Circuit Breakers'!$B$5:$B$38,'Circuit Breakers'!$C$5:$C$38)</f>
        <v>1200</v>
      </c>
      <c r="S261" s="106">
        <f t="shared" si="190"/>
        <v>30</v>
      </c>
      <c r="T261" s="104">
        <f t="shared" si="206"/>
        <v>780</v>
      </c>
      <c r="U261" s="477">
        <f>LOOKUP(T261,'Circuit Breakers'!$B$5:$B$38,'Circuit Breakers'!$C$5:$C$38)</f>
        <v>800</v>
      </c>
      <c r="V261" s="106">
        <f t="shared" si="207"/>
        <v>15</v>
      </c>
      <c r="W261" s="104">
        <f t="shared" si="191"/>
        <v>788.22916666666652</v>
      </c>
      <c r="X261" s="101" t="str">
        <f>LOOKUP(W261,'Wire-Cables Ampacities'!$B$5:$B$35,'Wire-Cables Ampacities'!$C$5:$C$35)</f>
        <v>Buss</v>
      </c>
      <c r="Y261" s="106">
        <f t="shared" si="208"/>
        <v>10</v>
      </c>
      <c r="Z261" s="104">
        <f t="shared" si="192"/>
        <v>989.0100000000001</v>
      </c>
      <c r="AA261" s="101" t="str">
        <f>LOOKUP(Z261,'Wire-Cables Ampacities'!$B$5:$B$35,'Wire-Cables Ampacities'!$C$5:$C$35)</f>
        <v>Buss</v>
      </c>
      <c r="AB261" s="106">
        <f t="shared" si="209"/>
        <v>10</v>
      </c>
      <c r="AC261" s="104">
        <f t="shared" si="193"/>
        <v>660</v>
      </c>
      <c r="AD261" s="101" t="str">
        <f>LOOKUP(AC261,'Wire-Cables Ampacities'!$B$5:$B$35,'Wire-Cables Ampacities'!$C$5:$C$35)</f>
        <v>300MCM 2x</v>
      </c>
      <c r="AE261" s="107">
        <f t="shared" si="210"/>
        <v>17.649999999999999</v>
      </c>
      <c r="AF261" s="105">
        <f t="shared" si="215"/>
        <v>60224.306299999989</v>
      </c>
      <c r="AG261" s="98">
        <f t="shared" si="211"/>
        <v>45</v>
      </c>
      <c r="AH261" s="99">
        <v>55</v>
      </c>
      <c r="AI261" s="106">
        <f t="shared" si="212"/>
        <v>20</v>
      </c>
      <c r="AJ261" s="105">
        <f t="shared" si="213"/>
        <v>3727.6799999999994</v>
      </c>
      <c r="AK261" s="272">
        <f t="shared" si="195"/>
        <v>41.41866666666666</v>
      </c>
      <c r="AL261" s="278">
        <f t="shared" si="196"/>
        <v>20.70933333333333</v>
      </c>
      <c r="AM261" s="109">
        <v>1200</v>
      </c>
      <c r="AN261" s="104">
        <v>38</v>
      </c>
      <c r="AO261" s="110">
        <v>70</v>
      </c>
      <c r="AP261" s="110">
        <v>28</v>
      </c>
      <c r="AQ261" s="282">
        <f t="shared" si="214"/>
        <v>71.555555555555557</v>
      </c>
      <c r="AR261" s="288">
        <f t="shared" si="216"/>
        <v>59329.861855555544</v>
      </c>
      <c r="AS261" s="93"/>
      <c r="AT261" s="4"/>
    </row>
    <row r="262" spans="1:46">
      <c r="A262" s="72">
        <f t="shared" si="198"/>
        <v>120</v>
      </c>
      <c r="B262" s="61">
        <v>2.4500000000000002</v>
      </c>
      <c r="C262" s="66">
        <f t="shared" si="199"/>
        <v>294</v>
      </c>
      <c r="D262" s="68">
        <v>700</v>
      </c>
      <c r="E262" s="186">
        <f t="shared" si="185"/>
        <v>480</v>
      </c>
      <c r="F262" s="45">
        <f t="shared" si="200"/>
        <v>800</v>
      </c>
      <c r="G262" s="94">
        <f t="shared" si="201"/>
        <v>12</v>
      </c>
      <c r="H262" s="295">
        <f t="shared" si="202"/>
        <v>365.50080000000008</v>
      </c>
      <c r="I262" s="25"/>
      <c r="J262" s="52">
        <f t="shared" si="203"/>
        <v>35</v>
      </c>
      <c r="K262" s="25">
        <f t="shared" si="186"/>
        <v>1048.9500000000003</v>
      </c>
      <c r="L262" s="157">
        <f t="shared" si="187"/>
        <v>384</v>
      </c>
      <c r="M262" s="64">
        <f t="shared" si="204"/>
        <v>35</v>
      </c>
      <c r="N262" s="838">
        <f t="shared" si="188"/>
        <v>1080</v>
      </c>
      <c r="O262" s="68">
        <f>LOOKUP(N262,'Circuit Breakers'!$B$5:$B$38,'Circuit Breakers'!$C$5:$C$38)</f>
        <v>1200</v>
      </c>
      <c r="P262" s="199">
        <f t="shared" si="189"/>
        <v>30</v>
      </c>
      <c r="Q262" s="1056">
        <f t="shared" si="205"/>
        <v>1363.6350000000004</v>
      </c>
      <c r="R262" s="1064" t="str">
        <f>LOOKUP(Q262,'Circuit Breakers'!$B$5:$B$38,'Circuit Breakers'!$C$5:$C$38)</f>
        <v>Check</v>
      </c>
      <c r="S262" s="64">
        <f t="shared" si="190"/>
        <v>30</v>
      </c>
      <c r="T262" s="25">
        <f t="shared" si="206"/>
        <v>910</v>
      </c>
      <c r="U262" s="158">
        <f>LOOKUP(T262,'Circuit Breakers'!$B$5:$B$38,'Circuit Breakers'!$C$5:$C$38)</f>
        <v>1000</v>
      </c>
      <c r="V262" s="64">
        <f t="shared" si="207"/>
        <v>15</v>
      </c>
      <c r="W262" s="25">
        <f t="shared" si="191"/>
        <v>919.99999999999989</v>
      </c>
      <c r="X262" s="68" t="str">
        <f>LOOKUP(W262,'Wire-Cables Ampacities'!$B$5:$B$35,'Wire-Cables Ampacities'!$C$5:$C$35)</f>
        <v>Buss</v>
      </c>
      <c r="Y262" s="64">
        <f t="shared" si="208"/>
        <v>10</v>
      </c>
      <c r="Z262" s="25">
        <f t="shared" si="192"/>
        <v>1153.8450000000005</v>
      </c>
      <c r="AA262" s="68" t="str">
        <f>LOOKUP(Z262,'Wire-Cables Ampacities'!$B$5:$B$35,'Wire-Cables Ampacities'!$C$5:$C$35)</f>
        <v>Buss</v>
      </c>
      <c r="AB262" s="64">
        <f t="shared" si="209"/>
        <v>10</v>
      </c>
      <c r="AC262" s="25">
        <f t="shared" si="193"/>
        <v>770.00000000000011</v>
      </c>
      <c r="AD262" s="68" t="str">
        <f>LOOKUP(AC262,'Wire-Cables Ampacities'!$B$5:$B$35,'Wire-Cables Ampacities'!$C$5:$C$35)</f>
        <v>Buss</v>
      </c>
      <c r="AE262" s="81">
        <f t="shared" si="210"/>
        <v>20.600000000000005</v>
      </c>
      <c r="AF262" s="56">
        <f t="shared" si="215"/>
        <v>70290.125200000009</v>
      </c>
      <c r="AG262" s="72">
        <f t="shared" si="211"/>
        <v>45</v>
      </c>
      <c r="AH262" s="15">
        <v>55</v>
      </c>
      <c r="AI262" s="64">
        <f t="shared" si="212"/>
        <v>20</v>
      </c>
      <c r="AJ262" s="56">
        <f t="shared" si="213"/>
        <v>4350.7200000000012</v>
      </c>
      <c r="AK262" s="271">
        <f t="shared" si="195"/>
        <v>48.341333333333345</v>
      </c>
      <c r="AL262" s="277">
        <f t="shared" si="196"/>
        <v>24.170666666666673</v>
      </c>
      <c r="AM262" s="58">
        <v>1200</v>
      </c>
      <c r="AN262" s="25">
        <v>38</v>
      </c>
      <c r="AO262" s="3">
        <v>70</v>
      </c>
      <c r="AP262" s="3">
        <v>28</v>
      </c>
      <c r="AQ262" s="281">
        <f t="shared" si="214"/>
        <v>71.555555555555557</v>
      </c>
      <c r="AR262" s="287">
        <f t="shared" si="216"/>
        <v>69395.680755555572</v>
      </c>
      <c r="AS262" s="93"/>
      <c r="AT262" s="4"/>
    </row>
    <row r="263" spans="1:46">
      <c r="A263" s="72">
        <f t="shared" si="198"/>
        <v>120</v>
      </c>
      <c r="B263" s="61">
        <v>2.4500000000000002</v>
      </c>
      <c r="C263" s="66">
        <f t="shared" si="199"/>
        <v>294</v>
      </c>
      <c r="D263" s="68">
        <v>800</v>
      </c>
      <c r="E263" s="186">
        <f t="shared" si="185"/>
        <v>480</v>
      </c>
      <c r="F263" s="45">
        <f t="shared" si="200"/>
        <v>914.58333333333337</v>
      </c>
      <c r="G263" s="94">
        <f t="shared" si="201"/>
        <v>12</v>
      </c>
      <c r="H263" s="295">
        <f t="shared" si="202"/>
        <v>365.50080000000008</v>
      </c>
      <c r="I263" s="25"/>
      <c r="J263" s="52">
        <f t="shared" si="203"/>
        <v>35</v>
      </c>
      <c r="K263" s="25">
        <f t="shared" si="186"/>
        <v>1198.8000000000002</v>
      </c>
      <c r="L263" s="157">
        <f t="shared" si="187"/>
        <v>439</v>
      </c>
      <c r="M263" s="64">
        <f t="shared" si="204"/>
        <v>35</v>
      </c>
      <c r="N263" s="838">
        <f t="shared" si="188"/>
        <v>1234.6875000000002</v>
      </c>
      <c r="O263" s="68" t="str">
        <f>LOOKUP(N263,'Circuit Breakers'!$B$5:$B$38,'Circuit Breakers'!$C$5:$C$38)</f>
        <v>Check</v>
      </c>
      <c r="P263" s="199">
        <f t="shared" si="189"/>
        <v>30</v>
      </c>
      <c r="Q263" s="1056">
        <f t="shared" si="205"/>
        <v>1558.4400000000003</v>
      </c>
      <c r="R263" s="1064" t="str">
        <f>LOOKUP(Q263,'Circuit Breakers'!$B$5:$B$38,'Circuit Breakers'!$C$5:$C$38)</f>
        <v>Check</v>
      </c>
      <c r="S263" s="64">
        <f t="shared" si="190"/>
        <v>30</v>
      </c>
      <c r="T263" s="25">
        <f t="shared" si="206"/>
        <v>1040</v>
      </c>
      <c r="U263" s="158">
        <f>LOOKUP(T263,'Circuit Breakers'!$B$5:$B$38,'Circuit Breakers'!$C$5:$C$38)</f>
        <v>1200</v>
      </c>
      <c r="V263" s="64">
        <f t="shared" si="207"/>
        <v>15</v>
      </c>
      <c r="W263" s="25">
        <f t="shared" si="191"/>
        <v>1051.7708333333333</v>
      </c>
      <c r="X263" s="68" t="str">
        <f>LOOKUP(W263,'Wire-Cables Ampacities'!$B$5:$B$35,'Wire-Cables Ampacities'!$C$5:$C$35)</f>
        <v>Buss</v>
      </c>
      <c r="Y263" s="64">
        <f t="shared" si="208"/>
        <v>10</v>
      </c>
      <c r="Z263" s="25">
        <f t="shared" si="192"/>
        <v>1318.6800000000003</v>
      </c>
      <c r="AA263" s="68" t="str">
        <f>LOOKUP(Z263,'Wire-Cables Ampacities'!$B$5:$B$35,'Wire-Cables Ampacities'!$C$5:$C$35)</f>
        <v>Buss</v>
      </c>
      <c r="AB263" s="64">
        <f t="shared" si="209"/>
        <v>10</v>
      </c>
      <c r="AC263" s="25">
        <f t="shared" si="193"/>
        <v>880.00000000000011</v>
      </c>
      <c r="AD263" s="68" t="str">
        <f>LOOKUP(AC263,'Wire-Cables Ampacities'!$B$5:$B$35,'Wire-Cables Ampacities'!$C$5:$C$35)</f>
        <v>Buss</v>
      </c>
      <c r="AE263" s="81">
        <f t="shared" si="210"/>
        <v>23.550000000000004</v>
      </c>
      <c r="AF263" s="56">
        <f t="shared" si="215"/>
        <v>80355.944100000022</v>
      </c>
      <c r="AG263" s="72">
        <f t="shared" si="211"/>
        <v>45</v>
      </c>
      <c r="AH263" s="15">
        <v>55</v>
      </c>
      <c r="AI263" s="64">
        <f t="shared" si="212"/>
        <v>20</v>
      </c>
      <c r="AJ263" s="56">
        <f t="shared" si="213"/>
        <v>4973.7600000000011</v>
      </c>
      <c r="AK263" s="271">
        <f t="shared" si="195"/>
        <v>55.26400000000001</v>
      </c>
      <c r="AL263" s="277">
        <f t="shared" si="196"/>
        <v>27.632000000000005</v>
      </c>
      <c r="AM263" s="58">
        <v>1200</v>
      </c>
      <c r="AN263" s="25">
        <v>38</v>
      </c>
      <c r="AO263" s="3">
        <v>70</v>
      </c>
      <c r="AP263" s="3">
        <v>28</v>
      </c>
      <c r="AQ263" s="281">
        <f t="shared" si="214"/>
        <v>71.555555555555557</v>
      </c>
      <c r="AR263" s="287">
        <f t="shared" si="216"/>
        <v>79461.499655555584</v>
      </c>
      <c r="AS263" s="93"/>
      <c r="AT263" s="4"/>
    </row>
    <row r="264" spans="1:46">
      <c r="A264" s="98">
        <f t="shared" si="198"/>
        <v>120</v>
      </c>
      <c r="B264" s="304">
        <v>2.4500000000000002</v>
      </c>
      <c r="C264" s="100">
        <f t="shared" si="199"/>
        <v>294</v>
      </c>
      <c r="D264" s="101">
        <v>900</v>
      </c>
      <c r="E264" s="183">
        <f t="shared" si="185"/>
        <v>480</v>
      </c>
      <c r="F264" s="102">
        <f t="shared" si="200"/>
        <v>1027.0833333333333</v>
      </c>
      <c r="G264" s="103">
        <f t="shared" si="201"/>
        <v>12</v>
      </c>
      <c r="H264" s="296">
        <f t="shared" si="202"/>
        <v>365.50080000000008</v>
      </c>
      <c r="I264" s="104"/>
      <c r="J264" s="180">
        <f t="shared" si="203"/>
        <v>35</v>
      </c>
      <c r="K264" s="104">
        <f t="shared" si="186"/>
        <v>1348.65</v>
      </c>
      <c r="L264" s="263">
        <f t="shared" si="187"/>
        <v>493</v>
      </c>
      <c r="M264" s="106">
        <f t="shared" si="204"/>
        <v>35</v>
      </c>
      <c r="N264" s="1060">
        <f t="shared" si="188"/>
        <v>1386.5625</v>
      </c>
      <c r="O264" s="101" t="str">
        <f>LOOKUP(N264,'Circuit Breakers'!$B$5:$B$38,'Circuit Breakers'!$C$5:$C$38)</f>
        <v>Check</v>
      </c>
      <c r="P264" s="262">
        <f t="shared" si="189"/>
        <v>30</v>
      </c>
      <c r="Q264" s="1057">
        <f t="shared" si="205"/>
        <v>1753.2450000000001</v>
      </c>
      <c r="R264" s="1065" t="str">
        <f>LOOKUP(Q264,'Circuit Breakers'!$B$5:$B$38,'Circuit Breakers'!$C$5:$C$38)</f>
        <v>Check</v>
      </c>
      <c r="S264" s="106">
        <f t="shared" si="190"/>
        <v>30</v>
      </c>
      <c r="T264" s="104">
        <f t="shared" si="206"/>
        <v>1170</v>
      </c>
      <c r="U264" s="477">
        <f>LOOKUP(T264,'Circuit Breakers'!$B$5:$B$38,'Circuit Breakers'!$C$5:$C$38)</f>
        <v>1200</v>
      </c>
      <c r="V264" s="106">
        <f t="shared" si="207"/>
        <v>15</v>
      </c>
      <c r="W264" s="104">
        <f t="shared" si="191"/>
        <v>1181.1458333333333</v>
      </c>
      <c r="X264" s="101" t="str">
        <f>LOOKUP(W264,'Wire-Cables Ampacities'!$B$5:$B$35,'Wire-Cables Ampacities'!$C$5:$C$35)</f>
        <v>Buss</v>
      </c>
      <c r="Y264" s="106">
        <f t="shared" si="208"/>
        <v>10</v>
      </c>
      <c r="Z264" s="104">
        <f t="shared" si="192"/>
        <v>1483.5150000000003</v>
      </c>
      <c r="AA264" s="101" t="str">
        <f>LOOKUP(Z264,'Wire-Cables Ampacities'!$B$5:$B$35,'Wire-Cables Ampacities'!$C$5:$C$35)</f>
        <v>Buss</v>
      </c>
      <c r="AB264" s="106">
        <f t="shared" si="209"/>
        <v>10</v>
      </c>
      <c r="AC264" s="104">
        <f t="shared" si="193"/>
        <v>990.00000000000011</v>
      </c>
      <c r="AD264" s="101" t="str">
        <f>LOOKUP(AC264,'Wire-Cables Ampacities'!$B$5:$B$35,'Wire-Cables Ampacities'!$C$5:$C$35)</f>
        <v>Buss</v>
      </c>
      <c r="AE264" s="107">
        <f t="shared" si="210"/>
        <v>26.450000000000003</v>
      </c>
      <c r="AF264" s="105">
        <f t="shared" si="215"/>
        <v>90251.155899999998</v>
      </c>
      <c r="AG264" s="98">
        <f t="shared" si="211"/>
        <v>45</v>
      </c>
      <c r="AH264" s="99">
        <v>55</v>
      </c>
      <c r="AI264" s="106">
        <f t="shared" si="212"/>
        <v>20</v>
      </c>
      <c r="AJ264" s="105">
        <f t="shared" si="213"/>
        <v>5586.2400000000007</v>
      </c>
      <c r="AK264" s="272">
        <f t="shared" si="195"/>
        <v>62.06933333333334</v>
      </c>
      <c r="AL264" s="278">
        <f t="shared" si="196"/>
        <v>31.03466666666667</v>
      </c>
      <c r="AM264" s="109">
        <v>1200</v>
      </c>
      <c r="AN264" s="104">
        <v>38</v>
      </c>
      <c r="AO264" s="110">
        <v>70</v>
      </c>
      <c r="AP264" s="110">
        <v>28</v>
      </c>
      <c r="AQ264" s="282">
        <f t="shared" si="214"/>
        <v>71.555555555555557</v>
      </c>
      <c r="AR264" s="288">
        <f t="shared" si="216"/>
        <v>89356.71145555556</v>
      </c>
      <c r="AS264" s="93"/>
      <c r="AT264" s="4"/>
    </row>
    <row r="265" spans="1:46">
      <c r="A265" s="72">
        <f t="shared" si="198"/>
        <v>120</v>
      </c>
      <c r="B265" s="61">
        <v>2.4500000000000002</v>
      </c>
      <c r="C265" s="66">
        <f t="shared" si="199"/>
        <v>294</v>
      </c>
      <c r="D265" s="68">
        <v>1000</v>
      </c>
      <c r="E265" s="186">
        <f t="shared" si="185"/>
        <v>480</v>
      </c>
      <c r="F265" s="45">
        <f t="shared" si="200"/>
        <v>1141.6666666666667</v>
      </c>
      <c r="G265" s="94">
        <f t="shared" si="201"/>
        <v>12</v>
      </c>
      <c r="H265" s="295">
        <f t="shared" si="202"/>
        <v>365.50080000000008</v>
      </c>
      <c r="I265" s="25"/>
      <c r="J265" s="52">
        <f t="shared" si="203"/>
        <v>35</v>
      </c>
      <c r="K265" s="25">
        <f t="shared" si="186"/>
        <v>1498.5000000000002</v>
      </c>
      <c r="L265" s="157">
        <f t="shared" si="187"/>
        <v>548</v>
      </c>
      <c r="M265" s="64">
        <f t="shared" si="204"/>
        <v>35</v>
      </c>
      <c r="N265" s="838">
        <f t="shared" si="188"/>
        <v>1541.2500000000002</v>
      </c>
      <c r="O265" s="68" t="str">
        <f>LOOKUP(N265,'Circuit Breakers'!$B$5:$B$38,'Circuit Breakers'!$C$5:$C$38)</f>
        <v>Check</v>
      </c>
      <c r="P265" s="199">
        <f t="shared" si="189"/>
        <v>30</v>
      </c>
      <c r="Q265" s="1056">
        <f t="shared" si="205"/>
        <v>1948.0500000000004</v>
      </c>
      <c r="R265" s="1064" t="str">
        <f>LOOKUP(Q265,'Circuit Breakers'!$B$5:$B$38,'Circuit Breakers'!$C$5:$C$38)</f>
        <v>Check</v>
      </c>
      <c r="S265" s="64">
        <f t="shared" si="190"/>
        <v>30</v>
      </c>
      <c r="T265" s="25">
        <f t="shared" si="206"/>
        <v>1300</v>
      </c>
      <c r="U265" s="158" t="str">
        <f>LOOKUP(T265,'Circuit Breakers'!$B$5:$B$38,'Circuit Breakers'!$C$5:$C$38)</f>
        <v>Check</v>
      </c>
      <c r="V265" s="64">
        <f t="shared" si="207"/>
        <v>15</v>
      </c>
      <c r="W265" s="25">
        <f t="shared" si="191"/>
        <v>1312.9166666666667</v>
      </c>
      <c r="X265" s="68" t="str">
        <f>LOOKUP(W265,'Wire-Cables Ampacities'!$B$5:$B$35,'Wire-Cables Ampacities'!$C$5:$C$35)</f>
        <v>Buss</v>
      </c>
      <c r="Y265" s="64">
        <f t="shared" si="208"/>
        <v>10</v>
      </c>
      <c r="Z265" s="25">
        <f t="shared" si="192"/>
        <v>1648.3500000000004</v>
      </c>
      <c r="AA265" s="68" t="str">
        <f>LOOKUP(Z265,'Wire-Cables Ampacities'!$B$5:$B$35,'Wire-Cables Ampacities'!$C$5:$C$35)</f>
        <v>Buss</v>
      </c>
      <c r="AB265" s="64">
        <f t="shared" si="209"/>
        <v>10</v>
      </c>
      <c r="AC265" s="25">
        <f t="shared" si="193"/>
        <v>1100</v>
      </c>
      <c r="AD265" s="68" t="str">
        <f>LOOKUP(AC265,'Wire-Cables Ampacities'!$B$5:$B$35,'Wire-Cables Ampacities'!$C$5:$C$35)</f>
        <v>Buss</v>
      </c>
      <c r="AE265" s="81">
        <f t="shared" si="210"/>
        <v>29.400000000000002</v>
      </c>
      <c r="AF265" s="56">
        <f t="shared" si="215"/>
        <v>100316.9748</v>
      </c>
      <c r="AG265" s="72">
        <f t="shared" si="211"/>
        <v>45</v>
      </c>
      <c r="AH265" s="15">
        <v>55</v>
      </c>
      <c r="AI265" s="64">
        <f t="shared" si="212"/>
        <v>20</v>
      </c>
      <c r="AJ265" s="56">
        <f t="shared" si="213"/>
        <v>6209.2800000000007</v>
      </c>
      <c r="AK265" s="271">
        <f t="shared" si="195"/>
        <v>68.992000000000004</v>
      </c>
      <c r="AL265" s="277">
        <f t="shared" si="196"/>
        <v>34.496000000000002</v>
      </c>
      <c r="AM265" s="58">
        <v>1200</v>
      </c>
      <c r="AN265" s="25">
        <v>38</v>
      </c>
      <c r="AO265" s="3">
        <v>70</v>
      </c>
      <c r="AP265" s="3">
        <v>28</v>
      </c>
      <c r="AQ265" s="281">
        <f t="shared" si="214"/>
        <v>71.555555555555557</v>
      </c>
      <c r="AR265" s="287">
        <f t="shared" si="216"/>
        <v>99422.530355555558</v>
      </c>
      <c r="AS265" s="93"/>
      <c r="AT265" s="4"/>
    </row>
    <row r="266" spans="1:46">
      <c r="A266" s="72">
        <f t="shared" si="198"/>
        <v>120</v>
      </c>
      <c r="B266" s="61">
        <v>2.4500000000000002</v>
      </c>
      <c r="C266" s="66">
        <f t="shared" si="199"/>
        <v>294</v>
      </c>
      <c r="D266" s="68">
        <v>1100</v>
      </c>
      <c r="E266" s="186">
        <f t="shared" si="185"/>
        <v>480</v>
      </c>
      <c r="F266" s="45">
        <f t="shared" si="200"/>
        <v>1256.25</v>
      </c>
      <c r="G266" s="94">
        <f t="shared" si="201"/>
        <v>12</v>
      </c>
      <c r="H266" s="295">
        <f t="shared" si="202"/>
        <v>365.50080000000008</v>
      </c>
      <c r="I266" s="25"/>
      <c r="J266" s="52">
        <f t="shared" si="203"/>
        <v>35</v>
      </c>
      <c r="K266" s="25">
        <f t="shared" si="186"/>
        <v>1648.3500000000001</v>
      </c>
      <c r="L266" s="157">
        <f t="shared" si="187"/>
        <v>603</v>
      </c>
      <c r="M266" s="64">
        <f t="shared" si="204"/>
        <v>35</v>
      </c>
      <c r="N266" s="838">
        <f t="shared" si="188"/>
        <v>1695.9375</v>
      </c>
      <c r="O266" s="68" t="str">
        <f>LOOKUP(N266,'Circuit Breakers'!$B$5:$B$38,'Circuit Breakers'!$C$5:$C$38)</f>
        <v>Check</v>
      </c>
      <c r="P266" s="199">
        <f t="shared" si="189"/>
        <v>30</v>
      </c>
      <c r="Q266" s="1056">
        <f t="shared" si="205"/>
        <v>2142.8550000000005</v>
      </c>
      <c r="R266" s="1064" t="str">
        <f>LOOKUP(Q266,'Circuit Breakers'!$B$5:$B$38,'Circuit Breakers'!$C$5:$C$38)</f>
        <v>Check</v>
      </c>
      <c r="S266" s="64">
        <f t="shared" si="190"/>
        <v>30</v>
      </c>
      <c r="T266" s="25">
        <f t="shared" si="206"/>
        <v>1430</v>
      </c>
      <c r="U266" s="158" t="str">
        <f>LOOKUP(T266,'Circuit Breakers'!$B$5:$B$38,'Circuit Breakers'!$C$5:$C$38)</f>
        <v>Check</v>
      </c>
      <c r="V266" s="64">
        <f t="shared" si="207"/>
        <v>15</v>
      </c>
      <c r="W266" s="25">
        <f t="shared" si="191"/>
        <v>1444.6875</v>
      </c>
      <c r="X266" s="68" t="str">
        <f>LOOKUP(W266,'Wire-Cables Ampacities'!$B$5:$B$35,'Wire-Cables Ampacities'!$C$5:$C$35)</f>
        <v>Buss</v>
      </c>
      <c r="Y266" s="64">
        <f t="shared" si="208"/>
        <v>10</v>
      </c>
      <c r="Z266" s="25">
        <f t="shared" si="192"/>
        <v>1813.1850000000004</v>
      </c>
      <c r="AA266" s="68" t="str">
        <f>LOOKUP(Z266,'Wire-Cables Ampacities'!$B$5:$B$35,'Wire-Cables Ampacities'!$C$5:$C$35)</f>
        <v>Buss</v>
      </c>
      <c r="AB266" s="64">
        <f t="shared" si="209"/>
        <v>10</v>
      </c>
      <c r="AC266" s="25">
        <f t="shared" si="193"/>
        <v>1210</v>
      </c>
      <c r="AD266" s="68" t="str">
        <f>LOOKUP(AC266,'Wire-Cables Ampacities'!$B$5:$B$35,'Wire-Cables Ampacities'!$C$5:$C$35)</f>
        <v>Buss</v>
      </c>
      <c r="AE266" s="81">
        <f t="shared" si="210"/>
        <v>32.35</v>
      </c>
      <c r="AF266" s="56">
        <f t="shared" si="215"/>
        <v>110382.79369999999</v>
      </c>
      <c r="AG266" s="72">
        <f t="shared" si="211"/>
        <v>45</v>
      </c>
      <c r="AH266" s="15">
        <v>55</v>
      </c>
      <c r="AI266" s="64">
        <f t="shared" si="212"/>
        <v>20</v>
      </c>
      <c r="AJ266" s="56">
        <f t="shared" si="213"/>
        <v>6832.3200000000006</v>
      </c>
      <c r="AK266" s="271">
        <f t="shared" si="195"/>
        <v>75.914666666666676</v>
      </c>
      <c r="AL266" s="277">
        <f t="shared" si="196"/>
        <v>37.957333333333338</v>
      </c>
      <c r="AM266" s="58">
        <v>1200</v>
      </c>
      <c r="AN266" s="25">
        <v>38</v>
      </c>
      <c r="AO266" s="3">
        <v>70</v>
      </c>
      <c r="AP266" s="3">
        <v>28</v>
      </c>
      <c r="AQ266" s="281">
        <f t="shared" si="214"/>
        <v>71.555555555555557</v>
      </c>
      <c r="AR266" s="287">
        <f t="shared" si="216"/>
        <v>109488.34925555556</v>
      </c>
      <c r="AS266" s="93"/>
      <c r="AT266" s="4"/>
    </row>
    <row r="267" spans="1:46" ht="13.5" thickBot="1">
      <c r="A267" s="253">
        <f t="shared" si="198"/>
        <v>120</v>
      </c>
      <c r="B267" s="305">
        <v>2.4500000000000002</v>
      </c>
      <c r="C267" s="258">
        <f t="shared" si="199"/>
        <v>294</v>
      </c>
      <c r="D267" s="259">
        <v>1200</v>
      </c>
      <c r="E267" s="303">
        <f t="shared" si="185"/>
        <v>480</v>
      </c>
      <c r="F267" s="260">
        <f t="shared" si="200"/>
        <v>1370.8333333333333</v>
      </c>
      <c r="G267" s="261">
        <f t="shared" si="201"/>
        <v>12</v>
      </c>
      <c r="H267" s="297">
        <f t="shared" si="202"/>
        <v>365.50080000000008</v>
      </c>
      <c r="I267" s="264"/>
      <c r="J267" s="265">
        <f t="shared" si="203"/>
        <v>35</v>
      </c>
      <c r="K267" s="264">
        <f t="shared" si="186"/>
        <v>1798.2</v>
      </c>
      <c r="L267" s="266">
        <f t="shared" si="187"/>
        <v>658</v>
      </c>
      <c r="M267" s="267">
        <f t="shared" si="204"/>
        <v>35</v>
      </c>
      <c r="N267" s="1061">
        <f t="shared" si="188"/>
        <v>1850.625</v>
      </c>
      <c r="O267" s="259" t="str">
        <f>LOOKUP(N267,'Circuit Breakers'!$B$5:$B$38,'Circuit Breakers'!$C$5:$C$38)</f>
        <v>Check</v>
      </c>
      <c r="P267" s="333">
        <f t="shared" si="189"/>
        <v>30</v>
      </c>
      <c r="Q267" s="1058">
        <f t="shared" si="205"/>
        <v>2337.6600000000003</v>
      </c>
      <c r="R267" s="1066" t="str">
        <f>LOOKUP(Q267,'Circuit Breakers'!$B$5:$B$38,'Circuit Breakers'!$C$5:$C$38)</f>
        <v>Check</v>
      </c>
      <c r="S267" s="267">
        <f t="shared" si="190"/>
        <v>30</v>
      </c>
      <c r="T267" s="264">
        <f t="shared" si="206"/>
        <v>1560</v>
      </c>
      <c r="U267" s="478" t="str">
        <f>LOOKUP(T267,'Circuit Breakers'!$B$5:$B$38,'Circuit Breakers'!$C$5:$C$38)</f>
        <v>Check</v>
      </c>
      <c r="V267" s="267">
        <f t="shared" si="207"/>
        <v>15</v>
      </c>
      <c r="W267" s="264">
        <f t="shared" si="191"/>
        <v>1576.458333333333</v>
      </c>
      <c r="X267" s="259" t="str">
        <f>LOOKUP(W267,'Wire-Cables Ampacities'!$B$5:$B$35,'Wire-Cables Ampacities'!$C$5:$C$35)</f>
        <v>Buss</v>
      </c>
      <c r="Y267" s="267">
        <f t="shared" si="208"/>
        <v>10</v>
      </c>
      <c r="Z267" s="264">
        <f t="shared" si="192"/>
        <v>1978.0200000000002</v>
      </c>
      <c r="AA267" s="259" t="str">
        <f>LOOKUP(Z267,'Wire-Cables Ampacities'!$B$5:$B$35,'Wire-Cables Ampacities'!$C$5:$C$35)</f>
        <v>Buss</v>
      </c>
      <c r="AB267" s="267">
        <f t="shared" si="209"/>
        <v>10</v>
      </c>
      <c r="AC267" s="264">
        <f t="shared" si="193"/>
        <v>1320</v>
      </c>
      <c r="AD267" s="259" t="str">
        <f>LOOKUP(AC267,'Wire-Cables Ampacities'!$B$5:$B$35,'Wire-Cables Ampacities'!$C$5:$C$35)</f>
        <v>Buss</v>
      </c>
      <c r="AE267" s="270">
        <f t="shared" si="210"/>
        <v>35.299999999999997</v>
      </c>
      <c r="AF267" s="268">
        <f t="shared" si="215"/>
        <v>120448.61259999998</v>
      </c>
      <c r="AG267" s="253">
        <f t="shared" si="211"/>
        <v>45</v>
      </c>
      <c r="AH267" s="254">
        <v>55</v>
      </c>
      <c r="AI267" s="267">
        <f t="shared" si="212"/>
        <v>20</v>
      </c>
      <c r="AJ267" s="268">
        <f t="shared" si="213"/>
        <v>7455.3599999999988</v>
      </c>
      <c r="AK267" s="273">
        <f t="shared" si="195"/>
        <v>82.837333333333319</v>
      </c>
      <c r="AL267" s="279">
        <f t="shared" si="196"/>
        <v>41.41866666666666</v>
      </c>
      <c r="AM267" s="275">
        <v>1200</v>
      </c>
      <c r="AN267" s="264">
        <v>38</v>
      </c>
      <c r="AO267" s="276">
        <v>70</v>
      </c>
      <c r="AP267" s="276">
        <v>28</v>
      </c>
      <c r="AQ267" s="283">
        <f t="shared" si="214"/>
        <v>71.555555555555557</v>
      </c>
      <c r="AR267" s="289">
        <f t="shared" si="216"/>
        <v>119554.16815555554</v>
      </c>
      <c r="AS267" s="93"/>
      <c r="AT267" s="4"/>
    </row>
  </sheetData>
  <phoneticPr fontId="2" type="noConversion"/>
  <pageMargins left="0.12" right="0.12" top="0.2" bottom="0.2" header="0.2" footer="0.2"/>
  <pageSetup paperSize="3" scale="72" fitToHeight="4" orientation="landscape" horizontalDpi="4294967293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-0.499984740745262"/>
  </sheetPr>
  <dimension ref="A1:A4"/>
  <sheetViews>
    <sheetView workbookViewId="0">
      <selection activeCell="B11" sqref="B11"/>
    </sheetView>
  </sheetViews>
  <sheetFormatPr baseColWidth="10" defaultColWidth="9.140625" defaultRowHeight="12.75"/>
  <sheetData>
    <row r="1" spans="1:1" s="1326" customFormat="1" ht="38.25">
      <c r="A1" s="1799" t="s">
        <v>669</v>
      </c>
    </row>
    <row r="2" spans="1:1" ht="17.25">
      <c r="A2" s="1918" t="s">
        <v>670</v>
      </c>
    </row>
    <row r="3" spans="1:1" ht="15">
      <c r="A3" s="1918" t="s">
        <v>671</v>
      </c>
    </row>
    <row r="4" spans="1:1" ht="15">
      <c r="A4" s="1918" t="s">
        <v>672</v>
      </c>
    </row>
  </sheetData>
  <pageMargins left="0.7" right="0.7" top="0.75" bottom="0.75" header="0.3" footer="0.3"/>
  <pageSetup orientation="portrait" horizontalDpi="4294967294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-0.249977111117893"/>
  </sheetPr>
  <dimension ref="A1:W58"/>
  <sheetViews>
    <sheetView workbookViewId="0">
      <selection activeCell="L1" sqref="L1:S39"/>
    </sheetView>
  </sheetViews>
  <sheetFormatPr baseColWidth="10" defaultColWidth="9.140625" defaultRowHeight="12.75"/>
  <cols>
    <col min="1" max="1" width="9.5703125" customWidth="1"/>
    <col min="2" max="2" width="12" customWidth="1"/>
    <col min="3" max="3" width="7" customWidth="1"/>
    <col min="4" max="4" width="5.140625" customWidth="1"/>
    <col min="5" max="5" width="12.5703125" customWidth="1"/>
    <col min="13" max="13" width="9.28515625" bestFit="1" customWidth="1"/>
    <col min="14" max="14" width="11" bestFit="1" customWidth="1"/>
    <col min="15" max="15" width="9.85546875" bestFit="1" customWidth="1"/>
    <col min="16" max="18" width="11" bestFit="1" customWidth="1"/>
  </cols>
  <sheetData>
    <row r="1" spans="1:23" ht="15" thickBot="1">
      <c r="A1" t="s">
        <v>690</v>
      </c>
      <c r="L1" s="2079" t="s">
        <v>710</v>
      </c>
      <c r="M1" s="2079"/>
      <c r="N1" s="2079"/>
      <c r="O1" s="2079"/>
      <c r="P1" s="2079"/>
      <c r="Q1" s="2079"/>
      <c r="R1" s="2079"/>
      <c r="S1" s="2079"/>
      <c r="T1" s="2079"/>
      <c r="U1" s="2079"/>
      <c r="V1" s="2079"/>
      <c r="W1" s="2079"/>
    </row>
    <row r="2" spans="1:23" ht="43.5" thickBot="1">
      <c r="L2" s="2092"/>
      <c r="M2" s="2093" t="s">
        <v>711</v>
      </c>
      <c r="N2" s="2107" t="s">
        <v>712</v>
      </c>
      <c r="O2" s="2095" t="s">
        <v>713</v>
      </c>
      <c r="P2" s="2095" t="s">
        <v>714</v>
      </c>
      <c r="Q2" s="2117" t="s">
        <v>715</v>
      </c>
      <c r="R2" s="2095" t="s">
        <v>716</v>
      </c>
      <c r="S2" s="2095" t="s">
        <v>717</v>
      </c>
      <c r="T2" s="2095" t="s">
        <v>718</v>
      </c>
      <c r="U2" s="2095" t="s">
        <v>719</v>
      </c>
      <c r="V2" s="2095" t="s">
        <v>720</v>
      </c>
      <c r="W2" s="2096" t="s">
        <v>721</v>
      </c>
    </row>
    <row r="3" spans="1:23" ht="14.25">
      <c r="L3" s="2145" t="s">
        <v>722</v>
      </c>
      <c r="M3" s="2094">
        <v>40</v>
      </c>
      <c r="N3" s="2083">
        <v>21</v>
      </c>
      <c r="O3" s="2084">
        <v>31</v>
      </c>
      <c r="P3" s="2084">
        <v>35</v>
      </c>
      <c r="Q3" s="2084">
        <v>31</v>
      </c>
      <c r="R3" s="2084">
        <v>35</v>
      </c>
      <c r="S3" s="2084">
        <v>35</v>
      </c>
      <c r="T3" s="2084">
        <v>35</v>
      </c>
      <c r="U3" s="2084">
        <v>40</v>
      </c>
      <c r="V3" s="2084">
        <v>40</v>
      </c>
      <c r="W3" s="2085" t="s">
        <v>139</v>
      </c>
    </row>
    <row r="4" spans="1:23" ht="14.25">
      <c r="L4" s="2145"/>
      <c r="M4" s="2094" t="s">
        <v>723</v>
      </c>
      <c r="N4" s="2082">
        <v>15</v>
      </c>
      <c r="O4" s="2080">
        <v>22</v>
      </c>
      <c r="P4" s="2080">
        <v>30</v>
      </c>
      <c r="Q4" s="2080">
        <v>19</v>
      </c>
      <c r="R4" s="2080">
        <v>25</v>
      </c>
      <c r="S4" s="2080">
        <v>25</v>
      </c>
      <c r="T4" s="2080">
        <v>25</v>
      </c>
      <c r="U4" s="2080">
        <v>30</v>
      </c>
      <c r="V4" s="2080">
        <v>33</v>
      </c>
      <c r="W4" s="2081">
        <v>35</v>
      </c>
    </row>
    <row r="5" spans="1:23" ht="20.25">
      <c r="A5" s="155" t="s">
        <v>755</v>
      </c>
      <c r="E5" s="2110" t="s">
        <v>742</v>
      </c>
      <c r="L5" s="2145"/>
      <c r="M5" s="2094">
        <v>70</v>
      </c>
      <c r="N5" s="2082" t="s">
        <v>139</v>
      </c>
      <c r="O5" s="2080">
        <v>12.5</v>
      </c>
      <c r="P5" s="2080">
        <v>15</v>
      </c>
      <c r="Q5" s="2080">
        <v>12.5</v>
      </c>
      <c r="R5" s="2080" t="s">
        <v>139</v>
      </c>
      <c r="S5" s="2080" t="s">
        <v>139</v>
      </c>
      <c r="T5" s="2080" t="s">
        <v>139</v>
      </c>
      <c r="U5" s="2080" t="s">
        <v>139</v>
      </c>
      <c r="V5" s="2080" t="s">
        <v>139</v>
      </c>
      <c r="W5" s="2081" t="s">
        <v>139</v>
      </c>
    </row>
    <row r="6" spans="1:23" ht="20.25">
      <c r="A6" s="155" t="s">
        <v>705</v>
      </c>
      <c r="L6" s="2145"/>
      <c r="M6" s="2094">
        <v>85</v>
      </c>
      <c r="N6" s="2082">
        <v>5</v>
      </c>
      <c r="O6" s="2080">
        <v>5</v>
      </c>
      <c r="P6" s="2080">
        <v>8.5</v>
      </c>
      <c r="Q6" s="2080">
        <v>5</v>
      </c>
      <c r="R6" s="2080">
        <v>8.5</v>
      </c>
      <c r="S6" s="2080">
        <v>20</v>
      </c>
      <c r="T6" s="2080">
        <v>5</v>
      </c>
      <c r="U6" s="2080">
        <v>10</v>
      </c>
      <c r="V6" s="2080">
        <v>26</v>
      </c>
      <c r="W6" s="2081">
        <v>25</v>
      </c>
    </row>
    <row r="7" spans="1:23" ht="15" thickBot="1">
      <c r="L7" s="2145"/>
      <c r="M7" s="2094">
        <v>105</v>
      </c>
      <c r="N7" s="2082" t="s">
        <v>139</v>
      </c>
      <c r="O7" s="2080">
        <v>2</v>
      </c>
      <c r="P7" s="2080">
        <v>5</v>
      </c>
      <c r="Q7" s="2080" t="s">
        <v>139</v>
      </c>
      <c r="R7" s="2080" t="s">
        <v>139</v>
      </c>
      <c r="S7" s="2080">
        <v>5</v>
      </c>
      <c r="T7" s="2080" t="s">
        <v>139</v>
      </c>
      <c r="U7" s="2080" t="s">
        <v>139</v>
      </c>
      <c r="V7" s="2080">
        <v>6.5</v>
      </c>
      <c r="W7" s="2081">
        <v>10</v>
      </c>
    </row>
    <row r="8" spans="1:23" ht="15.75">
      <c r="A8" s="152" t="s">
        <v>691</v>
      </c>
      <c r="B8" s="2111" t="s">
        <v>692</v>
      </c>
      <c r="C8" s="96"/>
      <c r="D8" s="96"/>
      <c r="E8" s="96"/>
      <c r="F8" s="96"/>
      <c r="G8" s="96"/>
      <c r="H8" s="96"/>
      <c r="I8" s="96"/>
      <c r="J8" s="48"/>
      <c r="L8" s="2146" t="s">
        <v>724</v>
      </c>
      <c r="M8" s="2147"/>
      <c r="N8" s="2082">
        <v>90</v>
      </c>
      <c r="O8" s="2080">
        <v>107</v>
      </c>
      <c r="P8" s="2080">
        <v>110</v>
      </c>
      <c r="Q8" s="2080">
        <v>90</v>
      </c>
      <c r="R8" s="2080">
        <v>93.5</v>
      </c>
      <c r="S8" s="2080">
        <v>110</v>
      </c>
      <c r="T8" s="2080">
        <v>90</v>
      </c>
      <c r="U8" s="2080">
        <v>95</v>
      </c>
      <c r="V8" s="2080">
        <v>111.5</v>
      </c>
      <c r="W8" s="2081">
        <v>115</v>
      </c>
    </row>
    <row r="9" spans="1:23" ht="18.75">
      <c r="A9" s="2114" t="s">
        <v>697</v>
      </c>
      <c r="B9" s="2112" t="s">
        <v>693</v>
      </c>
      <c r="C9" s="7"/>
      <c r="D9" s="7"/>
      <c r="E9" s="7"/>
      <c r="F9" s="7"/>
      <c r="G9" s="7"/>
      <c r="H9" s="7"/>
      <c r="I9" s="7"/>
      <c r="J9" s="521"/>
      <c r="L9" s="2146" t="s">
        <v>725</v>
      </c>
      <c r="M9" s="2147"/>
      <c r="N9" s="2086">
        <v>4000</v>
      </c>
      <c r="O9" s="2087">
        <v>4000</v>
      </c>
      <c r="P9" s="2087">
        <v>4000</v>
      </c>
      <c r="Q9" s="2087">
        <v>4000</v>
      </c>
      <c r="R9" s="2087">
        <v>8000</v>
      </c>
      <c r="S9" s="2087">
        <v>8000</v>
      </c>
      <c r="T9" s="2087">
        <v>20000</v>
      </c>
      <c r="U9" s="2087">
        <v>8000</v>
      </c>
      <c r="V9" s="2087">
        <v>8000</v>
      </c>
      <c r="W9" s="2088">
        <v>8000</v>
      </c>
    </row>
    <row r="10" spans="1:23" ht="19.5" thickBot="1">
      <c r="A10" s="2114" t="s">
        <v>698</v>
      </c>
      <c r="B10" s="2112" t="s">
        <v>694</v>
      </c>
      <c r="C10" s="7"/>
      <c r="D10" s="7"/>
      <c r="E10" s="7"/>
      <c r="F10" s="7"/>
      <c r="G10" s="7"/>
      <c r="H10" s="7"/>
      <c r="I10" s="7"/>
      <c r="J10" s="521"/>
      <c r="L10" s="2148" t="s">
        <v>726</v>
      </c>
      <c r="M10" s="2149"/>
      <c r="N10" s="2089">
        <v>2000</v>
      </c>
      <c r="O10" s="2090">
        <v>2000</v>
      </c>
      <c r="P10" s="2090">
        <v>2000</v>
      </c>
      <c r="Q10" s="2090">
        <v>2000</v>
      </c>
      <c r="R10" s="2090">
        <v>5000</v>
      </c>
      <c r="S10" s="2090">
        <v>5000</v>
      </c>
      <c r="T10" s="2090">
        <v>20000</v>
      </c>
      <c r="U10" s="2090">
        <v>5000</v>
      </c>
      <c r="V10" s="2090">
        <v>5000</v>
      </c>
      <c r="W10" s="2091">
        <v>5000</v>
      </c>
    </row>
    <row r="11" spans="1:23" ht="16.5" thickBot="1">
      <c r="A11" s="2114"/>
      <c r="B11" s="2112" t="s">
        <v>695</v>
      </c>
      <c r="C11" s="7"/>
      <c r="D11" s="7"/>
      <c r="E11" s="7"/>
      <c r="F11" s="7"/>
      <c r="G11" s="7"/>
      <c r="H11" s="7"/>
      <c r="I11" s="7"/>
      <c r="J11" s="521"/>
    </row>
    <row r="12" spans="1:23" ht="15.75">
      <c r="A12" s="152" t="s">
        <v>696</v>
      </c>
      <c r="B12" s="2111" t="s">
        <v>699</v>
      </c>
      <c r="C12" s="96"/>
      <c r="D12" s="96"/>
      <c r="E12" s="96"/>
      <c r="F12" s="96"/>
      <c r="G12" s="96"/>
      <c r="H12" s="96"/>
      <c r="I12" s="96"/>
      <c r="J12" s="48"/>
      <c r="L12" s="2079" t="s">
        <v>727</v>
      </c>
      <c r="M12" s="2079"/>
      <c r="N12" s="2101"/>
      <c r="O12" s="2079"/>
      <c r="P12" s="2079"/>
      <c r="Q12" s="2079"/>
      <c r="R12" s="2079"/>
      <c r="S12" s="2079"/>
      <c r="T12" s="2079"/>
      <c r="U12" s="2079"/>
      <c r="V12" s="2079"/>
      <c r="W12" s="2079"/>
    </row>
    <row r="13" spans="1:23" ht="19.5" thickBot="1">
      <c r="A13" s="2114" t="s">
        <v>700</v>
      </c>
      <c r="B13" s="2112" t="s">
        <v>702</v>
      </c>
      <c r="C13" s="7"/>
      <c r="D13" s="7"/>
      <c r="E13" s="7"/>
      <c r="F13" s="7"/>
      <c r="G13" s="7"/>
      <c r="H13" s="7"/>
      <c r="I13" s="7"/>
      <c r="J13" s="521"/>
      <c r="L13" s="2079"/>
      <c r="M13" s="2079"/>
      <c r="N13" s="2079"/>
      <c r="O13" s="2079"/>
      <c r="P13" s="2079"/>
      <c r="Q13" s="2079"/>
      <c r="R13" s="2079"/>
      <c r="S13" s="2079"/>
      <c r="T13" s="2079"/>
      <c r="U13" s="2079"/>
      <c r="V13" s="2079"/>
      <c r="W13" s="2079"/>
    </row>
    <row r="14" spans="1:23" ht="18.75">
      <c r="A14" s="2115" t="s">
        <v>701</v>
      </c>
      <c r="B14" s="2112" t="s">
        <v>703</v>
      </c>
      <c r="C14" s="7"/>
      <c r="D14" s="7"/>
      <c r="E14" s="7"/>
      <c r="F14" s="7"/>
      <c r="G14" s="7"/>
      <c r="H14" s="7"/>
      <c r="I14" s="7"/>
      <c r="J14" s="521"/>
      <c r="L14" s="2150" t="s">
        <v>728</v>
      </c>
      <c r="M14" s="2151"/>
      <c r="N14" s="2107" t="s">
        <v>729</v>
      </c>
      <c r="O14" s="2107">
        <v>120</v>
      </c>
      <c r="P14" s="2107">
        <v>300</v>
      </c>
      <c r="Q14" s="2107" t="s">
        <v>730</v>
      </c>
      <c r="R14" s="2106" t="s">
        <v>731</v>
      </c>
      <c r="S14" s="2079"/>
      <c r="T14" s="2079"/>
      <c r="U14" s="2079"/>
      <c r="V14" s="2079"/>
      <c r="W14" s="2079"/>
    </row>
    <row r="15" spans="1:23" ht="15.75">
      <c r="A15" s="2114" t="s">
        <v>706</v>
      </c>
      <c r="B15" s="2112" t="s">
        <v>707</v>
      </c>
      <c r="C15" s="7"/>
      <c r="D15" s="7"/>
      <c r="E15" s="7"/>
      <c r="F15" s="7"/>
      <c r="G15" s="7"/>
      <c r="H15" s="7"/>
      <c r="I15" s="7"/>
      <c r="J15" s="521"/>
      <c r="L15" s="2146" t="s">
        <v>712</v>
      </c>
      <c r="M15" s="2152"/>
      <c r="N15" s="2097">
        <v>0.8</v>
      </c>
      <c r="O15" s="2097">
        <v>1</v>
      </c>
      <c r="P15" s="2097">
        <v>1.1000000000000001</v>
      </c>
      <c r="Q15" s="2097">
        <v>1.3</v>
      </c>
      <c r="R15" s="2098">
        <v>1.4</v>
      </c>
      <c r="S15" s="2079"/>
      <c r="T15" s="2079"/>
      <c r="U15" s="2079"/>
      <c r="V15" s="2079"/>
      <c r="W15" s="2079"/>
    </row>
    <row r="16" spans="1:23" ht="19.5" thickBot="1">
      <c r="A16" s="2116" t="s">
        <v>704</v>
      </c>
      <c r="B16" s="2113" t="s">
        <v>708</v>
      </c>
      <c r="C16" s="522"/>
      <c r="D16" s="522"/>
      <c r="E16" s="522"/>
      <c r="F16" s="522"/>
      <c r="G16" s="522"/>
      <c r="H16" s="522"/>
      <c r="I16" s="522"/>
      <c r="J16" s="523"/>
      <c r="L16" s="2146" t="s">
        <v>732</v>
      </c>
      <c r="M16" s="2152"/>
      <c r="N16" s="2097">
        <v>0.8</v>
      </c>
      <c r="O16" s="2097">
        <v>1</v>
      </c>
      <c r="P16" s="2097">
        <v>1.1000000000000001</v>
      </c>
      <c r="Q16" s="2097">
        <v>1.3</v>
      </c>
      <c r="R16" s="2098">
        <v>1.4</v>
      </c>
      <c r="S16" s="2079"/>
      <c r="T16" s="2079"/>
      <c r="U16" s="2079"/>
      <c r="V16" s="2079"/>
      <c r="W16" s="2079"/>
    </row>
    <row r="17" spans="1:18" ht="19.5" thickBot="1">
      <c r="A17" s="2118" t="s">
        <v>748</v>
      </c>
      <c r="B17" s="2119" t="s">
        <v>747</v>
      </c>
      <c r="C17" s="44"/>
      <c r="D17" s="44"/>
      <c r="E17" s="44"/>
      <c r="F17" s="44"/>
      <c r="G17" s="44"/>
      <c r="H17" s="44"/>
      <c r="I17" s="44"/>
      <c r="J17" s="6"/>
      <c r="L17" s="2153" t="s">
        <v>733</v>
      </c>
      <c r="M17" s="2154"/>
      <c r="N17" s="2097">
        <v>0.7</v>
      </c>
      <c r="O17" s="2097">
        <v>1</v>
      </c>
      <c r="P17" s="2097">
        <v>1.1000000000000001</v>
      </c>
      <c r="Q17" s="2097">
        <v>1.3</v>
      </c>
      <c r="R17" s="2098">
        <v>1.4</v>
      </c>
    </row>
    <row r="18" spans="1:18" ht="14.25">
      <c r="L18" s="2146" t="s">
        <v>734</v>
      </c>
      <c r="M18" s="2152"/>
      <c r="N18" s="2097">
        <v>0.7</v>
      </c>
      <c r="O18" s="2097">
        <v>1</v>
      </c>
      <c r="P18" s="2097">
        <v>1.1000000000000001</v>
      </c>
      <c r="Q18" s="2097">
        <v>1.3</v>
      </c>
      <c r="R18" s="2098">
        <v>1.4</v>
      </c>
    </row>
    <row r="19" spans="1:18" ht="15.75">
      <c r="A19" s="2120" t="s">
        <v>752</v>
      </c>
      <c r="B19" s="1"/>
      <c r="C19" s="1">
        <v>350</v>
      </c>
      <c r="D19" s="591" t="s">
        <v>53</v>
      </c>
      <c r="E19" s="1"/>
      <c r="L19" s="2146" t="s">
        <v>735</v>
      </c>
      <c r="M19" s="2152"/>
      <c r="N19" s="2097">
        <v>0.7</v>
      </c>
      <c r="O19" s="2097">
        <v>1</v>
      </c>
      <c r="P19" s="2097">
        <v>1.1000000000000001</v>
      </c>
      <c r="Q19" s="2097">
        <v>1.3</v>
      </c>
      <c r="R19" s="2098">
        <v>1.4</v>
      </c>
    </row>
    <row r="20" spans="1:18" ht="15.75">
      <c r="A20" s="2121" t="s">
        <v>706</v>
      </c>
      <c r="B20" s="1"/>
      <c r="C20" s="1">
        <v>14</v>
      </c>
      <c r="D20" s="591" t="s">
        <v>22</v>
      </c>
      <c r="E20" s="1"/>
      <c r="L20" s="2146" t="s">
        <v>736</v>
      </c>
      <c r="M20" s="2152"/>
      <c r="N20" s="2097">
        <v>0.7</v>
      </c>
      <c r="O20" s="2097">
        <v>1</v>
      </c>
      <c r="P20" s="2097">
        <v>1.1000000000000001</v>
      </c>
      <c r="Q20" s="2097">
        <v>1.3</v>
      </c>
      <c r="R20" s="2098">
        <v>1.4</v>
      </c>
    </row>
    <row r="21" spans="1:18" ht="18.75">
      <c r="A21" s="2121" t="s">
        <v>700</v>
      </c>
      <c r="B21" s="1"/>
      <c r="C21" s="1">
        <v>40</v>
      </c>
      <c r="D21" s="591" t="s">
        <v>709</v>
      </c>
      <c r="E21" s="1"/>
      <c r="L21" s="2146" t="s">
        <v>737</v>
      </c>
      <c r="M21" s="2152"/>
      <c r="N21" s="2097">
        <v>0.7</v>
      </c>
      <c r="O21" s="2097">
        <v>1</v>
      </c>
      <c r="P21" s="2097">
        <v>1.1000000000000001</v>
      </c>
      <c r="Q21" s="2097">
        <v>1.3</v>
      </c>
      <c r="R21" s="2098">
        <v>1.4</v>
      </c>
    </row>
    <row r="22" spans="1:18" ht="15.75">
      <c r="A22" s="2120" t="s">
        <v>753</v>
      </c>
      <c r="B22" s="1"/>
      <c r="C22" s="1">
        <v>400</v>
      </c>
      <c r="D22" s="591" t="s">
        <v>53</v>
      </c>
      <c r="E22" s="2122" t="s">
        <v>751</v>
      </c>
      <c r="L22" s="2146" t="s">
        <v>738</v>
      </c>
      <c r="M22" s="2152"/>
      <c r="N22" s="2097">
        <v>0.7</v>
      </c>
      <c r="O22" s="2097">
        <v>1</v>
      </c>
      <c r="P22" s="2097">
        <v>1.1000000000000001</v>
      </c>
      <c r="Q22" s="2097">
        <v>1.3</v>
      </c>
      <c r="R22" s="2098">
        <v>1.4</v>
      </c>
    </row>
    <row r="23" spans="1:18" ht="18.75">
      <c r="A23" s="2121" t="s">
        <v>697</v>
      </c>
      <c r="B23" s="1"/>
      <c r="C23" s="1">
        <v>4000</v>
      </c>
      <c r="D23" s="591" t="s">
        <v>746</v>
      </c>
      <c r="E23" s="2122" t="s">
        <v>751</v>
      </c>
      <c r="L23" s="2146" t="s">
        <v>718</v>
      </c>
      <c r="M23" s="2152"/>
      <c r="N23" s="2097">
        <v>0.7</v>
      </c>
      <c r="O23" s="2097">
        <v>1</v>
      </c>
      <c r="P23" s="2097">
        <v>1.1000000000000001</v>
      </c>
      <c r="Q23" s="2097">
        <v>1.3</v>
      </c>
      <c r="R23" s="2098">
        <v>1.4</v>
      </c>
    </row>
    <row r="24" spans="1:18" ht="18.75">
      <c r="A24" s="2121" t="s">
        <v>698</v>
      </c>
      <c r="B24" s="1"/>
      <c r="C24" s="1">
        <v>90</v>
      </c>
      <c r="D24" s="591" t="s">
        <v>709</v>
      </c>
      <c r="E24" s="2122" t="s">
        <v>751</v>
      </c>
      <c r="F24">
        <v>31</v>
      </c>
      <c r="L24" s="2146" t="s">
        <v>719</v>
      </c>
      <c r="M24" s="2152"/>
      <c r="N24" s="2097">
        <v>0.7</v>
      </c>
      <c r="O24" s="2097">
        <v>1</v>
      </c>
      <c r="P24" s="2097">
        <v>1.1000000000000001</v>
      </c>
      <c r="Q24" s="2097">
        <v>1.3</v>
      </c>
      <c r="R24" s="2098">
        <v>1.4</v>
      </c>
    </row>
    <row r="25" spans="1:18" ht="19.5" thickBot="1">
      <c r="A25" s="2123" t="s">
        <v>701</v>
      </c>
      <c r="B25" s="1"/>
      <c r="C25" s="1">
        <v>31</v>
      </c>
      <c r="D25" s="591" t="s">
        <v>745</v>
      </c>
      <c r="E25" s="2122" t="s">
        <v>751</v>
      </c>
      <c r="L25" s="2148" t="s">
        <v>720</v>
      </c>
      <c r="M25" s="2155"/>
      <c r="N25" s="2099">
        <v>0.7</v>
      </c>
      <c r="O25" s="2099">
        <v>1</v>
      </c>
      <c r="P25" s="2099">
        <v>1.1000000000000001</v>
      </c>
      <c r="Q25" s="2099">
        <v>1.3</v>
      </c>
      <c r="R25" s="2100">
        <v>1.4</v>
      </c>
    </row>
    <row r="26" spans="1:18" ht="19.5" thickBot="1">
      <c r="A26" s="2120" t="s">
        <v>748</v>
      </c>
      <c r="B26" s="1"/>
      <c r="C26" s="1">
        <v>22.2</v>
      </c>
      <c r="D26" s="591" t="s">
        <v>22</v>
      </c>
      <c r="E26" s="2122" t="s">
        <v>751</v>
      </c>
      <c r="L26" s="2156"/>
      <c r="M26" s="2156"/>
      <c r="N26" s="2079"/>
      <c r="O26" s="2079"/>
      <c r="P26" s="2079"/>
      <c r="Q26" s="2079"/>
      <c r="R26" s="2079"/>
    </row>
    <row r="27" spans="1:18" ht="18.75">
      <c r="A27" s="2121" t="s">
        <v>744</v>
      </c>
      <c r="B27" s="1"/>
      <c r="C27" s="1">
        <v>1</v>
      </c>
      <c r="D27" s="591"/>
      <c r="E27" s="2122" t="s">
        <v>751</v>
      </c>
      <c r="F27">
        <v>1</v>
      </c>
      <c r="L27" s="2150" t="s">
        <v>739</v>
      </c>
      <c r="M27" s="2151"/>
      <c r="N27" s="2107">
        <v>40</v>
      </c>
      <c r="O27" s="2107">
        <v>60</v>
      </c>
      <c r="P27" s="2107">
        <v>70</v>
      </c>
      <c r="Q27" s="2107">
        <v>85</v>
      </c>
      <c r="R27" s="2106">
        <v>105</v>
      </c>
    </row>
    <row r="28" spans="1:18" ht="14.25">
      <c r="A28" s="2124" t="s">
        <v>743</v>
      </c>
      <c r="B28" s="1"/>
      <c r="C28" s="1">
        <v>1.1000000000000001</v>
      </c>
      <c r="D28" s="3"/>
      <c r="E28" s="2122" t="s">
        <v>751</v>
      </c>
      <c r="L28" s="2146" t="s">
        <v>712</v>
      </c>
      <c r="M28" s="2152"/>
      <c r="N28" s="2102">
        <v>1</v>
      </c>
      <c r="O28" s="2102">
        <v>0.81</v>
      </c>
      <c r="P28" s="2102" t="s">
        <v>139</v>
      </c>
      <c r="Q28" s="2102">
        <v>0.62</v>
      </c>
      <c r="R28" s="2103" t="s">
        <v>139</v>
      </c>
    </row>
    <row r="29" spans="1:18" ht="14.25">
      <c r="A29" s="2124"/>
      <c r="B29" s="1"/>
      <c r="C29" s="1"/>
      <c r="D29" s="3"/>
      <c r="E29" s="2122"/>
      <c r="L29" s="2108"/>
      <c r="M29" s="2109"/>
      <c r="N29" s="2102"/>
      <c r="O29" s="2102"/>
      <c r="P29" s="2102"/>
      <c r="Q29" s="2102"/>
      <c r="R29" s="2103"/>
    </row>
    <row r="30" spans="1:18" ht="18.75">
      <c r="A30" s="2121" t="s">
        <v>704</v>
      </c>
      <c r="B30" s="1"/>
      <c r="C30" s="21">
        <f>C26*C27*C28</f>
        <v>24.42</v>
      </c>
      <c r="D30" s="3"/>
      <c r="E30" s="2124" t="s">
        <v>754</v>
      </c>
      <c r="L30" s="2146" t="s">
        <v>740</v>
      </c>
      <c r="M30" s="2152"/>
      <c r="N30" s="2102">
        <v>4.9000000000000004</v>
      </c>
      <c r="O30" s="2102" t="s">
        <v>741</v>
      </c>
      <c r="P30" s="2102">
        <v>3</v>
      </c>
      <c r="Q30" s="2102">
        <v>1.8</v>
      </c>
      <c r="R30" s="2103">
        <v>1</v>
      </c>
    </row>
    <row r="31" spans="1:18" ht="16.5" thickBot="1">
      <c r="A31" s="2125" t="s">
        <v>696</v>
      </c>
      <c r="B31" s="2126"/>
      <c r="C31" s="2127">
        <f>C21+C25*(C20/C30)^2</f>
        <v>50.188879967749742</v>
      </c>
      <c r="D31" s="2128" t="s">
        <v>709</v>
      </c>
      <c r="E31" s="2129" t="s">
        <v>754</v>
      </c>
      <c r="L31" s="2153" t="s">
        <v>733</v>
      </c>
      <c r="M31" s="2154"/>
      <c r="N31" s="2102">
        <v>1</v>
      </c>
      <c r="O31" s="2102">
        <v>0.75</v>
      </c>
      <c r="P31" s="2102">
        <v>0.62</v>
      </c>
      <c r="Q31" s="2102">
        <v>0.37</v>
      </c>
      <c r="R31" s="2103" t="s">
        <v>139</v>
      </c>
    </row>
    <row r="32" spans="1:18" ht="15.75">
      <c r="A32" s="2130" t="s">
        <v>691</v>
      </c>
      <c r="B32" s="493"/>
      <c r="C32" s="493">
        <f>C23*2^((C24-C31)/10)*(C22/C19)^2.5</f>
        <v>88201.097232220898</v>
      </c>
      <c r="D32" s="221" t="s">
        <v>746</v>
      </c>
      <c r="E32" s="141" t="s">
        <v>754</v>
      </c>
      <c r="L32" s="2146" t="s">
        <v>735</v>
      </c>
      <c r="M32" s="2152"/>
      <c r="N32" s="2102">
        <v>1.89</v>
      </c>
      <c r="O32" s="2102">
        <v>1.67</v>
      </c>
      <c r="P32" s="2102" t="s">
        <v>139</v>
      </c>
      <c r="Q32" s="2102">
        <v>1</v>
      </c>
      <c r="R32" s="2103" t="s">
        <v>139</v>
      </c>
    </row>
    <row r="33" spans="1:18" ht="14.25">
      <c r="A33" s="58"/>
      <c r="B33" s="1"/>
      <c r="C33" s="23">
        <f>C32/24</f>
        <v>3675.0457180092039</v>
      </c>
      <c r="D33" s="591" t="s">
        <v>749</v>
      </c>
      <c r="E33" s="494"/>
      <c r="L33" s="2146" t="s">
        <v>736</v>
      </c>
      <c r="M33" s="2152"/>
      <c r="N33" s="2102">
        <v>1.89</v>
      </c>
      <c r="O33" s="2102">
        <v>1.67</v>
      </c>
      <c r="P33" s="2102" t="s">
        <v>139</v>
      </c>
      <c r="Q33" s="2102">
        <v>1</v>
      </c>
      <c r="R33" s="2103" t="s">
        <v>139</v>
      </c>
    </row>
    <row r="34" spans="1:18" ht="15" thickBot="1">
      <c r="A34" s="495"/>
      <c r="B34" s="496"/>
      <c r="C34" s="2131">
        <f>C33/365</f>
        <v>10.068618405504669</v>
      </c>
      <c r="D34" s="870" t="s">
        <v>750</v>
      </c>
      <c r="E34" s="497"/>
      <c r="L34" s="2146" t="s">
        <v>737</v>
      </c>
      <c r="M34" s="2152"/>
      <c r="N34" s="2102">
        <v>2.44</v>
      </c>
      <c r="O34" s="2102">
        <v>2.16</v>
      </c>
      <c r="P34" s="2102" t="s">
        <v>139</v>
      </c>
      <c r="Q34" s="2102">
        <v>2</v>
      </c>
      <c r="R34" s="2103">
        <v>1</v>
      </c>
    </row>
    <row r="35" spans="1:18" ht="14.25">
      <c r="L35" s="2146" t="s">
        <v>738</v>
      </c>
      <c r="M35" s="2152"/>
      <c r="N35" s="2102">
        <v>2.44</v>
      </c>
      <c r="O35" s="2102">
        <v>2.16</v>
      </c>
      <c r="P35" s="2102" t="s">
        <v>139</v>
      </c>
      <c r="Q35" s="2102">
        <v>2</v>
      </c>
      <c r="R35" s="2103">
        <v>1</v>
      </c>
    </row>
    <row r="36" spans="1:18" ht="14.25">
      <c r="L36" s="2146" t="s">
        <v>718</v>
      </c>
      <c r="M36" s="2152"/>
      <c r="N36" s="2102">
        <v>2.44</v>
      </c>
      <c r="O36" s="2102">
        <v>2.16</v>
      </c>
      <c r="P36" s="2102" t="s">
        <v>139</v>
      </c>
      <c r="Q36" s="2102">
        <v>1</v>
      </c>
      <c r="R36" s="2103" t="s">
        <v>139</v>
      </c>
    </row>
    <row r="37" spans="1:18" ht="14.25">
      <c r="L37" s="2146" t="s">
        <v>719</v>
      </c>
      <c r="M37" s="2152"/>
      <c r="N37" s="2102">
        <v>1.89</v>
      </c>
      <c r="O37" s="2102">
        <v>1.67</v>
      </c>
      <c r="P37" s="2102" t="s">
        <v>139</v>
      </c>
      <c r="Q37" s="2102">
        <v>1</v>
      </c>
      <c r="R37" s="2103" t="s">
        <v>139</v>
      </c>
    </row>
    <row r="38" spans="1:18" ht="15" thickBot="1">
      <c r="L38" s="2148" t="s">
        <v>720</v>
      </c>
      <c r="M38" s="2155"/>
      <c r="N38" s="2104">
        <v>2.44</v>
      </c>
      <c r="O38" s="2104">
        <v>2.16</v>
      </c>
      <c r="P38" s="2104" t="s">
        <v>139</v>
      </c>
      <c r="Q38" s="2104">
        <v>2</v>
      </c>
      <c r="R38" s="2105">
        <v>1</v>
      </c>
    </row>
    <row r="43" spans="1:18" ht="15.75">
      <c r="A43" s="2120" t="s">
        <v>752</v>
      </c>
      <c r="B43" s="1"/>
      <c r="C43" s="1">
        <v>300</v>
      </c>
      <c r="D43" s="591" t="s">
        <v>53</v>
      </c>
      <c r="E43" s="1"/>
      <c r="K43" s="2120" t="s">
        <v>752</v>
      </c>
      <c r="L43" s="1"/>
      <c r="M43" s="1">
        <v>135</v>
      </c>
      <c r="N43" s="591" t="s">
        <v>53</v>
      </c>
      <c r="O43" s="1"/>
    </row>
    <row r="44" spans="1:18" ht="15.75">
      <c r="A44" s="2121" t="s">
        <v>706</v>
      </c>
      <c r="B44" s="1"/>
      <c r="C44" s="1">
        <v>9</v>
      </c>
      <c r="D44" s="591" t="s">
        <v>22</v>
      </c>
      <c r="E44" s="1"/>
      <c r="K44" s="2121" t="s">
        <v>706</v>
      </c>
      <c r="L44" s="1"/>
      <c r="M44" s="1">
        <v>15</v>
      </c>
      <c r="N44" s="591" t="s">
        <v>22</v>
      </c>
      <c r="O44" s="1"/>
    </row>
    <row r="45" spans="1:18" ht="18.75">
      <c r="A45" s="2121" t="s">
        <v>700</v>
      </c>
      <c r="B45" s="1"/>
      <c r="C45" s="1">
        <v>55</v>
      </c>
      <c r="D45" s="591" t="s">
        <v>709</v>
      </c>
      <c r="E45" s="1"/>
      <c r="K45" s="2121" t="s">
        <v>700</v>
      </c>
      <c r="L45" s="1"/>
      <c r="M45" s="1">
        <v>55</v>
      </c>
      <c r="N45" s="591" t="s">
        <v>709</v>
      </c>
      <c r="O45" s="1"/>
    </row>
    <row r="46" spans="1:18" ht="15.75">
      <c r="A46" s="2120" t="s">
        <v>753</v>
      </c>
      <c r="B46" s="1"/>
      <c r="C46" s="1">
        <v>450</v>
      </c>
      <c r="D46" s="591" t="s">
        <v>53</v>
      </c>
      <c r="E46" s="2122" t="s">
        <v>751</v>
      </c>
      <c r="G46">
        <f>C46/C43</f>
        <v>1.5</v>
      </c>
      <c r="K46" s="2120" t="s">
        <v>753</v>
      </c>
      <c r="L46" s="1"/>
      <c r="M46" s="1">
        <v>200</v>
      </c>
      <c r="N46" s="591" t="s">
        <v>53</v>
      </c>
      <c r="O46" s="2122" t="s">
        <v>751</v>
      </c>
    </row>
    <row r="47" spans="1:18" ht="18.75">
      <c r="A47" s="2121" t="s">
        <v>697</v>
      </c>
      <c r="B47" s="1"/>
      <c r="C47" s="1">
        <v>4000</v>
      </c>
      <c r="D47" s="591" t="s">
        <v>746</v>
      </c>
      <c r="E47" s="2122" t="s">
        <v>751</v>
      </c>
      <c r="K47" s="2121" t="s">
        <v>697</v>
      </c>
      <c r="L47" s="1"/>
      <c r="M47" s="1">
        <v>4000</v>
      </c>
      <c r="N47" s="591" t="s">
        <v>746</v>
      </c>
      <c r="O47" s="2122" t="s">
        <v>751</v>
      </c>
    </row>
    <row r="48" spans="1:18" ht="18.75">
      <c r="A48" s="2121" t="s">
        <v>698</v>
      </c>
      <c r="B48" s="1"/>
      <c r="C48" s="1">
        <v>90</v>
      </c>
      <c r="D48" s="591" t="s">
        <v>709</v>
      </c>
      <c r="E48" s="2122" t="s">
        <v>751</v>
      </c>
      <c r="K48" s="2121" t="s">
        <v>698</v>
      </c>
      <c r="L48" s="1"/>
      <c r="M48" s="1">
        <v>90</v>
      </c>
      <c r="N48" s="591" t="s">
        <v>709</v>
      </c>
      <c r="O48" s="2122" t="s">
        <v>751</v>
      </c>
    </row>
    <row r="49" spans="1:17" ht="18.75">
      <c r="A49" s="2123" t="s">
        <v>701</v>
      </c>
      <c r="B49" s="1"/>
      <c r="C49" s="1">
        <v>19</v>
      </c>
      <c r="D49" s="591" t="s">
        <v>745</v>
      </c>
      <c r="E49" s="2122" t="s">
        <v>751</v>
      </c>
      <c r="K49" s="2123" t="s">
        <v>701</v>
      </c>
      <c r="L49" s="1"/>
      <c r="M49" s="1">
        <v>19</v>
      </c>
      <c r="N49" s="591" t="s">
        <v>745</v>
      </c>
      <c r="O49" s="2122" t="s">
        <v>751</v>
      </c>
    </row>
    <row r="50" spans="1:17" ht="18.75">
      <c r="A50" s="2120" t="s">
        <v>748</v>
      </c>
      <c r="B50" s="1"/>
      <c r="C50" s="1">
        <v>15.8</v>
      </c>
      <c r="D50" s="591" t="s">
        <v>22</v>
      </c>
      <c r="E50" s="2122" t="s">
        <v>751</v>
      </c>
      <c r="K50" s="2120" t="s">
        <v>748</v>
      </c>
      <c r="L50" s="1"/>
      <c r="M50" s="1">
        <v>28</v>
      </c>
      <c r="N50" s="591" t="s">
        <v>22</v>
      </c>
      <c r="O50" s="2122" t="s">
        <v>751</v>
      </c>
    </row>
    <row r="51" spans="1:17" ht="18.75">
      <c r="A51" s="2121" t="s">
        <v>744</v>
      </c>
      <c r="B51" s="1"/>
      <c r="C51" s="1">
        <v>0.75</v>
      </c>
      <c r="D51" s="591"/>
      <c r="E51" s="2122" t="s">
        <v>751</v>
      </c>
      <c r="K51" s="2121" t="s">
        <v>744</v>
      </c>
      <c r="L51" s="1"/>
      <c r="M51" s="1">
        <v>0.75</v>
      </c>
      <c r="N51" s="591"/>
      <c r="O51" s="2122" t="s">
        <v>751</v>
      </c>
    </row>
    <row r="52" spans="1:17">
      <c r="A52" s="2124" t="s">
        <v>743</v>
      </c>
      <c r="B52" s="1"/>
      <c r="C52" s="1">
        <v>1.1000000000000001</v>
      </c>
      <c r="D52" s="3"/>
      <c r="E52" s="2122" t="s">
        <v>751</v>
      </c>
      <c r="K52" s="2124" t="s">
        <v>743</v>
      </c>
      <c r="L52" s="1"/>
      <c r="M52" s="1">
        <v>1.1000000000000001</v>
      </c>
      <c r="N52" s="3"/>
      <c r="O52" s="2122" t="s">
        <v>751</v>
      </c>
    </row>
    <row r="53" spans="1:17">
      <c r="A53" s="2124"/>
      <c r="B53" s="1"/>
      <c r="C53" s="1"/>
      <c r="D53" s="3"/>
      <c r="E53" s="2122"/>
      <c r="K53" s="2124"/>
      <c r="L53" s="1"/>
      <c r="M53" s="1"/>
      <c r="N53" s="3"/>
      <c r="O53" s="2122"/>
    </row>
    <row r="54" spans="1:17" ht="18.75">
      <c r="A54" s="2121" t="s">
        <v>704</v>
      </c>
      <c r="B54" s="1"/>
      <c r="C54" s="21">
        <f>C50*C51*C52</f>
        <v>13.035000000000002</v>
      </c>
      <c r="D54" s="3"/>
      <c r="E54" s="2124" t="s">
        <v>754</v>
      </c>
      <c r="K54" s="2121" t="s">
        <v>704</v>
      </c>
      <c r="L54" s="1"/>
      <c r="M54" s="21">
        <f>M50*M51*M52</f>
        <v>23.1</v>
      </c>
      <c r="N54" s="3"/>
      <c r="O54" s="2124" t="s">
        <v>754</v>
      </c>
    </row>
    <row r="55" spans="1:17" ht="16.5" thickBot="1">
      <c r="A55" s="2125" t="s">
        <v>696</v>
      </c>
      <c r="B55" s="2126"/>
      <c r="C55" s="2127">
        <f>C45+C49*(C44/C54)^2</f>
        <v>64.057671145623246</v>
      </c>
      <c r="D55" s="2128" t="s">
        <v>709</v>
      </c>
      <c r="E55" s="2129" t="s">
        <v>754</v>
      </c>
      <c r="K55" s="2125" t="s">
        <v>696</v>
      </c>
      <c r="L55" s="2126"/>
      <c r="M55" s="2127">
        <f>M45+M49*(M44/M54)^2</f>
        <v>63.011469050430087</v>
      </c>
      <c r="N55" s="2128" t="s">
        <v>709</v>
      </c>
      <c r="O55" s="2129" t="s">
        <v>754</v>
      </c>
      <c r="Q55" s="491">
        <f>M45-M55</f>
        <v>-8.0114690504300867</v>
      </c>
    </row>
    <row r="56" spans="1:17" ht="15.75">
      <c r="A56" s="2130" t="s">
        <v>691</v>
      </c>
      <c r="B56" s="493"/>
      <c r="C56" s="493">
        <f>C47*2^((C48-C55)/10)*(C46/C43)^2.5</f>
        <v>66562.565613588973</v>
      </c>
      <c r="D56" s="221" t="s">
        <v>746</v>
      </c>
      <c r="E56" s="141" t="s">
        <v>754</v>
      </c>
      <c r="F56">
        <f>C56/80</f>
        <v>832.03207016986221</v>
      </c>
      <c r="K56" s="2130" t="s">
        <v>691</v>
      </c>
      <c r="L56" s="493"/>
      <c r="M56" s="493">
        <f>M47*2^((M48-M55)/10)*(M46/M43)^2.5</f>
        <v>69380.31938235322</v>
      </c>
      <c r="N56" s="221" t="s">
        <v>746</v>
      </c>
      <c r="O56" s="141" t="s">
        <v>754</v>
      </c>
    </row>
    <row r="57" spans="1:17">
      <c r="A57" s="58"/>
      <c r="B57" s="1"/>
      <c r="C57" s="23">
        <f>C56/24</f>
        <v>2773.4402338995405</v>
      </c>
      <c r="D57" s="591" t="s">
        <v>749</v>
      </c>
      <c r="E57" s="494"/>
      <c r="K57" s="58"/>
      <c r="L57" s="1"/>
      <c r="M57" s="23">
        <f>M56/24</f>
        <v>2890.8466409313842</v>
      </c>
      <c r="N57" s="591" t="s">
        <v>749</v>
      </c>
      <c r="O57" s="494"/>
      <c r="Q57">
        <f>20*365*24</f>
        <v>175200</v>
      </c>
    </row>
    <row r="58" spans="1:17" ht="13.5" thickBot="1">
      <c r="A58" s="495"/>
      <c r="B58" s="496"/>
      <c r="C58" s="2131">
        <f>C57/365</f>
        <v>7.5984663942453166</v>
      </c>
      <c r="D58" s="870" t="s">
        <v>750</v>
      </c>
      <c r="E58" s="497"/>
      <c r="K58" s="495"/>
      <c r="L58" s="496"/>
      <c r="M58" s="2131">
        <f>M57/365</f>
        <v>7.9201277833736556</v>
      </c>
      <c r="N58" s="870" t="s">
        <v>750</v>
      </c>
      <c r="O58" s="497"/>
    </row>
  </sheetData>
  <mergeCells count="28">
    <mergeCell ref="L37:M37"/>
    <mergeCell ref="L38:M38"/>
    <mergeCell ref="L33:M33"/>
    <mergeCell ref="L34:M34"/>
    <mergeCell ref="L35:M35"/>
    <mergeCell ref="L36:M36"/>
    <mergeCell ref="L26:M26"/>
    <mergeCell ref="L27:M27"/>
    <mergeCell ref="L28:M28"/>
    <mergeCell ref="L30:M30"/>
    <mergeCell ref="L32:M32"/>
    <mergeCell ref="L31:M31"/>
    <mergeCell ref="L23:M23"/>
    <mergeCell ref="L25:M25"/>
    <mergeCell ref="L24:M24"/>
    <mergeCell ref="L19:M19"/>
    <mergeCell ref="L20:M20"/>
    <mergeCell ref="L21:M21"/>
    <mergeCell ref="L15:M15"/>
    <mergeCell ref="L17:M17"/>
    <mergeCell ref="L18:M18"/>
    <mergeCell ref="L22:M22"/>
    <mergeCell ref="L16:M16"/>
    <mergeCell ref="L3:L7"/>
    <mergeCell ref="L8:M8"/>
    <mergeCell ref="L9:M9"/>
    <mergeCell ref="L10:M10"/>
    <mergeCell ref="L14:M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17"/>
    <pageSetUpPr fitToPage="1"/>
  </sheetPr>
  <dimension ref="A1:AT268"/>
  <sheetViews>
    <sheetView tabSelected="1" topLeftCell="A193" zoomScaleNormal="100" workbookViewId="0">
      <selection activeCell="H215" sqref="H215"/>
    </sheetView>
  </sheetViews>
  <sheetFormatPr baseColWidth="10" defaultColWidth="9.140625" defaultRowHeight="12.75"/>
  <cols>
    <col min="1" max="2" width="7.28515625" customWidth="1"/>
    <col min="4" max="6" width="7.28515625" customWidth="1"/>
    <col min="7" max="7" width="7.7109375" customWidth="1"/>
    <col min="8" max="8" width="9" customWidth="1"/>
    <col min="9" max="9" width="7.28515625" customWidth="1"/>
    <col min="10" max="10" width="8" customWidth="1"/>
    <col min="11" max="13" width="7.28515625" customWidth="1"/>
    <col min="14" max="14" width="8.42578125" customWidth="1"/>
    <col min="15" max="15" width="7.28515625" style="330" customWidth="1"/>
    <col min="16" max="17" width="7.28515625" customWidth="1"/>
    <col min="18" max="18" width="7.28515625" style="330" customWidth="1"/>
    <col min="19" max="20" width="7.28515625" customWidth="1"/>
    <col min="21" max="21" width="7.28515625" style="330" customWidth="1"/>
    <col min="22" max="23" width="7.28515625" customWidth="1"/>
    <col min="24" max="24" width="9" style="330" customWidth="1"/>
    <col min="25" max="26" width="7.28515625" customWidth="1"/>
    <col min="27" max="27" width="7.28515625" style="330" customWidth="1"/>
    <col min="28" max="29" width="8.28515625" customWidth="1"/>
    <col min="30" max="30" width="7.28515625" style="330" customWidth="1"/>
    <col min="31" max="35" width="7.28515625" customWidth="1"/>
  </cols>
  <sheetData>
    <row r="1" spans="1:46" ht="18.75" thickBot="1">
      <c r="A1" s="30" t="s">
        <v>103</v>
      </c>
      <c r="B1" s="31"/>
      <c r="C1" s="161"/>
      <c r="D1" s="6"/>
      <c r="G1" s="432" t="s">
        <v>107</v>
      </c>
    </row>
    <row r="3" spans="1:46" ht="13.5" customHeight="1"/>
    <row r="4" spans="1:46">
      <c r="A4" s="2" t="s">
        <v>23</v>
      </c>
      <c r="B4" s="1" t="s">
        <v>16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21" t="s">
        <v>29</v>
      </c>
      <c r="I4" s="21"/>
      <c r="J4" s="21" t="s">
        <v>18</v>
      </c>
      <c r="K4" s="1" t="s">
        <v>30</v>
      </c>
      <c r="L4" s="1" t="s">
        <v>31</v>
      </c>
      <c r="M4" s="1" t="s">
        <v>32</v>
      </c>
      <c r="N4" s="1" t="s">
        <v>33</v>
      </c>
      <c r="O4" s="12" t="s">
        <v>33</v>
      </c>
      <c r="P4" s="1" t="s">
        <v>33</v>
      </c>
      <c r="Q4" s="1" t="s">
        <v>34</v>
      </c>
      <c r="R4" s="12" t="s">
        <v>14</v>
      </c>
      <c r="S4" s="1" t="s">
        <v>35</v>
      </c>
      <c r="T4" s="1" t="s">
        <v>36</v>
      </c>
      <c r="U4" s="12" t="s">
        <v>37</v>
      </c>
    </row>
    <row r="5" spans="1:46">
      <c r="A5" s="2" t="s">
        <v>40</v>
      </c>
      <c r="B5" s="1" t="s">
        <v>41</v>
      </c>
      <c r="C5" s="1"/>
      <c r="D5" s="1" t="s">
        <v>40</v>
      </c>
      <c r="E5" s="1" t="s">
        <v>40</v>
      </c>
      <c r="F5" s="1" t="s">
        <v>42</v>
      </c>
      <c r="G5" s="1" t="s">
        <v>43</v>
      </c>
      <c r="H5" s="21" t="s">
        <v>44</v>
      </c>
      <c r="I5" s="21"/>
      <c r="J5" s="21" t="s">
        <v>44</v>
      </c>
      <c r="K5" s="1" t="s">
        <v>43</v>
      </c>
      <c r="L5" s="1" t="s">
        <v>42</v>
      </c>
      <c r="M5" s="1" t="s">
        <v>43</v>
      </c>
      <c r="N5" s="1" t="s">
        <v>45</v>
      </c>
      <c r="O5" s="12" t="s">
        <v>46</v>
      </c>
      <c r="P5" s="1" t="s">
        <v>47</v>
      </c>
      <c r="Q5" s="1" t="s">
        <v>41</v>
      </c>
      <c r="R5" s="12" t="s">
        <v>15</v>
      </c>
      <c r="S5" s="1" t="s">
        <v>48</v>
      </c>
      <c r="T5" s="1" t="s">
        <v>48</v>
      </c>
      <c r="U5" s="12" t="s">
        <v>22</v>
      </c>
    </row>
    <row r="6" spans="1:46" ht="13.5" thickBot="1">
      <c r="A6" s="111"/>
      <c r="B6" s="7"/>
      <c r="C6" s="7"/>
      <c r="D6" s="7"/>
      <c r="E6" s="7"/>
      <c r="F6" s="7"/>
      <c r="G6" s="7"/>
      <c r="H6" s="43"/>
      <c r="I6" s="43"/>
      <c r="J6" s="43"/>
      <c r="K6" s="7"/>
      <c r="L6" s="7"/>
      <c r="M6" s="7"/>
      <c r="N6" s="7"/>
      <c r="O6" s="111"/>
      <c r="P6" s="7"/>
      <c r="Q6" s="7"/>
      <c r="R6" s="111"/>
      <c r="S6" s="7"/>
      <c r="T6" s="7"/>
      <c r="U6" s="111"/>
    </row>
    <row r="7" spans="1:46" s="155" customFormat="1" ht="20.100000000000001" customHeight="1" thickBot="1">
      <c r="A7" s="85" t="s">
        <v>77</v>
      </c>
      <c r="B7" s="144"/>
      <c r="C7" s="144"/>
      <c r="D7" s="145"/>
      <c r="E7" s="145"/>
      <c r="F7" s="145"/>
      <c r="G7" s="150"/>
      <c r="H7" s="168" t="s">
        <v>101</v>
      </c>
      <c r="I7" s="148"/>
      <c r="J7" s="148"/>
      <c r="K7" s="148"/>
      <c r="L7" s="149"/>
      <c r="M7" s="1076" t="s">
        <v>83</v>
      </c>
      <c r="N7" s="153"/>
      <c r="O7" s="191"/>
      <c r="P7" s="144"/>
      <c r="Q7" s="144"/>
      <c r="R7" s="327"/>
      <c r="S7" s="144"/>
      <c r="T7" s="144"/>
      <c r="U7" s="150"/>
      <c r="V7" s="85" t="s">
        <v>84</v>
      </c>
      <c r="W7" s="144"/>
      <c r="X7" s="144"/>
      <c r="Y7" s="144"/>
      <c r="Z7" s="144"/>
      <c r="AA7" s="144"/>
      <c r="AB7" s="144"/>
      <c r="AC7" s="144"/>
      <c r="AD7" s="150"/>
      <c r="AE7" s="151" t="s">
        <v>62</v>
      </c>
      <c r="AF7" s="152"/>
      <c r="AG7" s="181" t="s">
        <v>90</v>
      </c>
      <c r="AH7" s="149"/>
      <c r="AI7" s="182" t="s">
        <v>87</v>
      </c>
      <c r="AJ7" s="153"/>
      <c r="AK7" s="153"/>
      <c r="AL7" s="154"/>
      <c r="AM7" s="95" t="s">
        <v>88</v>
      </c>
      <c r="AN7" s="153"/>
      <c r="AO7" s="153"/>
      <c r="AP7" s="153"/>
      <c r="AQ7" s="153"/>
      <c r="AR7" s="150"/>
      <c r="AS7" s="83"/>
    </row>
    <row r="8" spans="1:46" s="120" customFormat="1" ht="20.100000000000001" customHeight="1" thickBot="1">
      <c r="A8" s="121" t="s">
        <v>23</v>
      </c>
      <c r="B8" s="122"/>
      <c r="C8" s="214" t="s">
        <v>76</v>
      </c>
      <c r="D8" s="123"/>
      <c r="E8" s="217" t="s">
        <v>57</v>
      </c>
      <c r="F8" s="218"/>
      <c r="G8" s="219"/>
      <c r="H8" s="126"/>
      <c r="I8" s="116"/>
      <c r="J8" s="116"/>
      <c r="K8" s="116"/>
      <c r="L8" s="117"/>
      <c r="M8" s="118" t="s">
        <v>81</v>
      </c>
      <c r="N8" s="116"/>
      <c r="O8" s="326"/>
      <c r="P8" s="118" t="s">
        <v>82</v>
      </c>
      <c r="Q8" s="116"/>
      <c r="R8" s="326"/>
      <c r="S8" s="118" t="s">
        <v>80</v>
      </c>
      <c r="T8" s="116"/>
      <c r="U8" s="326"/>
      <c r="V8" s="239" t="s">
        <v>78</v>
      </c>
      <c r="W8" s="218"/>
      <c r="X8" s="1172"/>
      <c r="Y8" s="239" t="s">
        <v>79</v>
      </c>
      <c r="Z8" s="218"/>
      <c r="AA8" s="1172"/>
      <c r="AB8" s="243" t="s">
        <v>80</v>
      </c>
      <c r="AC8" s="218"/>
      <c r="AD8" s="1169"/>
      <c r="AE8" s="124"/>
      <c r="AF8" s="125"/>
      <c r="AG8" s="205" t="s">
        <v>94</v>
      </c>
      <c r="AH8" s="179" t="s">
        <v>95</v>
      </c>
      <c r="AI8" s="127"/>
      <c r="AJ8" s="294"/>
      <c r="AK8" s="293" t="s">
        <v>66</v>
      </c>
      <c r="AL8" s="252" t="s">
        <v>66</v>
      </c>
      <c r="AM8" s="243" t="s">
        <v>68</v>
      </c>
      <c r="AN8" s="246"/>
      <c r="AO8" s="246"/>
      <c r="AP8" s="246"/>
      <c r="AQ8" s="219"/>
      <c r="AR8" s="219"/>
      <c r="AS8" s="119"/>
    </row>
    <row r="9" spans="1:46" s="143" customFormat="1" ht="20.100000000000001" customHeight="1">
      <c r="A9" s="115">
        <v>380</v>
      </c>
      <c r="B9" s="67" t="s">
        <v>92</v>
      </c>
      <c r="C9" s="65" t="s">
        <v>93</v>
      </c>
      <c r="D9" s="215" t="s">
        <v>16</v>
      </c>
      <c r="E9" s="115" t="s">
        <v>54</v>
      </c>
      <c r="F9" s="221" t="s">
        <v>58</v>
      </c>
      <c r="G9" s="300" t="s">
        <v>55</v>
      </c>
      <c r="H9" s="115" t="s">
        <v>50</v>
      </c>
      <c r="I9" s="134" t="s">
        <v>51</v>
      </c>
      <c r="J9" s="310" t="s">
        <v>56</v>
      </c>
      <c r="K9" s="138" t="s">
        <v>28</v>
      </c>
      <c r="L9" s="160" t="s">
        <v>29</v>
      </c>
      <c r="M9" s="1077">
        <v>30</v>
      </c>
      <c r="N9" s="1078" t="s">
        <v>60</v>
      </c>
      <c r="O9" s="1079" t="s">
        <v>361</v>
      </c>
      <c r="P9" s="1077">
        <v>30</v>
      </c>
      <c r="Q9" s="1078" t="s">
        <v>60</v>
      </c>
      <c r="R9" s="1079" t="s">
        <v>361</v>
      </c>
      <c r="S9" s="1077">
        <v>30</v>
      </c>
      <c r="T9" s="1078"/>
      <c r="U9" s="1079" t="s">
        <v>60</v>
      </c>
      <c r="V9" s="171">
        <v>15</v>
      </c>
      <c r="W9" s="139" t="s">
        <v>60</v>
      </c>
      <c r="X9" s="1173" t="s">
        <v>85</v>
      </c>
      <c r="Y9" s="171">
        <v>10</v>
      </c>
      <c r="Z9" s="139" t="s">
        <v>60</v>
      </c>
      <c r="AA9" s="1173" t="s">
        <v>85</v>
      </c>
      <c r="AB9" s="171">
        <v>10</v>
      </c>
      <c r="AC9" s="139" t="s">
        <v>60</v>
      </c>
      <c r="AD9" s="1131" t="s">
        <v>85</v>
      </c>
      <c r="AE9" s="140"/>
      <c r="AF9" s="141"/>
      <c r="AG9" s="70">
        <v>40</v>
      </c>
      <c r="AH9" s="19">
        <v>55</v>
      </c>
      <c r="AI9" s="171">
        <v>20</v>
      </c>
      <c r="AJ9" s="134" t="s">
        <v>64</v>
      </c>
      <c r="AK9" s="137">
        <v>100</v>
      </c>
      <c r="AL9" s="134">
        <v>200</v>
      </c>
      <c r="AM9" s="247" t="s">
        <v>91</v>
      </c>
      <c r="AN9" s="138" t="s">
        <v>69</v>
      </c>
      <c r="AO9" s="138" t="s">
        <v>70</v>
      </c>
      <c r="AP9" s="138" t="s">
        <v>71</v>
      </c>
      <c r="AQ9" s="245" t="s">
        <v>73</v>
      </c>
      <c r="AR9" s="249" t="s">
        <v>64</v>
      </c>
      <c r="AS9" s="142"/>
    </row>
    <row r="10" spans="1:46" s="120" customFormat="1" ht="20.100000000000001" customHeight="1" thickBot="1">
      <c r="A10" s="210" t="s">
        <v>24</v>
      </c>
      <c r="B10" s="211" t="s">
        <v>53</v>
      </c>
      <c r="C10" s="210" t="s">
        <v>53</v>
      </c>
      <c r="D10" s="216" t="s">
        <v>22</v>
      </c>
      <c r="E10" s="225" t="s">
        <v>53</v>
      </c>
      <c r="F10" s="226" t="s">
        <v>22</v>
      </c>
      <c r="G10" s="309">
        <v>12</v>
      </c>
      <c r="H10" s="210" t="s">
        <v>42</v>
      </c>
      <c r="I10" s="231" t="s">
        <v>42</v>
      </c>
      <c r="J10" s="298">
        <v>20</v>
      </c>
      <c r="K10" s="220" t="s">
        <v>43</v>
      </c>
      <c r="L10" s="236" t="s">
        <v>44</v>
      </c>
      <c r="M10" s="1067" t="s">
        <v>59</v>
      </c>
      <c r="N10" s="1075" t="s">
        <v>22</v>
      </c>
      <c r="O10" s="188" t="s">
        <v>22</v>
      </c>
      <c r="P10" s="1067" t="s">
        <v>59</v>
      </c>
      <c r="Q10" s="1075" t="s">
        <v>22</v>
      </c>
      <c r="R10" s="188" t="s">
        <v>22</v>
      </c>
      <c r="S10" s="1067" t="s">
        <v>59</v>
      </c>
      <c r="T10" s="1075"/>
      <c r="U10" s="188" t="s">
        <v>22</v>
      </c>
      <c r="V10" s="1067" t="s">
        <v>59</v>
      </c>
      <c r="W10" s="220" t="s">
        <v>22</v>
      </c>
      <c r="X10" s="216" t="s">
        <v>86</v>
      </c>
      <c r="Y10" s="1067" t="s">
        <v>59</v>
      </c>
      <c r="Z10" s="220" t="s">
        <v>22</v>
      </c>
      <c r="AA10" s="216" t="s">
        <v>86</v>
      </c>
      <c r="AB10" s="1067" t="s">
        <v>59</v>
      </c>
      <c r="AC10" s="220" t="s">
        <v>22</v>
      </c>
      <c r="AD10" s="211" t="s">
        <v>86</v>
      </c>
      <c r="AE10" s="244" t="s">
        <v>63</v>
      </c>
      <c r="AF10" s="231" t="s">
        <v>67</v>
      </c>
      <c r="AG10" s="75" t="s">
        <v>61</v>
      </c>
      <c r="AH10" s="17" t="s">
        <v>61</v>
      </c>
      <c r="AI10" s="1067" t="s">
        <v>59</v>
      </c>
      <c r="AJ10" s="231" t="s">
        <v>65</v>
      </c>
      <c r="AK10" s="244" t="s">
        <v>89</v>
      </c>
      <c r="AL10" s="231" t="s">
        <v>89</v>
      </c>
      <c r="AM10" s="248" t="s">
        <v>72</v>
      </c>
      <c r="AN10" s="220" t="s">
        <v>74</v>
      </c>
      <c r="AO10" s="220" t="s">
        <v>74</v>
      </c>
      <c r="AP10" s="220" t="s">
        <v>74</v>
      </c>
      <c r="AQ10" s="242" t="s">
        <v>75</v>
      </c>
      <c r="AR10" s="250" t="s">
        <v>67</v>
      </c>
      <c r="AS10" s="128"/>
    </row>
    <row r="11" spans="1:46" s="120" customFormat="1" ht="20.100000000000001" customHeight="1">
      <c r="A11" s="208"/>
      <c r="B11" s="209"/>
      <c r="C11" s="212"/>
      <c r="D11" s="222"/>
      <c r="E11" s="227"/>
      <c r="F11" s="228"/>
      <c r="G11" s="229"/>
      <c r="H11" s="227"/>
      <c r="I11" s="229"/>
      <c r="J11" s="234"/>
      <c r="K11" s="230"/>
      <c r="L11" s="235"/>
      <c r="M11" s="1073"/>
      <c r="N11" s="1074"/>
      <c r="O11" s="257"/>
      <c r="P11" s="1073"/>
      <c r="Q11" s="1074"/>
      <c r="R11" s="257"/>
      <c r="S11" s="1073"/>
      <c r="T11" s="1074"/>
      <c r="U11" s="257"/>
      <c r="V11" s="237"/>
      <c r="W11" s="241"/>
      <c r="X11" s="1174"/>
      <c r="Y11" s="237"/>
      <c r="Z11" s="241"/>
      <c r="AA11" s="1174"/>
      <c r="AB11" s="237"/>
      <c r="AC11" s="241"/>
      <c r="AD11" s="1170"/>
      <c r="AE11" s="213"/>
      <c r="AF11" s="229"/>
      <c r="AG11" s="213"/>
      <c r="AH11" s="238"/>
      <c r="AI11" s="237"/>
      <c r="AJ11" s="209"/>
      <c r="AK11" s="208"/>
      <c r="AL11" s="209"/>
      <c r="AM11" s="213"/>
      <c r="AN11" s="228"/>
      <c r="AO11" s="228"/>
      <c r="AP11" s="228"/>
      <c r="AQ11" s="238"/>
      <c r="AR11" s="251"/>
      <c r="AS11" s="119"/>
    </row>
    <row r="12" spans="1:46" s="174" customFormat="1" ht="20.100000000000001" customHeight="1">
      <c r="A12" s="450">
        <f>A$9/2</f>
        <v>190</v>
      </c>
      <c r="B12" s="442">
        <v>1.65</v>
      </c>
      <c r="C12" s="438">
        <f>A12*B12</f>
        <v>313.5</v>
      </c>
      <c r="D12" s="1140">
        <v>5</v>
      </c>
      <c r="E12" s="438">
        <f>IF(L12/120/SQRT(3)*1.5&lt;65,120,IF(L12/208/SQRT(3)*1.5&lt;65,208,IF(L12/240/SQRT(3)*1.5&lt;65,240,480)))</f>
        <v>120</v>
      </c>
      <c r="F12" s="441">
        <f>L12*1000/E12/SQRT(3)</f>
        <v>10.825317547305485</v>
      </c>
      <c r="G12" s="442">
        <f>G$10</f>
        <v>12</v>
      </c>
      <c r="H12" s="443">
        <f>IF(C12&lt;87,0.428*(1+G12/100)*C12+2,0.428*(1+G12/100)*C12)</f>
        <v>150.27936000000003</v>
      </c>
      <c r="I12" s="446">
        <f>SQRT(3)*H12</f>
        <v>260.29148684893408</v>
      </c>
      <c r="J12" s="551">
        <f>J$10</f>
        <v>20</v>
      </c>
      <c r="K12" s="441">
        <f>(1+J12/100)*D12*0.83</f>
        <v>4.9799999999999995</v>
      </c>
      <c r="L12" s="475">
        <f>IF(CEILING(I12*K12*SQRT(3)/1000,0.25)&lt;10,CEILING(I12*K12*SQRT(3)/1000,0.25),IF(CEILING(I12*K12*SQRT(3)/1000,0.25)&lt;20,CEILING(I12*K12*SQRT(3)/1000,0.5),CEILING(I12*K12*SQRT(3)/1000,1)))</f>
        <v>2.25</v>
      </c>
      <c r="M12" s="1071">
        <f>M$9</f>
        <v>30</v>
      </c>
      <c r="N12" s="353">
        <f>(1+M12/100)*F12</f>
        <v>14.07291281149713</v>
      </c>
      <c r="O12" s="444">
        <f>LOOKUP(N12,'Circuit Breakers'!$B$5:$B$38,'Circuit Breakers'!$C$5:$C$38)</f>
        <v>15</v>
      </c>
      <c r="P12" s="1071">
        <f>P$9</f>
        <v>30</v>
      </c>
      <c r="Q12" s="353">
        <f>(1+P12/100)*K12</f>
        <v>6.4739999999999993</v>
      </c>
      <c r="R12" s="444">
        <f>LOOKUP(Q12,'Circuit Breakers'!$B$5:$B$38,'Circuit Breakers'!$C$5:$C$38)</f>
        <v>10</v>
      </c>
      <c r="S12" s="1071">
        <f>S$9</f>
        <v>30</v>
      </c>
      <c r="T12" s="353">
        <f>(1+S12/100)*D12</f>
        <v>6.5</v>
      </c>
      <c r="U12" s="444">
        <f>LOOKUP(T12,'Circuit Breakers'!$B$5:$B$38,'Circuit Breakers'!$C$5:$C$38)</f>
        <v>10</v>
      </c>
      <c r="V12" s="1153">
        <f>V$9</f>
        <v>15</v>
      </c>
      <c r="W12" s="441">
        <f>(1+V12/100)*F12</f>
        <v>12.449115179401307</v>
      </c>
      <c r="X12" s="1140" t="str">
        <f>LOOKUP(W12,'Wire-Cables Ampacities'!$B$5:$B$35,'Wire-Cables Ampacities'!$C$5:$C$35)</f>
        <v>#10</v>
      </c>
      <c r="Y12" s="1153">
        <f>Y$9</f>
        <v>10</v>
      </c>
      <c r="Z12" s="441">
        <f>(1+Y12/100)*K12</f>
        <v>5.4779999999999998</v>
      </c>
      <c r="AA12" s="1140" t="str">
        <f>LOOKUP(Z12,'Wire-Cables Ampacities'!$B$5:$B$35,'Wire-Cables Ampacities'!$C$5:$C$35)</f>
        <v>#10</v>
      </c>
      <c r="AB12" s="1153">
        <f>AB$9</f>
        <v>10</v>
      </c>
      <c r="AC12" s="441">
        <f>(1+AB12/100)*D12</f>
        <v>5.5</v>
      </c>
      <c r="AD12" s="439" t="str">
        <f>LOOKUP(AC12,'Wire-Cables Ampacities'!$B$5:$B$35,'Wire-Cables Ampacities'!$C$5:$C$35)</f>
        <v>#10</v>
      </c>
      <c r="AE12" s="449">
        <f>(2*D12+0.07*L12*1000)/1000</f>
        <v>0.16750000000000004</v>
      </c>
      <c r="AF12" s="1042">
        <f>AE12*3.412142*1000</f>
        <v>571.53378500000008</v>
      </c>
      <c r="AG12" s="450">
        <f t="shared" ref="AG12:AI13" si="0">AG$9</f>
        <v>40</v>
      </c>
      <c r="AH12" s="450">
        <f t="shared" si="0"/>
        <v>55</v>
      </c>
      <c r="AI12" s="1153">
        <f t="shared" si="0"/>
        <v>20</v>
      </c>
      <c r="AJ12" s="446">
        <f>1760*AE12/(AH12-AG12)*(1+AI12/100)</f>
        <v>23.584000000000007</v>
      </c>
      <c r="AK12" s="1154">
        <f>AJ12/AK$19</f>
        <v>0.23584000000000008</v>
      </c>
      <c r="AL12" s="451">
        <f>AJ12/AL$19</f>
        <v>0.11792000000000004</v>
      </c>
      <c r="AM12" s="1155">
        <v>450</v>
      </c>
      <c r="AN12" s="441">
        <v>24</v>
      </c>
      <c r="AO12" s="452">
        <v>30</v>
      </c>
      <c r="AP12" s="452">
        <v>16</v>
      </c>
      <c r="AQ12" s="453">
        <f>((2*AO12*AN12)+2*(AO12*AP12)+(AN12*AP12))/144</f>
        <v>19.333333333333332</v>
      </c>
      <c r="AR12" s="1156">
        <f>AF12+(1.25*AQ12*(AG12-AH12))</f>
        <v>209.03378500000014</v>
      </c>
      <c r="AS12" s="172"/>
      <c r="AT12" s="173"/>
    </row>
    <row r="13" spans="1:46" s="112" customFormat="1" ht="20.100000000000001" customHeight="1" thickBot="1">
      <c r="A13" s="1142">
        <f>A$9/2</f>
        <v>190</v>
      </c>
      <c r="B13" s="1147">
        <v>2.15</v>
      </c>
      <c r="C13" s="1144">
        <f>A13*B13</f>
        <v>408.5</v>
      </c>
      <c r="D13" s="1145">
        <v>108</v>
      </c>
      <c r="E13" s="1144">
        <f>IF(L13/120/SQRT(3)*1.5&lt;65,120,IF(L13/208/SQRT(3)*1.5&lt;65,208,IF(L13/240/SQRT(3)*1.5&lt;65,240,480)))</f>
        <v>120</v>
      </c>
      <c r="F13" s="1146">
        <f>L13*1000/E13/SQRT(3)</f>
        <v>307.92014356780044</v>
      </c>
      <c r="G13" s="1147">
        <f>G$10</f>
        <v>12</v>
      </c>
      <c r="H13" s="1148">
        <f>IF(C13&lt;87,0.428*(1+G13/100)*C13+2,0.428*(1+G13/100)*C13)</f>
        <v>195.81856000000002</v>
      </c>
      <c r="I13" s="1149">
        <f>SQRT(3)*H13</f>
        <v>339.16769498497467</v>
      </c>
      <c r="J13" s="1150">
        <f>J$10</f>
        <v>20</v>
      </c>
      <c r="K13" s="1146">
        <f>(1+J13/100)*D13*0.83</f>
        <v>107.56799999999998</v>
      </c>
      <c r="L13" s="1168">
        <f>IF(CEILING(I13*K13*SQRT(3)/1000,0.25)&lt;10,CEILING(I13*K13*SQRT(3)/1000,0.25),IF(CEILING(I13*K13*SQRT(3)/1000,0.25)&lt;20,CEILING(I13*K13*SQRT(3)/1000,0.5),CEILING(I13*K13*SQRT(3)/1000,1)))</f>
        <v>64</v>
      </c>
      <c r="M13" s="1072">
        <f>M$9</f>
        <v>30</v>
      </c>
      <c r="N13" s="260">
        <f>(1+M13/100)*F13</f>
        <v>400.29618663814057</v>
      </c>
      <c r="O13" s="1152">
        <f>LOOKUP(N13,'Circuit Breakers'!$B$5:$B$38,'Circuit Breakers'!$C$5:$C$38)</f>
        <v>400</v>
      </c>
      <c r="P13" s="1072">
        <f>P$9</f>
        <v>30</v>
      </c>
      <c r="Q13" s="260">
        <f>(1+P13/100)*K13</f>
        <v>139.83839999999998</v>
      </c>
      <c r="R13" s="1152">
        <f>LOOKUP(Q13,'Circuit Breakers'!$B$5:$B$38,'Circuit Breakers'!$C$5:$C$38)</f>
        <v>150</v>
      </c>
      <c r="S13" s="1072">
        <f>S$9</f>
        <v>30</v>
      </c>
      <c r="T13" s="260">
        <f>(1+S13/100)*D13</f>
        <v>140.4</v>
      </c>
      <c r="U13" s="1152">
        <f>LOOKUP(T13,'Circuit Breakers'!$B$5:$B$38,'Circuit Breakers'!$C$5:$C$38)</f>
        <v>150</v>
      </c>
      <c r="V13" s="1157">
        <f>V$9</f>
        <v>15</v>
      </c>
      <c r="W13" s="1146">
        <f>(1+V13/100)*F13</f>
        <v>354.10816510297047</v>
      </c>
      <c r="X13" s="1145" t="str">
        <f>LOOKUP(W13,'Wire-Cables Ampacities'!$B$5:$B$35,'Wire-Cables Ampacities'!$C$5:$C$35)</f>
        <v>300MCM</v>
      </c>
      <c r="Y13" s="1157">
        <f>Y$9</f>
        <v>10</v>
      </c>
      <c r="Z13" s="1146">
        <f>(1+Y13/100)*K13</f>
        <v>118.3248</v>
      </c>
      <c r="AA13" s="1145" t="str">
        <f>LOOKUP(Z13,'Wire-Cables Ampacities'!$B$5:$B$35,'Wire-Cables Ampacities'!$C$5:$C$35)</f>
        <v>#3</v>
      </c>
      <c r="AB13" s="1157">
        <f>AB$9</f>
        <v>10</v>
      </c>
      <c r="AC13" s="1146">
        <f>(1+AB13/100)*D13</f>
        <v>118.80000000000001</v>
      </c>
      <c r="AD13" s="1167" t="str">
        <f>LOOKUP(AC13,'Wire-Cables Ampacities'!$B$5:$B$35,'Wire-Cables Ampacities'!$C$5:$C$35)</f>
        <v>#3</v>
      </c>
      <c r="AE13" s="1159">
        <f>(2*D13+0.07*L13*1000)/1000</f>
        <v>4.6959999999999997</v>
      </c>
      <c r="AF13" s="1043">
        <f>AE13*3.412142*1000</f>
        <v>16023.418831999998</v>
      </c>
      <c r="AG13" s="1142">
        <f t="shared" si="0"/>
        <v>40</v>
      </c>
      <c r="AH13" s="1158">
        <f t="shared" si="0"/>
        <v>55</v>
      </c>
      <c r="AI13" s="1157">
        <f t="shared" si="0"/>
        <v>20</v>
      </c>
      <c r="AJ13" s="1149">
        <f>1760*AE13/(AH13-AG13)*(1+AI13/100)</f>
        <v>661.19679999999983</v>
      </c>
      <c r="AK13" s="1160">
        <f>AJ13/AK$19</f>
        <v>6.6119679999999983</v>
      </c>
      <c r="AL13" s="1161">
        <f>AJ13/AL$19</f>
        <v>3.3059839999999991</v>
      </c>
      <c r="AM13" s="1162">
        <v>450</v>
      </c>
      <c r="AN13" s="1146">
        <v>24</v>
      </c>
      <c r="AO13" s="1163">
        <v>30</v>
      </c>
      <c r="AP13" s="1163">
        <v>16</v>
      </c>
      <c r="AQ13" s="1164">
        <f>((2*AO13*AN13)+2*(AO13*AP13)+(AN13*AP13))/144</f>
        <v>19.333333333333332</v>
      </c>
      <c r="AR13" s="1165">
        <f>AF13+(1.25*AQ13*(AG13-AH13))</f>
        <v>15660.918831999998</v>
      </c>
      <c r="AS13" s="113"/>
      <c r="AT13" s="114"/>
    </row>
    <row r="14" spans="1:46">
      <c r="A14" s="111"/>
      <c r="B14" s="7"/>
      <c r="C14" s="7"/>
      <c r="D14" s="7"/>
      <c r="E14" s="7"/>
      <c r="F14" s="7"/>
      <c r="G14" s="7"/>
      <c r="H14" s="43"/>
      <c r="I14" s="43"/>
      <c r="J14" s="43"/>
      <c r="K14" s="7"/>
      <c r="L14" s="7"/>
      <c r="M14" s="7"/>
      <c r="N14" s="7"/>
      <c r="O14" s="111"/>
      <c r="P14" s="7"/>
      <c r="Q14" s="7"/>
      <c r="R14" s="111"/>
      <c r="S14" s="7"/>
      <c r="T14" s="7"/>
      <c r="U14" s="111"/>
      <c r="V14" s="7"/>
      <c r="W14" s="7"/>
      <c r="X14" s="111"/>
      <c r="Z14" s="7"/>
    </row>
    <row r="16" spans="1:46" ht="13.5" thickBot="1"/>
    <row r="17" spans="1:46" ht="16.5" thickBot="1">
      <c r="A17" s="95" t="s">
        <v>77</v>
      </c>
      <c r="B17" s="96"/>
      <c r="C17" s="44"/>
      <c r="D17" s="86"/>
      <c r="E17" s="86"/>
      <c r="F17" s="86"/>
      <c r="G17" s="87"/>
      <c r="H17" s="290" t="s">
        <v>102</v>
      </c>
      <c r="I17" s="42"/>
      <c r="J17" s="51"/>
      <c r="K17" s="42"/>
      <c r="L17" s="40"/>
      <c r="M17" s="290" t="s">
        <v>83</v>
      </c>
      <c r="N17" s="42"/>
      <c r="O17" s="327"/>
      <c r="P17" s="44"/>
      <c r="Q17" s="44"/>
      <c r="R17" s="327"/>
      <c r="S17" s="44"/>
      <c r="T17" s="44"/>
      <c r="U17" s="185"/>
      <c r="V17" s="184" t="s">
        <v>84</v>
      </c>
      <c r="W17" s="44"/>
      <c r="X17" s="327"/>
      <c r="Y17" s="44"/>
      <c r="Z17" s="44"/>
      <c r="AA17" s="327"/>
      <c r="AB17" s="44"/>
      <c r="AC17" s="44"/>
      <c r="AD17" s="185"/>
      <c r="AE17" s="291" t="s">
        <v>62</v>
      </c>
      <c r="AF17" s="80"/>
      <c r="AG17" s="290" t="s">
        <v>90</v>
      </c>
      <c r="AH17" s="40"/>
      <c r="AI17" s="292" t="s">
        <v>87</v>
      </c>
      <c r="AJ17" s="90"/>
      <c r="AK17" s="90"/>
      <c r="AL17" s="49"/>
      <c r="AM17" s="189" t="s">
        <v>88</v>
      </c>
      <c r="AN17" s="90"/>
      <c r="AO17" s="90"/>
      <c r="AP17" s="90"/>
      <c r="AQ17" s="90"/>
      <c r="AR17" s="6"/>
      <c r="AS17" s="7"/>
    </row>
    <row r="18" spans="1:46" ht="13.5" thickBot="1">
      <c r="A18" s="97" t="s">
        <v>23</v>
      </c>
      <c r="B18" s="48"/>
      <c r="C18" s="189" t="s">
        <v>76</v>
      </c>
      <c r="D18" s="190"/>
      <c r="E18" s="189" t="s">
        <v>57</v>
      </c>
      <c r="F18" s="191"/>
      <c r="G18" s="192"/>
      <c r="H18" s="76"/>
      <c r="I18" s="90"/>
      <c r="J18" s="175"/>
      <c r="K18" s="90"/>
      <c r="L18" s="49"/>
      <c r="M18" s="47" t="s">
        <v>81</v>
      </c>
      <c r="N18" s="96"/>
      <c r="O18" s="192"/>
      <c r="P18" s="47" t="s">
        <v>82</v>
      </c>
      <c r="Q18" s="96"/>
      <c r="R18" s="192"/>
      <c r="S18" s="47" t="s">
        <v>80</v>
      </c>
      <c r="T18" s="96"/>
      <c r="U18" s="192"/>
      <c r="V18" s="76" t="s">
        <v>78</v>
      </c>
      <c r="W18" s="96"/>
      <c r="X18" s="190"/>
      <c r="Y18" s="76" t="s">
        <v>79</v>
      </c>
      <c r="Z18" s="96"/>
      <c r="AA18" s="190"/>
      <c r="AB18" s="47" t="s">
        <v>80</v>
      </c>
      <c r="AC18" s="96"/>
      <c r="AD18" s="190"/>
      <c r="AE18" s="176"/>
      <c r="AF18" s="177"/>
      <c r="AG18" s="205" t="s">
        <v>94</v>
      </c>
      <c r="AH18" s="179" t="s">
        <v>95</v>
      </c>
      <c r="AI18" s="178"/>
      <c r="AJ18" s="198"/>
      <c r="AK18" s="206" t="s">
        <v>66</v>
      </c>
      <c r="AL18" s="198" t="s">
        <v>66</v>
      </c>
      <c r="AM18" s="47" t="s">
        <v>68</v>
      </c>
      <c r="AN18" s="90"/>
      <c r="AO18" s="90"/>
      <c r="AP18" s="90"/>
      <c r="AQ18" s="49"/>
      <c r="AR18" s="80"/>
      <c r="AS18" s="7"/>
    </row>
    <row r="19" spans="1:46">
      <c r="A19" s="65">
        <v>12</v>
      </c>
      <c r="B19" s="67" t="s">
        <v>92</v>
      </c>
      <c r="C19" s="65" t="s">
        <v>93</v>
      </c>
      <c r="D19" s="67" t="s">
        <v>16</v>
      </c>
      <c r="E19" s="65" t="s">
        <v>54</v>
      </c>
      <c r="F19" s="18" t="s">
        <v>58</v>
      </c>
      <c r="G19" s="1234" t="s">
        <v>55</v>
      </c>
      <c r="H19" s="65" t="s">
        <v>50</v>
      </c>
      <c r="I19" s="18" t="s">
        <v>51</v>
      </c>
      <c r="J19" s="310" t="s">
        <v>56</v>
      </c>
      <c r="K19" s="18" t="s">
        <v>28</v>
      </c>
      <c r="L19" s="156" t="s">
        <v>29</v>
      </c>
      <c r="M19" s="1077">
        <v>30</v>
      </c>
      <c r="N19" s="1078" t="s">
        <v>60</v>
      </c>
      <c r="O19" s="1079" t="s">
        <v>361</v>
      </c>
      <c r="P19" s="1077">
        <v>30</v>
      </c>
      <c r="Q19" s="1078" t="s">
        <v>60</v>
      </c>
      <c r="R19" s="1079" t="s">
        <v>361</v>
      </c>
      <c r="S19" s="1077">
        <v>30</v>
      </c>
      <c r="T19" s="1078"/>
      <c r="U19" s="1079" t="s">
        <v>60</v>
      </c>
      <c r="V19" s="171">
        <v>15</v>
      </c>
      <c r="W19" s="139" t="s">
        <v>60</v>
      </c>
      <c r="X19" s="1173" t="s">
        <v>85</v>
      </c>
      <c r="Y19" s="171">
        <v>10</v>
      </c>
      <c r="Z19" s="139" t="s">
        <v>60</v>
      </c>
      <c r="AA19" s="1173" t="s">
        <v>85</v>
      </c>
      <c r="AB19" s="171">
        <v>10</v>
      </c>
      <c r="AC19" s="139" t="s">
        <v>60</v>
      </c>
      <c r="AD19" s="1131" t="s">
        <v>85</v>
      </c>
      <c r="AE19" s="77"/>
      <c r="AF19" s="204"/>
      <c r="AG19" s="70">
        <v>40</v>
      </c>
      <c r="AH19" s="19">
        <v>55</v>
      </c>
      <c r="AI19" s="337">
        <v>20</v>
      </c>
      <c r="AJ19" s="71" t="s">
        <v>64</v>
      </c>
      <c r="AK19" s="79">
        <v>100</v>
      </c>
      <c r="AL19" s="19">
        <v>200</v>
      </c>
      <c r="AM19" s="284" t="s">
        <v>91</v>
      </c>
      <c r="AN19" s="18" t="s">
        <v>69</v>
      </c>
      <c r="AO19" s="18" t="s">
        <v>70</v>
      </c>
      <c r="AP19" s="18" t="s">
        <v>71</v>
      </c>
      <c r="AQ19" s="19" t="s">
        <v>73</v>
      </c>
      <c r="AR19" s="285" t="s">
        <v>64</v>
      </c>
      <c r="AS19" s="92"/>
    </row>
    <row r="20" spans="1:46" ht="13.5" thickBot="1">
      <c r="A20" s="187" t="s">
        <v>24</v>
      </c>
      <c r="B20" s="188" t="s">
        <v>53</v>
      </c>
      <c r="C20" s="306" t="s">
        <v>53</v>
      </c>
      <c r="D20" s="255" t="s">
        <v>22</v>
      </c>
      <c r="E20" s="187" t="s">
        <v>53</v>
      </c>
      <c r="F20" s="16" t="s">
        <v>22</v>
      </c>
      <c r="G20" s="311">
        <v>12</v>
      </c>
      <c r="H20" s="187" t="s">
        <v>42</v>
      </c>
      <c r="I20" s="16" t="s">
        <v>42</v>
      </c>
      <c r="J20" s="298">
        <v>20</v>
      </c>
      <c r="K20" s="16" t="s">
        <v>43</v>
      </c>
      <c r="L20" s="195" t="s">
        <v>44</v>
      </c>
      <c r="M20" s="298" t="s">
        <v>59</v>
      </c>
      <c r="N20" s="1055" t="s">
        <v>22</v>
      </c>
      <c r="O20" s="188" t="s">
        <v>22</v>
      </c>
      <c r="P20" s="298" t="s">
        <v>59</v>
      </c>
      <c r="Q20" s="1055" t="s">
        <v>22</v>
      </c>
      <c r="R20" s="188" t="s">
        <v>22</v>
      </c>
      <c r="S20" s="299" t="s">
        <v>59</v>
      </c>
      <c r="T20" s="1055" t="s">
        <v>22</v>
      </c>
      <c r="U20" s="188" t="s">
        <v>22</v>
      </c>
      <c r="V20" s="298" t="s">
        <v>59</v>
      </c>
      <c r="W20" s="16" t="s">
        <v>22</v>
      </c>
      <c r="X20" s="188" t="s">
        <v>86</v>
      </c>
      <c r="Y20" s="298" t="s">
        <v>59</v>
      </c>
      <c r="Z20" s="16" t="s">
        <v>22</v>
      </c>
      <c r="AA20" s="188" t="s">
        <v>86</v>
      </c>
      <c r="AB20" s="298" t="s">
        <v>59</v>
      </c>
      <c r="AC20" s="16" t="s">
        <v>22</v>
      </c>
      <c r="AD20" s="188" t="s">
        <v>86</v>
      </c>
      <c r="AE20" s="75" t="s">
        <v>63</v>
      </c>
      <c r="AF20" s="202" t="s">
        <v>67</v>
      </c>
      <c r="AG20" s="75" t="s">
        <v>61</v>
      </c>
      <c r="AH20" s="17" t="s">
        <v>61</v>
      </c>
      <c r="AI20" s="298" t="s">
        <v>59</v>
      </c>
      <c r="AJ20" s="17" t="s">
        <v>65</v>
      </c>
      <c r="AK20" s="207" t="s">
        <v>89</v>
      </c>
      <c r="AL20" s="17" t="s">
        <v>89</v>
      </c>
      <c r="AM20" s="75" t="s">
        <v>72</v>
      </c>
      <c r="AN20" s="16" t="s">
        <v>74</v>
      </c>
      <c r="AO20" s="16" t="s">
        <v>74</v>
      </c>
      <c r="AP20" s="16" t="s">
        <v>74</v>
      </c>
      <c r="AQ20" s="17" t="s">
        <v>75</v>
      </c>
      <c r="AR20" s="200" t="s">
        <v>67</v>
      </c>
      <c r="AS20" s="46"/>
    </row>
    <row r="21" spans="1:46">
      <c r="A21" s="70"/>
      <c r="B21" s="197"/>
      <c r="C21" s="65"/>
      <c r="D21" s="67"/>
      <c r="E21" s="302"/>
      <c r="F21" s="18"/>
      <c r="G21" s="19"/>
      <c r="H21" s="65"/>
      <c r="I21" s="18"/>
      <c r="J21" s="73"/>
      <c r="K21" s="18"/>
      <c r="L21" s="156"/>
      <c r="M21" s="54"/>
      <c r="N21" s="1049"/>
      <c r="O21" s="67"/>
      <c r="P21" s="203"/>
      <c r="Q21" s="1049"/>
      <c r="R21" s="1063"/>
      <c r="S21" s="54"/>
      <c r="T21" s="1059"/>
      <c r="U21" s="67"/>
      <c r="V21" s="54"/>
      <c r="W21" s="269"/>
      <c r="X21" s="156"/>
      <c r="Y21" s="54"/>
      <c r="Z21" s="269"/>
      <c r="AA21" s="156"/>
      <c r="AB21" s="54"/>
      <c r="AC21" s="269"/>
      <c r="AD21" s="156"/>
      <c r="AE21" s="70"/>
      <c r="AF21" s="19"/>
      <c r="AG21" s="70"/>
      <c r="AH21" s="19"/>
      <c r="AI21" s="54"/>
      <c r="AJ21" s="19"/>
      <c r="AK21" s="70"/>
      <c r="AL21" s="197"/>
      <c r="AM21" s="70"/>
      <c r="AN21" s="18"/>
      <c r="AO21" s="18"/>
      <c r="AP21" s="18"/>
      <c r="AQ21" s="19"/>
      <c r="AR21" s="286"/>
      <c r="AS21" s="7"/>
    </row>
    <row r="22" spans="1:46">
      <c r="A22" s="72">
        <f t="shared" ref="A22:A50" si="1">A$19/2</f>
        <v>6</v>
      </c>
      <c r="B22" s="15">
        <v>2.4500000000000002</v>
      </c>
      <c r="C22" s="66">
        <f>A22*B22</f>
        <v>14.700000000000001</v>
      </c>
      <c r="D22" s="68">
        <v>5</v>
      </c>
      <c r="E22" s="186">
        <f>IF(L22*1000/120/SQRT(3)*1.5&lt;65,120,IF(L22*1000/208/SQRT(3)*1.5&lt;65,208,IF(L22*1000/240/SQRT(3)*1.5&lt;65,240,480)))</f>
        <v>120</v>
      </c>
      <c r="F22" s="45">
        <f>L22*1000/E22/SQRT(3)</f>
        <v>1.2028130608117205</v>
      </c>
      <c r="G22" s="94">
        <f>G$20</f>
        <v>12</v>
      </c>
      <c r="H22" s="295">
        <f>IF(C22&lt;150,0.428*(1+G22/100)*C22+3,0.428*(1+G22/100)*C22)</f>
        <v>10.046592</v>
      </c>
      <c r="I22" s="25">
        <f>SQRT(3)*H22</f>
        <v>17.401207786915023</v>
      </c>
      <c r="J22" s="52">
        <f>J$20</f>
        <v>20</v>
      </c>
      <c r="K22" s="25">
        <f t="shared" ref="K22:K50" si="2">(1+J22/100)*D22*0.83</f>
        <v>4.9799999999999995</v>
      </c>
      <c r="L22" s="427">
        <f>IF(CEILING(I22*K22*SQRT(3)/1000,0.25)&lt;10,CEILING(I22*K22*SQRT(3)/1000,0.25),IF(CEILING(I22*K22*SQRT(3)/1000,0.25)&lt;20,CEILING(I22*K22*SQRT(3)/1000,0.5),CEILING(I22*K22*SQRT(3)/1000,1)))</f>
        <v>0.25</v>
      </c>
      <c r="M22" s="55">
        <f>M$19</f>
        <v>30</v>
      </c>
      <c r="N22" s="838">
        <f t="shared" ref="N22:N50" si="3">(1+M22/100)*F22</f>
        <v>1.5636569790552366</v>
      </c>
      <c r="O22" s="68">
        <f>LOOKUP(N22,'Circuit Breakers'!$B$5:$B$38,'Circuit Breakers'!$C$5:$C$38)</f>
        <v>5</v>
      </c>
      <c r="P22" s="199">
        <f t="shared" ref="P22:P50" si="4">P$19</f>
        <v>30</v>
      </c>
      <c r="Q22" s="1056">
        <f>(1+P22/100)*K22</f>
        <v>6.4739999999999993</v>
      </c>
      <c r="R22" s="1064">
        <f>LOOKUP(Q22,'Circuit Breakers'!$B$5:$B$38,'Circuit Breakers'!$C$5:$C$38)</f>
        <v>10</v>
      </c>
      <c r="S22" s="64">
        <f t="shared" ref="S22:S50" si="5">S$19</f>
        <v>30</v>
      </c>
      <c r="T22" s="25">
        <f>(1+S22/100)*D22</f>
        <v>6.5</v>
      </c>
      <c r="U22" s="158">
        <f>LOOKUP(T22,'Circuit Breakers'!$B$5:$B$38,'Circuit Breakers'!$C$5:$C$38)</f>
        <v>10</v>
      </c>
      <c r="V22" s="55">
        <f>V$19</f>
        <v>15</v>
      </c>
      <c r="W22" s="25">
        <f>(1+V22/100)*F22</f>
        <v>1.3832350199334784</v>
      </c>
      <c r="X22" s="68" t="str">
        <f>LOOKUP(W22,'Wire-Cables Ampacities'!$B$5:$B$35,'Wire-Cables Ampacities'!$C$5:$C$35)</f>
        <v>#10</v>
      </c>
      <c r="Y22" s="55">
        <f>Y$19</f>
        <v>10</v>
      </c>
      <c r="Z22" s="25">
        <f>(1+Y22/100)*K22</f>
        <v>5.4779999999999998</v>
      </c>
      <c r="AA22" s="68" t="str">
        <f>LOOKUP(Z22,'Wire-Cables Ampacities'!$B$5:$B$35,'Wire-Cables Ampacities'!$C$5:$C$35)</f>
        <v>#10</v>
      </c>
      <c r="AB22" s="55">
        <f>AB$19</f>
        <v>10</v>
      </c>
      <c r="AC22" s="25">
        <f>(1+AB22/100)*D22</f>
        <v>5.5</v>
      </c>
      <c r="AD22" s="68" t="str">
        <f>LOOKUP(AC22,'Wire-Cables Ampacities'!$B$5:$B$35,'Wire-Cables Ampacities'!$C$5:$C$35)</f>
        <v>#10</v>
      </c>
      <c r="AE22" s="81">
        <f>(2*D22+0.07*L22*1000)/1000</f>
        <v>2.75E-2</v>
      </c>
      <c r="AF22" s="56">
        <f t="shared" ref="AF22:AF50" si="6">AE22*3.412142*1000</f>
        <v>93.833905000000001</v>
      </c>
      <c r="AG22" s="72">
        <f>AG$19</f>
        <v>40</v>
      </c>
      <c r="AH22" s="15">
        <f>AH$19</f>
        <v>55</v>
      </c>
      <c r="AI22" s="55">
        <f>AI$19</f>
        <v>20</v>
      </c>
      <c r="AJ22" s="56">
        <f>1760*AE22/(AH22-AG22)*(1+AI22/100)</f>
        <v>3.8719999999999999</v>
      </c>
      <c r="AK22" s="271">
        <f>AJ22/AK$19</f>
        <v>3.8719999999999997E-2</v>
      </c>
      <c r="AL22" s="277">
        <f>AJ22/AL$19</f>
        <v>1.9359999999999999E-2</v>
      </c>
      <c r="AM22" s="58">
        <v>450</v>
      </c>
      <c r="AN22" s="25">
        <v>24</v>
      </c>
      <c r="AO22" s="3">
        <v>30</v>
      </c>
      <c r="AP22" s="3">
        <v>16</v>
      </c>
      <c r="AQ22" s="281">
        <f>((2*AO22*AN22)+2*(AO22*AP22)+(AN22*AP22))/144</f>
        <v>19.333333333333332</v>
      </c>
      <c r="AR22" s="287">
        <f t="shared" ref="AR22:AR38" si="7">AF22+(1.25*AQ22*(AG22-AH22))</f>
        <v>-268.66609499999993</v>
      </c>
      <c r="AS22" s="93"/>
      <c r="AT22" s="4"/>
    </row>
    <row r="23" spans="1:46">
      <c r="A23" s="98">
        <f t="shared" si="1"/>
        <v>6</v>
      </c>
      <c r="B23" s="99">
        <v>2.4500000000000002</v>
      </c>
      <c r="C23" s="100">
        <f t="shared" ref="C23:C37" si="8">A23*B23</f>
        <v>14.700000000000001</v>
      </c>
      <c r="D23" s="101">
        <v>10</v>
      </c>
      <c r="E23" s="183">
        <f t="shared" ref="E23:E50" si="9">IF(L23*1000/120/SQRT(3)*1.5&lt;65,120,IF(L23*1000/208/SQRT(3)*1.5&lt;65,208,IF(L23*1000/240/SQRT(3)*1.5&lt;65,240,480)))</f>
        <v>120</v>
      </c>
      <c r="F23" s="102">
        <f t="shared" ref="F23:F37" si="10">L23*1000/E23/SQRT(3)</f>
        <v>2.4056261216234409</v>
      </c>
      <c r="G23" s="103">
        <f t="shared" ref="G23:G50" si="11">G$20</f>
        <v>12</v>
      </c>
      <c r="H23" s="296">
        <f t="shared" ref="H23:H50" si="12">IF(C23&lt;150,0.428*(1+G23/100)*C23+3,0.428*(1+G23/100)*C23)</f>
        <v>10.046592</v>
      </c>
      <c r="I23" s="104">
        <f t="shared" ref="I23:I50" si="13">SQRT(3)*H23</f>
        <v>17.401207786915023</v>
      </c>
      <c r="J23" s="180">
        <f t="shared" ref="J23:J50" si="14">J$20</f>
        <v>20</v>
      </c>
      <c r="K23" s="104">
        <f t="shared" si="2"/>
        <v>9.9599999999999991</v>
      </c>
      <c r="L23" s="428">
        <f t="shared" ref="L23:L50" si="15">IF(CEILING(I23*K23*SQRT(3)/1000,0.25)&lt;10,CEILING(I23*K23*SQRT(3)/1000,0.25),IF(CEILING(I23*K23*SQRT(3)/1000,0.25)&lt;20,CEILING(I23*K23*SQRT(3)/1000,0.5),CEILING(I23*K23*SQRT(3)/1000,1)))</f>
        <v>0.5</v>
      </c>
      <c r="M23" s="106">
        <f t="shared" ref="M23:M50" si="16">M$19</f>
        <v>30</v>
      </c>
      <c r="N23" s="1060">
        <f t="shared" si="3"/>
        <v>3.1273139581104732</v>
      </c>
      <c r="O23" s="101">
        <f>LOOKUP(N23,'Circuit Breakers'!$B$5:$B$38,'Circuit Breakers'!$C$5:$C$38)</f>
        <v>5</v>
      </c>
      <c r="P23" s="262">
        <f t="shared" si="4"/>
        <v>30</v>
      </c>
      <c r="Q23" s="1057">
        <f t="shared" ref="Q23:Q50" si="17">(1+P23/100)*K23</f>
        <v>12.947999999999999</v>
      </c>
      <c r="R23" s="1065">
        <f>LOOKUP(Q23,'Circuit Breakers'!$B$5:$B$38,'Circuit Breakers'!$C$5:$C$38)</f>
        <v>15</v>
      </c>
      <c r="S23" s="106">
        <f t="shared" si="5"/>
        <v>30</v>
      </c>
      <c r="T23" s="104">
        <f t="shared" ref="T23:T50" si="18">(1+S23/100)*D23</f>
        <v>13</v>
      </c>
      <c r="U23" s="477">
        <f>LOOKUP(T23,'Circuit Breakers'!$B$5:$B$38,'Circuit Breakers'!$C$5:$C$38)</f>
        <v>15</v>
      </c>
      <c r="V23" s="106">
        <f t="shared" ref="V23:V50" si="19">V$19</f>
        <v>15</v>
      </c>
      <c r="W23" s="104">
        <f t="shared" ref="W23:W50" si="20">(1+V23/100)*F23</f>
        <v>2.7664700398669568</v>
      </c>
      <c r="X23" s="101" t="str">
        <f>LOOKUP(W23,'Wire-Cables Ampacities'!$B$5:$B$35,'Wire-Cables Ampacities'!$C$5:$C$35)</f>
        <v>#10</v>
      </c>
      <c r="Y23" s="106">
        <f t="shared" ref="Y23:Y50" si="21">Y$19</f>
        <v>10</v>
      </c>
      <c r="Z23" s="104">
        <f t="shared" ref="Z23:Z50" si="22">(1+Y23/100)*K23</f>
        <v>10.956</v>
      </c>
      <c r="AA23" s="101" t="str">
        <f>LOOKUP(Z23,'Wire-Cables Ampacities'!$B$5:$B$35,'Wire-Cables Ampacities'!$C$5:$C$35)</f>
        <v>#10</v>
      </c>
      <c r="AB23" s="106">
        <f t="shared" ref="AB23:AB50" si="23">AB$19</f>
        <v>10</v>
      </c>
      <c r="AC23" s="104">
        <f t="shared" ref="AC23:AC50" si="24">(1+AB23/100)*D23</f>
        <v>11</v>
      </c>
      <c r="AD23" s="101" t="str">
        <f>LOOKUP(AC23,'Wire-Cables Ampacities'!$B$5:$B$35,'Wire-Cables Ampacities'!$C$5:$C$35)</f>
        <v>#10</v>
      </c>
      <c r="AE23" s="107">
        <f t="shared" ref="AE23:AE50" si="25">(2*D23+0.07*L23*1000)/1000</f>
        <v>5.5E-2</v>
      </c>
      <c r="AF23" s="105">
        <f t="shared" si="6"/>
        <v>187.66781</v>
      </c>
      <c r="AG23" s="98">
        <f t="shared" ref="AG23:AI50" si="26">AG$19</f>
        <v>40</v>
      </c>
      <c r="AH23" s="99">
        <f t="shared" si="26"/>
        <v>55</v>
      </c>
      <c r="AI23" s="106">
        <f t="shared" si="26"/>
        <v>20</v>
      </c>
      <c r="AJ23" s="105">
        <f t="shared" ref="AJ23:AJ50" si="27">1760*AE23/(AH23-AG23)*(1+AI23/100)</f>
        <v>7.7439999999999998</v>
      </c>
      <c r="AK23" s="272">
        <f t="shared" ref="AK23:AK50" si="28">AJ23/AK$19</f>
        <v>7.7439999999999995E-2</v>
      </c>
      <c r="AL23" s="278">
        <f t="shared" ref="AL23:AL50" si="29">AJ23/AL$19</f>
        <v>3.8719999999999997E-2</v>
      </c>
      <c r="AM23" s="109">
        <v>450</v>
      </c>
      <c r="AN23" s="104">
        <v>24</v>
      </c>
      <c r="AO23" s="110">
        <v>30</v>
      </c>
      <c r="AP23" s="110">
        <v>16</v>
      </c>
      <c r="AQ23" s="282">
        <f t="shared" ref="AQ23:AQ37" si="30">((2*AO23*AN23)+2*(AO23*AP23)+(AN23*AP23))/144</f>
        <v>19.333333333333332</v>
      </c>
      <c r="AR23" s="288">
        <f t="shared" si="7"/>
        <v>-174.83218999999994</v>
      </c>
      <c r="AS23" s="93"/>
      <c r="AT23" s="4"/>
    </row>
    <row r="24" spans="1:46">
      <c r="A24" s="72">
        <f t="shared" si="1"/>
        <v>6</v>
      </c>
      <c r="B24" s="15">
        <v>2.4500000000000002</v>
      </c>
      <c r="C24" s="66">
        <f t="shared" si="8"/>
        <v>14.700000000000001</v>
      </c>
      <c r="D24" s="68">
        <v>15</v>
      </c>
      <c r="E24" s="186">
        <f t="shared" si="9"/>
        <v>120</v>
      </c>
      <c r="F24" s="45">
        <f t="shared" si="10"/>
        <v>2.4056261216234409</v>
      </c>
      <c r="G24" s="94">
        <f t="shared" si="11"/>
        <v>12</v>
      </c>
      <c r="H24" s="295">
        <f t="shared" si="12"/>
        <v>10.046592</v>
      </c>
      <c r="I24" s="25">
        <f t="shared" si="13"/>
        <v>17.401207786915023</v>
      </c>
      <c r="J24" s="52">
        <f t="shared" si="14"/>
        <v>20</v>
      </c>
      <c r="K24" s="25">
        <f t="shared" si="2"/>
        <v>14.94</v>
      </c>
      <c r="L24" s="427">
        <f t="shared" si="15"/>
        <v>0.5</v>
      </c>
      <c r="M24" s="64">
        <f t="shared" si="16"/>
        <v>30</v>
      </c>
      <c r="N24" s="838">
        <f t="shared" si="3"/>
        <v>3.1273139581104732</v>
      </c>
      <c r="O24" s="68">
        <f>LOOKUP(N24,'Circuit Breakers'!$B$5:$B$38,'Circuit Breakers'!$C$5:$C$38)</f>
        <v>5</v>
      </c>
      <c r="P24" s="1080">
        <f t="shared" si="4"/>
        <v>30</v>
      </c>
      <c r="Q24" s="1056">
        <f t="shared" si="17"/>
        <v>19.422000000000001</v>
      </c>
      <c r="R24" s="1064">
        <f>LOOKUP(Q24,'Circuit Breakers'!$B$5:$B$38,'Circuit Breakers'!$C$5:$C$38)</f>
        <v>20</v>
      </c>
      <c r="S24" s="64">
        <f t="shared" si="5"/>
        <v>30</v>
      </c>
      <c r="T24" s="25">
        <f t="shared" si="18"/>
        <v>19.5</v>
      </c>
      <c r="U24" s="158">
        <f>LOOKUP(T24,'Circuit Breakers'!$B$5:$B$38,'Circuit Breakers'!$C$5:$C$38)</f>
        <v>20</v>
      </c>
      <c r="V24" s="64">
        <f t="shared" si="19"/>
        <v>15</v>
      </c>
      <c r="W24" s="25">
        <f t="shared" si="20"/>
        <v>2.7664700398669568</v>
      </c>
      <c r="X24" s="68" t="str">
        <f>LOOKUP(W24,'Wire-Cables Ampacities'!$B$5:$B$35,'Wire-Cables Ampacities'!$C$5:$C$35)</f>
        <v>#10</v>
      </c>
      <c r="Y24" s="64">
        <f t="shared" si="21"/>
        <v>10</v>
      </c>
      <c r="Z24" s="25">
        <f t="shared" si="22"/>
        <v>16.434000000000001</v>
      </c>
      <c r="AA24" s="68" t="str">
        <f>LOOKUP(Z24,'Wire-Cables Ampacities'!$B$5:$B$35,'Wire-Cables Ampacities'!$C$5:$C$35)</f>
        <v>#10</v>
      </c>
      <c r="AB24" s="64">
        <f t="shared" si="23"/>
        <v>10</v>
      </c>
      <c r="AC24" s="25">
        <f t="shared" si="24"/>
        <v>16.5</v>
      </c>
      <c r="AD24" s="68" t="str">
        <f>LOOKUP(AC24,'Wire-Cables Ampacities'!$B$5:$B$35,'Wire-Cables Ampacities'!$C$5:$C$35)</f>
        <v>#10</v>
      </c>
      <c r="AE24" s="81">
        <f t="shared" si="25"/>
        <v>6.5000000000000002E-2</v>
      </c>
      <c r="AF24" s="56">
        <f t="shared" si="6"/>
        <v>221.78923</v>
      </c>
      <c r="AG24" s="72">
        <f t="shared" si="26"/>
        <v>40</v>
      </c>
      <c r="AH24" s="15">
        <f t="shared" si="26"/>
        <v>55</v>
      </c>
      <c r="AI24" s="64">
        <f t="shared" si="26"/>
        <v>20</v>
      </c>
      <c r="AJ24" s="56">
        <f t="shared" si="27"/>
        <v>9.1519999999999992</v>
      </c>
      <c r="AK24" s="271">
        <f t="shared" si="28"/>
        <v>9.151999999999999E-2</v>
      </c>
      <c r="AL24" s="277">
        <f t="shared" si="29"/>
        <v>4.5759999999999995E-2</v>
      </c>
      <c r="AM24" s="58">
        <v>600</v>
      </c>
      <c r="AN24" s="25">
        <v>24</v>
      </c>
      <c r="AO24" s="3">
        <v>48</v>
      </c>
      <c r="AP24" s="3">
        <v>16</v>
      </c>
      <c r="AQ24" s="281">
        <f t="shared" si="30"/>
        <v>29.333333333333332</v>
      </c>
      <c r="AR24" s="287">
        <f t="shared" si="7"/>
        <v>-328.21077000000002</v>
      </c>
      <c r="AS24" s="93"/>
      <c r="AT24" s="4"/>
    </row>
    <row r="25" spans="1:46">
      <c r="A25" s="72">
        <f t="shared" si="1"/>
        <v>6</v>
      </c>
      <c r="B25" s="15">
        <v>2.4500000000000002</v>
      </c>
      <c r="C25" s="66">
        <f t="shared" si="8"/>
        <v>14.700000000000001</v>
      </c>
      <c r="D25" s="68">
        <v>20</v>
      </c>
      <c r="E25" s="186">
        <f t="shared" si="9"/>
        <v>120</v>
      </c>
      <c r="F25" s="45">
        <f t="shared" si="10"/>
        <v>3.6084391824351614</v>
      </c>
      <c r="G25" s="94">
        <f t="shared" si="11"/>
        <v>12</v>
      </c>
      <c r="H25" s="295">
        <f t="shared" si="12"/>
        <v>10.046592</v>
      </c>
      <c r="I25" s="25">
        <f t="shared" si="13"/>
        <v>17.401207786915023</v>
      </c>
      <c r="J25" s="52">
        <f t="shared" si="14"/>
        <v>20</v>
      </c>
      <c r="K25" s="25">
        <f t="shared" si="2"/>
        <v>19.919999999999998</v>
      </c>
      <c r="L25" s="427">
        <f t="shared" si="15"/>
        <v>0.75</v>
      </c>
      <c r="M25" s="55">
        <f t="shared" si="16"/>
        <v>30</v>
      </c>
      <c r="N25" s="838">
        <f t="shared" si="3"/>
        <v>4.6909709371657096</v>
      </c>
      <c r="O25" s="68">
        <f>LOOKUP(N25,'Circuit Breakers'!$B$5:$B$38,'Circuit Breakers'!$C$5:$C$38)</f>
        <v>5</v>
      </c>
      <c r="P25" s="199">
        <f t="shared" si="4"/>
        <v>30</v>
      </c>
      <c r="Q25" s="1056">
        <f t="shared" si="17"/>
        <v>25.895999999999997</v>
      </c>
      <c r="R25" s="1064">
        <f>LOOKUP(Q25,'Circuit Breakers'!$B$5:$B$38,'Circuit Breakers'!$C$5:$C$38)</f>
        <v>30</v>
      </c>
      <c r="S25" s="64">
        <f t="shared" si="5"/>
        <v>30</v>
      </c>
      <c r="T25" s="25">
        <f t="shared" si="18"/>
        <v>26</v>
      </c>
      <c r="U25" s="158">
        <f>LOOKUP(T25,'Circuit Breakers'!$B$5:$B$38,'Circuit Breakers'!$C$5:$C$38)</f>
        <v>30</v>
      </c>
      <c r="V25" s="64">
        <f t="shared" si="19"/>
        <v>15</v>
      </c>
      <c r="W25" s="25">
        <f t="shared" si="20"/>
        <v>4.1497050598004357</v>
      </c>
      <c r="X25" s="68" t="str">
        <f>LOOKUP(W25,'Wire-Cables Ampacities'!$B$5:$B$35,'Wire-Cables Ampacities'!$C$5:$C$35)</f>
        <v>#10</v>
      </c>
      <c r="Y25" s="64">
        <f t="shared" si="21"/>
        <v>10</v>
      </c>
      <c r="Z25" s="25">
        <f t="shared" si="22"/>
        <v>21.911999999999999</v>
      </c>
      <c r="AA25" s="68" t="str">
        <f>LOOKUP(Z25,'Wire-Cables Ampacities'!$B$5:$B$35,'Wire-Cables Ampacities'!$C$5:$C$35)</f>
        <v>#10</v>
      </c>
      <c r="AB25" s="64">
        <f t="shared" si="23"/>
        <v>10</v>
      </c>
      <c r="AC25" s="25">
        <f t="shared" si="24"/>
        <v>22</v>
      </c>
      <c r="AD25" s="68" t="str">
        <f>LOOKUP(AC25,'Wire-Cables Ampacities'!$B$5:$B$35,'Wire-Cables Ampacities'!$C$5:$C$35)</f>
        <v>#10</v>
      </c>
      <c r="AE25" s="81">
        <f t="shared" si="25"/>
        <v>9.2499999999999999E-2</v>
      </c>
      <c r="AF25" s="56">
        <f t="shared" si="6"/>
        <v>315.62313499999999</v>
      </c>
      <c r="AG25" s="72">
        <f t="shared" si="26"/>
        <v>40</v>
      </c>
      <c r="AH25" s="15">
        <f t="shared" si="26"/>
        <v>55</v>
      </c>
      <c r="AI25" s="64">
        <f t="shared" si="26"/>
        <v>20</v>
      </c>
      <c r="AJ25" s="56">
        <f t="shared" si="27"/>
        <v>13.023999999999999</v>
      </c>
      <c r="AK25" s="271">
        <f t="shared" si="28"/>
        <v>0.13023999999999999</v>
      </c>
      <c r="AL25" s="277">
        <f t="shared" si="29"/>
        <v>6.5119999999999997E-2</v>
      </c>
      <c r="AM25" s="58">
        <v>600</v>
      </c>
      <c r="AN25" s="25">
        <v>24</v>
      </c>
      <c r="AO25" s="3">
        <v>48</v>
      </c>
      <c r="AP25" s="3">
        <v>16</v>
      </c>
      <c r="AQ25" s="281">
        <f t="shared" si="30"/>
        <v>29.333333333333332</v>
      </c>
      <c r="AR25" s="287">
        <f t="shared" si="7"/>
        <v>-234.37686500000001</v>
      </c>
      <c r="AS25" s="93"/>
      <c r="AT25" s="4"/>
    </row>
    <row r="26" spans="1:46">
      <c r="A26" s="98">
        <f t="shared" si="1"/>
        <v>6</v>
      </c>
      <c r="B26" s="99">
        <v>2.4500000000000002</v>
      </c>
      <c r="C26" s="100">
        <f t="shared" si="8"/>
        <v>14.700000000000001</v>
      </c>
      <c r="D26" s="101">
        <v>25</v>
      </c>
      <c r="E26" s="183">
        <f t="shared" si="9"/>
        <v>120</v>
      </c>
      <c r="F26" s="102">
        <f t="shared" si="10"/>
        <v>4.8112522432468818</v>
      </c>
      <c r="G26" s="103">
        <f t="shared" si="11"/>
        <v>12</v>
      </c>
      <c r="H26" s="296">
        <f t="shared" si="12"/>
        <v>10.046592</v>
      </c>
      <c r="I26" s="104">
        <f t="shared" si="13"/>
        <v>17.401207786915023</v>
      </c>
      <c r="J26" s="180">
        <f t="shared" si="14"/>
        <v>20</v>
      </c>
      <c r="K26" s="104">
        <f t="shared" si="2"/>
        <v>24.9</v>
      </c>
      <c r="L26" s="428">
        <f t="shared" si="15"/>
        <v>1</v>
      </c>
      <c r="M26" s="106">
        <f t="shared" si="16"/>
        <v>30</v>
      </c>
      <c r="N26" s="1060">
        <f t="shared" si="3"/>
        <v>6.2546279162209464</v>
      </c>
      <c r="O26" s="101">
        <f>LOOKUP(N26,'Circuit Breakers'!$B$5:$B$38,'Circuit Breakers'!$C$5:$C$38)</f>
        <v>10</v>
      </c>
      <c r="P26" s="262">
        <f t="shared" si="4"/>
        <v>30</v>
      </c>
      <c r="Q26" s="1057">
        <f t="shared" si="17"/>
        <v>32.369999999999997</v>
      </c>
      <c r="R26" s="1065">
        <f>LOOKUP(Q26,'Circuit Breakers'!$B$5:$B$38,'Circuit Breakers'!$C$5:$C$38)</f>
        <v>40</v>
      </c>
      <c r="S26" s="106">
        <f t="shared" si="5"/>
        <v>30</v>
      </c>
      <c r="T26" s="104">
        <f t="shared" si="18"/>
        <v>32.5</v>
      </c>
      <c r="U26" s="477">
        <f>LOOKUP(T26,'Circuit Breakers'!$B$5:$B$38,'Circuit Breakers'!$C$5:$C$38)</f>
        <v>40</v>
      </c>
      <c r="V26" s="106">
        <f t="shared" si="19"/>
        <v>15</v>
      </c>
      <c r="W26" s="104">
        <f t="shared" si="20"/>
        <v>5.5329400797339137</v>
      </c>
      <c r="X26" s="101" t="str">
        <f>LOOKUP(W26,'Wire-Cables Ampacities'!$B$5:$B$35,'Wire-Cables Ampacities'!$C$5:$C$35)</f>
        <v>#10</v>
      </c>
      <c r="Y26" s="106">
        <f t="shared" si="21"/>
        <v>10</v>
      </c>
      <c r="Z26" s="104">
        <f t="shared" si="22"/>
        <v>27.39</v>
      </c>
      <c r="AA26" s="101" t="str">
        <f>LOOKUP(Z26,'Wire-Cables Ampacities'!$B$5:$B$35,'Wire-Cables Ampacities'!$C$5:$C$35)</f>
        <v>#10</v>
      </c>
      <c r="AB26" s="106">
        <f t="shared" si="23"/>
        <v>10</v>
      </c>
      <c r="AC26" s="104">
        <f t="shared" si="24"/>
        <v>27.500000000000004</v>
      </c>
      <c r="AD26" s="101" t="str">
        <f>LOOKUP(AC26,'Wire-Cables Ampacities'!$B$5:$B$35,'Wire-Cables Ampacities'!$C$5:$C$35)</f>
        <v>#10</v>
      </c>
      <c r="AE26" s="107">
        <f t="shared" si="25"/>
        <v>0.12</v>
      </c>
      <c r="AF26" s="105">
        <f t="shared" si="6"/>
        <v>409.45703999999995</v>
      </c>
      <c r="AG26" s="98">
        <f t="shared" si="26"/>
        <v>40</v>
      </c>
      <c r="AH26" s="99">
        <f t="shared" si="26"/>
        <v>55</v>
      </c>
      <c r="AI26" s="106">
        <f t="shared" si="26"/>
        <v>20</v>
      </c>
      <c r="AJ26" s="105">
        <f t="shared" si="27"/>
        <v>16.896000000000001</v>
      </c>
      <c r="AK26" s="272">
        <f t="shared" si="28"/>
        <v>0.16896</v>
      </c>
      <c r="AL26" s="278">
        <f t="shared" si="29"/>
        <v>8.448E-2</v>
      </c>
      <c r="AM26" s="109">
        <v>600</v>
      </c>
      <c r="AN26" s="104">
        <v>24</v>
      </c>
      <c r="AO26" s="110">
        <v>48</v>
      </c>
      <c r="AP26" s="110">
        <v>16</v>
      </c>
      <c r="AQ26" s="282">
        <f t="shared" si="30"/>
        <v>29.333333333333332</v>
      </c>
      <c r="AR26" s="288">
        <f t="shared" si="7"/>
        <v>-140.54296000000005</v>
      </c>
      <c r="AS26" s="93"/>
      <c r="AT26" s="4"/>
    </row>
    <row r="27" spans="1:46">
      <c r="A27" s="72">
        <f t="shared" si="1"/>
        <v>6</v>
      </c>
      <c r="B27" s="15">
        <v>2.4500000000000002</v>
      </c>
      <c r="C27" s="66">
        <f t="shared" si="8"/>
        <v>14.700000000000001</v>
      </c>
      <c r="D27" s="68">
        <v>30</v>
      </c>
      <c r="E27" s="186">
        <f t="shared" si="9"/>
        <v>120</v>
      </c>
      <c r="F27" s="45">
        <f t="shared" si="10"/>
        <v>4.8112522432468818</v>
      </c>
      <c r="G27" s="94">
        <f t="shared" si="11"/>
        <v>12</v>
      </c>
      <c r="H27" s="295">
        <f t="shared" si="12"/>
        <v>10.046592</v>
      </c>
      <c r="I27" s="25">
        <f t="shared" si="13"/>
        <v>17.401207786915023</v>
      </c>
      <c r="J27" s="52">
        <f t="shared" si="14"/>
        <v>20</v>
      </c>
      <c r="K27" s="25">
        <f t="shared" si="2"/>
        <v>29.88</v>
      </c>
      <c r="L27" s="427">
        <f t="shared" si="15"/>
        <v>1</v>
      </c>
      <c r="M27" s="64">
        <f t="shared" si="16"/>
        <v>30</v>
      </c>
      <c r="N27" s="838">
        <f t="shared" si="3"/>
        <v>6.2546279162209464</v>
      </c>
      <c r="O27" s="68">
        <f>LOOKUP(N27,'Circuit Breakers'!$B$5:$B$38,'Circuit Breakers'!$C$5:$C$38)</f>
        <v>10</v>
      </c>
      <c r="P27" s="199">
        <f t="shared" si="4"/>
        <v>30</v>
      </c>
      <c r="Q27" s="1056">
        <f t="shared" si="17"/>
        <v>38.844000000000001</v>
      </c>
      <c r="R27" s="1064">
        <f>LOOKUP(Q27,'Circuit Breakers'!$B$5:$B$38,'Circuit Breakers'!$C$5:$C$38)</f>
        <v>40</v>
      </c>
      <c r="S27" s="64">
        <f t="shared" si="5"/>
        <v>30</v>
      </c>
      <c r="T27" s="25">
        <f t="shared" si="18"/>
        <v>39</v>
      </c>
      <c r="U27" s="158">
        <f>LOOKUP(T27,'Circuit Breakers'!$B$5:$B$38,'Circuit Breakers'!$C$5:$C$38)</f>
        <v>40</v>
      </c>
      <c r="V27" s="64">
        <f t="shared" si="19"/>
        <v>15</v>
      </c>
      <c r="W27" s="25">
        <f t="shared" si="20"/>
        <v>5.5329400797339137</v>
      </c>
      <c r="X27" s="68" t="str">
        <f>LOOKUP(W27,'Wire-Cables Ampacities'!$B$5:$B$35,'Wire-Cables Ampacities'!$C$5:$C$35)</f>
        <v>#10</v>
      </c>
      <c r="Y27" s="64">
        <f t="shared" si="21"/>
        <v>10</v>
      </c>
      <c r="Z27" s="25">
        <f t="shared" si="22"/>
        <v>32.868000000000002</v>
      </c>
      <c r="AA27" s="68" t="str">
        <f>LOOKUP(Z27,'Wire-Cables Ampacities'!$B$5:$B$35,'Wire-Cables Ampacities'!$C$5:$C$35)</f>
        <v>#10</v>
      </c>
      <c r="AB27" s="64">
        <f t="shared" si="23"/>
        <v>10</v>
      </c>
      <c r="AC27" s="25">
        <f t="shared" si="24"/>
        <v>33</v>
      </c>
      <c r="AD27" s="68" t="str">
        <f>LOOKUP(AC27,'Wire-Cables Ampacities'!$B$5:$B$35,'Wire-Cables Ampacities'!$C$5:$C$35)</f>
        <v>#10</v>
      </c>
      <c r="AE27" s="81">
        <f t="shared" si="25"/>
        <v>0.13</v>
      </c>
      <c r="AF27" s="56">
        <f t="shared" si="6"/>
        <v>443.57846000000001</v>
      </c>
      <c r="AG27" s="72">
        <f t="shared" si="26"/>
        <v>40</v>
      </c>
      <c r="AH27" s="15">
        <f t="shared" si="26"/>
        <v>55</v>
      </c>
      <c r="AI27" s="64">
        <f t="shared" si="26"/>
        <v>20</v>
      </c>
      <c r="AJ27" s="56">
        <f t="shared" si="27"/>
        <v>18.303999999999998</v>
      </c>
      <c r="AK27" s="271">
        <f t="shared" si="28"/>
        <v>0.18303999999999998</v>
      </c>
      <c r="AL27" s="277">
        <f t="shared" si="29"/>
        <v>9.151999999999999E-2</v>
      </c>
      <c r="AM27" s="58">
        <v>600</v>
      </c>
      <c r="AN27" s="25">
        <v>24</v>
      </c>
      <c r="AO27" s="3">
        <v>48</v>
      </c>
      <c r="AP27" s="3">
        <v>16</v>
      </c>
      <c r="AQ27" s="281">
        <f t="shared" si="30"/>
        <v>29.333333333333332</v>
      </c>
      <c r="AR27" s="287">
        <f t="shared" si="7"/>
        <v>-106.42153999999999</v>
      </c>
      <c r="AS27" s="93"/>
      <c r="AT27" s="4"/>
    </row>
    <row r="28" spans="1:46">
      <c r="A28" s="72">
        <f t="shared" si="1"/>
        <v>6</v>
      </c>
      <c r="B28" s="15">
        <v>2.4500000000000002</v>
      </c>
      <c r="C28" s="66">
        <f t="shared" si="8"/>
        <v>14.700000000000001</v>
      </c>
      <c r="D28" s="68">
        <v>35</v>
      </c>
      <c r="E28" s="186">
        <f t="shared" si="9"/>
        <v>120</v>
      </c>
      <c r="F28" s="45">
        <f t="shared" si="10"/>
        <v>6.0140653040586018</v>
      </c>
      <c r="G28" s="94">
        <f t="shared" si="11"/>
        <v>12</v>
      </c>
      <c r="H28" s="295">
        <f t="shared" si="12"/>
        <v>10.046592</v>
      </c>
      <c r="I28" s="25">
        <f t="shared" si="13"/>
        <v>17.401207786915023</v>
      </c>
      <c r="J28" s="52">
        <f t="shared" si="14"/>
        <v>20</v>
      </c>
      <c r="K28" s="25">
        <f t="shared" si="2"/>
        <v>34.86</v>
      </c>
      <c r="L28" s="427">
        <f t="shared" si="15"/>
        <v>1.25</v>
      </c>
      <c r="M28" s="64">
        <f t="shared" si="16"/>
        <v>30</v>
      </c>
      <c r="N28" s="838">
        <f t="shared" si="3"/>
        <v>7.8182848952761823</v>
      </c>
      <c r="O28" s="68">
        <f>LOOKUP(N28,'Circuit Breakers'!$B$5:$B$38,'Circuit Breakers'!$C$5:$C$38)</f>
        <v>10</v>
      </c>
      <c r="P28" s="199">
        <f t="shared" si="4"/>
        <v>30</v>
      </c>
      <c r="Q28" s="1056">
        <f t="shared" si="17"/>
        <v>45.317999999999998</v>
      </c>
      <c r="R28" s="1064">
        <f>LOOKUP(Q28,'Circuit Breakers'!$B$5:$B$38,'Circuit Breakers'!$C$5:$C$38)</f>
        <v>50</v>
      </c>
      <c r="S28" s="64">
        <f t="shared" si="5"/>
        <v>30</v>
      </c>
      <c r="T28" s="25">
        <f t="shared" si="18"/>
        <v>45.5</v>
      </c>
      <c r="U28" s="158">
        <f>LOOKUP(T28,'Circuit Breakers'!$B$5:$B$38,'Circuit Breakers'!$C$5:$C$38)</f>
        <v>50</v>
      </c>
      <c r="V28" s="64">
        <f t="shared" si="19"/>
        <v>15</v>
      </c>
      <c r="W28" s="25">
        <f t="shared" si="20"/>
        <v>6.9161750996673916</v>
      </c>
      <c r="X28" s="68" t="str">
        <f>LOOKUP(W28,'Wire-Cables Ampacities'!$B$5:$B$35,'Wire-Cables Ampacities'!$C$5:$C$35)</f>
        <v>#10</v>
      </c>
      <c r="Y28" s="64">
        <f t="shared" si="21"/>
        <v>10</v>
      </c>
      <c r="Z28" s="25">
        <f t="shared" si="22"/>
        <v>38.346000000000004</v>
      </c>
      <c r="AA28" s="68" t="str">
        <f>LOOKUP(Z28,'Wire-Cables Ampacities'!$B$5:$B$35,'Wire-Cables Ampacities'!$C$5:$C$35)</f>
        <v>#10</v>
      </c>
      <c r="AB28" s="64">
        <f t="shared" si="23"/>
        <v>10</v>
      </c>
      <c r="AC28" s="25">
        <f t="shared" si="24"/>
        <v>38.5</v>
      </c>
      <c r="AD28" s="68" t="str">
        <f>LOOKUP(AC28,'Wire-Cables Ampacities'!$B$5:$B$35,'Wire-Cables Ampacities'!$C$5:$C$35)</f>
        <v>#10</v>
      </c>
      <c r="AE28" s="81">
        <f t="shared" si="25"/>
        <v>0.1575</v>
      </c>
      <c r="AF28" s="56">
        <f t="shared" si="6"/>
        <v>537.41236500000002</v>
      </c>
      <c r="AG28" s="72">
        <f t="shared" si="26"/>
        <v>40</v>
      </c>
      <c r="AH28" s="15">
        <f t="shared" si="26"/>
        <v>55</v>
      </c>
      <c r="AI28" s="64">
        <f t="shared" si="26"/>
        <v>20</v>
      </c>
      <c r="AJ28" s="56">
        <f t="shared" si="27"/>
        <v>22.175999999999998</v>
      </c>
      <c r="AK28" s="271">
        <f t="shared" si="28"/>
        <v>0.22175999999999998</v>
      </c>
      <c r="AL28" s="277">
        <f t="shared" si="29"/>
        <v>0.11087999999999999</v>
      </c>
      <c r="AM28" s="58">
        <v>600</v>
      </c>
      <c r="AN28" s="25">
        <v>24</v>
      </c>
      <c r="AO28" s="3">
        <v>48</v>
      </c>
      <c r="AP28" s="3">
        <v>16</v>
      </c>
      <c r="AQ28" s="281">
        <f t="shared" si="30"/>
        <v>29.333333333333332</v>
      </c>
      <c r="AR28" s="287">
        <f t="shared" si="7"/>
        <v>-12.587634999999977</v>
      </c>
      <c r="AS28" s="93"/>
      <c r="AT28" s="4"/>
    </row>
    <row r="29" spans="1:46">
      <c r="A29" s="98">
        <f t="shared" si="1"/>
        <v>6</v>
      </c>
      <c r="B29" s="99">
        <v>2.4500000000000002</v>
      </c>
      <c r="C29" s="100">
        <f t="shared" si="8"/>
        <v>14.700000000000001</v>
      </c>
      <c r="D29" s="101">
        <v>40</v>
      </c>
      <c r="E29" s="183">
        <f t="shared" si="9"/>
        <v>120</v>
      </c>
      <c r="F29" s="102">
        <f t="shared" si="10"/>
        <v>6.0140653040586018</v>
      </c>
      <c r="G29" s="103">
        <f t="shared" si="11"/>
        <v>12</v>
      </c>
      <c r="H29" s="296">
        <f t="shared" si="12"/>
        <v>10.046592</v>
      </c>
      <c r="I29" s="104">
        <f t="shared" si="13"/>
        <v>17.401207786915023</v>
      </c>
      <c r="J29" s="180">
        <f t="shared" si="14"/>
        <v>20</v>
      </c>
      <c r="K29" s="104">
        <f t="shared" si="2"/>
        <v>39.839999999999996</v>
      </c>
      <c r="L29" s="428">
        <f t="shared" si="15"/>
        <v>1.25</v>
      </c>
      <c r="M29" s="106">
        <f t="shared" si="16"/>
        <v>30</v>
      </c>
      <c r="N29" s="1060">
        <f t="shared" si="3"/>
        <v>7.8182848952761823</v>
      </c>
      <c r="O29" s="101">
        <f>LOOKUP(N29,'Circuit Breakers'!$B$5:$B$38,'Circuit Breakers'!$C$5:$C$38)</f>
        <v>10</v>
      </c>
      <c r="P29" s="262">
        <f t="shared" si="4"/>
        <v>30</v>
      </c>
      <c r="Q29" s="1057">
        <f t="shared" si="17"/>
        <v>51.791999999999994</v>
      </c>
      <c r="R29" s="1065">
        <f>LOOKUP(Q29,'Circuit Breakers'!$B$5:$B$38,'Circuit Breakers'!$C$5:$C$38)</f>
        <v>60</v>
      </c>
      <c r="S29" s="106">
        <f t="shared" si="5"/>
        <v>30</v>
      </c>
      <c r="T29" s="104">
        <f t="shared" si="18"/>
        <v>52</v>
      </c>
      <c r="U29" s="477">
        <f>LOOKUP(T29,'Circuit Breakers'!$B$5:$B$38,'Circuit Breakers'!$C$5:$C$38)</f>
        <v>60</v>
      </c>
      <c r="V29" s="106">
        <f t="shared" si="19"/>
        <v>15</v>
      </c>
      <c r="W29" s="104">
        <f t="shared" si="20"/>
        <v>6.9161750996673916</v>
      </c>
      <c r="X29" s="101" t="str">
        <f>LOOKUP(W29,'Wire-Cables Ampacities'!$B$5:$B$35,'Wire-Cables Ampacities'!$C$5:$C$35)</f>
        <v>#10</v>
      </c>
      <c r="Y29" s="106">
        <f t="shared" si="21"/>
        <v>10</v>
      </c>
      <c r="Z29" s="104">
        <f t="shared" si="22"/>
        <v>43.823999999999998</v>
      </c>
      <c r="AA29" s="101" t="str">
        <f>LOOKUP(Z29,'Wire-Cables Ampacities'!$B$5:$B$35,'Wire-Cables Ampacities'!$C$5:$C$35)</f>
        <v>#8</v>
      </c>
      <c r="AB29" s="106">
        <f t="shared" si="23"/>
        <v>10</v>
      </c>
      <c r="AC29" s="104">
        <f t="shared" si="24"/>
        <v>44</v>
      </c>
      <c r="AD29" s="101" t="str">
        <f>LOOKUP(AC29,'Wire-Cables Ampacities'!$B$5:$B$35,'Wire-Cables Ampacities'!$C$5:$C$35)</f>
        <v>#8</v>
      </c>
      <c r="AE29" s="107">
        <f t="shared" si="25"/>
        <v>0.16750000000000001</v>
      </c>
      <c r="AF29" s="105">
        <f t="shared" si="6"/>
        <v>571.53378499999997</v>
      </c>
      <c r="AG29" s="98">
        <f t="shared" si="26"/>
        <v>40</v>
      </c>
      <c r="AH29" s="99">
        <f t="shared" si="26"/>
        <v>55</v>
      </c>
      <c r="AI29" s="106">
        <f t="shared" si="26"/>
        <v>20</v>
      </c>
      <c r="AJ29" s="105">
        <f t="shared" si="27"/>
        <v>23.584</v>
      </c>
      <c r="AK29" s="272">
        <f t="shared" si="28"/>
        <v>0.23583999999999999</v>
      </c>
      <c r="AL29" s="278">
        <f t="shared" si="29"/>
        <v>0.11792</v>
      </c>
      <c r="AM29" s="109">
        <v>600</v>
      </c>
      <c r="AN29" s="104">
        <v>24</v>
      </c>
      <c r="AO29" s="110">
        <v>48</v>
      </c>
      <c r="AP29" s="110">
        <v>16</v>
      </c>
      <c r="AQ29" s="282">
        <f t="shared" si="30"/>
        <v>29.333333333333332</v>
      </c>
      <c r="AR29" s="288">
        <f t="shared" si="7"/>
        <v>21.533784999999966</v>
      </c>
      <c r="AS29" s="93"/>
      <c r="AT29" s="4"/>
    </row>
    <row r="30" spans="1:46">
      <c r="A30" s="72">
        <f t="shared" si="1"/>
        <v>6</v>
      </c>
      <c r="B30" s="15">
        <v>2.4500000000000002</v>
      </c>
      <c r="C30" s="66">
        <f t="shared" si="8"/>
        <v>14.700000000000001</v>
      </c>
      <c r="D30" s="68">
        <v>50</v>
      </c>
      <c r="E30" s="186">
        <f t="shared" si="9"/>
        <v>120</v>
      </c>
      <c r="F30" s="45">
        <f t="shared" si="10"/>
        <v>8.4196914256820428</v>
      </c>
      <c r="G30" s="94">
        <f t="shared" si="11"/>
        <v>12</v>
      </c>
      <c r="H30" s="295">
        <f t="shared" si="12"/>
        <v>10.046592</v>
      </c>
      <c r="I30" s="25">
        <f t="shared" si="13"/>
        <v>17.401207786915023</v>
      </c>
      <c r="J30" s="52">
        <f t="shared" si="14"/>
        <v>20</v>
      </c>
      <c r="K30" s="25">
        <f t="shared" si="2"/>
        <v>49.8</v>
      </c>
      <c r="L30" s="427">
        <f t="shared" si="15"/>
        <v>1.75</v>
      </c>
      <c r="M30" s="64">
        <f t="shared" si="16"/>
        <v>30</v>
      </c>
      <c r="N30" s="838">
        <f t="shared" si="3"/>
        <v>10.945598853386656</v>
      </c>
      <c r="O30" s="68">
        <f>LOOKUP(N30,'Circuit Breakers'!$B$5:$B$38,'Circuit Breakers'!$C$5:$C$38)</f>
        <v>15</v>
      </c>
      <c r="P30" s="199">
        <f t="shared" si="4"/>
        <v>30</v>
      </c>
      <c r="Q30" s="1056">
        <f t="shared" si="17"/>
        <v>64.739999999999995</v>
      </c>
      <c r="R30" s="1064">
        <f>LOOKUP(Q30,'Circuit Breakers'!$B$5:$B$38,'Circuit Breakers'!$C$5:$C$38)</f>
        <v>70</v>
      </c>
      <c r="S30" s="64">
        <f t="shared" si="5"/>
        <v>30</v>
      </c>
      <c r="T30" s="25">
        <f t="shared" si="18"/>
        <v>65</v>
      </c>
      <c r="U30" s="158">
        <f>LOOKUP(T30,'Circuit Breakers'!$B$5:$B$38,'Circuit Breakers'!$C$5:$C$38)</f>
        <v>70</v>
      </c>
      <c r="V30" s="64">
        <f t="shared" si="19"/>
        <v>15</v>
      </c>
      <c r="W30" s="25">
        <f t="shared" si="20"/>
        <v>9.6826451395343476</v>
      </c>
      <c r="X30" s="68" t="str">
        <f>LOOKUP(W30,'Wire-Cables Ampacities'!$B$5:$B$35,'Wire-Cables Ampacities'!$C$5:$C$35)</f>
        <v>#10</v>
      </c>
      <c r="Y30" s="64">
        <f t="shared" si="21"/>
        <v>10</v>
      </c>
      <c r="Z30" s="25">
        <f t="shared" si="22"/>
        <v>54.78</v>
      </c>
      <c r="AA30" s="68" t="str">
        <f>LOOKUP(Z30,'Wire-Cables Ampacities'!$B$5:$B$35,'Wire-Cables Ampacities'!$C$5:$C$35)</f>
        <v>#8</v>
      </c>
      <c r="AB30" s="64">
        <f t="shared" si="23"/>
        <v>10</v>
      </c>
      <c r="AC30" s="25">
        <f t="shared" si="24"/>
        <v>55.000000000000007</v>
      </c>
      <c r="AD30" s="68" t="str">
        <f>LOOKUP(AC30,'Wire-Cables Ampacities'!$B$5:$B$35,'Wire-Cables Ampacities'!$C$5:$C$35)</f>
        <v>#8</v>
      </c>
      <c r="AE30" s="81">
        <f t="shared" si="25"/>
        <v>0.2225</v>
      </c>
      <c r="AF30" s="56">
        <f t="shared" si="6"/>
        <v>759.201595</v>
      </c>
      <c r="AG30" s="72">
        <f t="shared" si="26"/>
        <v>40</v>
      </c>
      <c r="AH30" s="15">
        <f t="shared" si="26"/>
        <v>55</v>
      </c>
      <c r="AI30" s="64">
        <f t="shared" si="26"/>
        <v>20</v>
      </c>
      <c r="AJ30" s="56">
        <f t="shared" si="27"/>
        <v>31.328000000000003</v>
      </c>
      <c r="AK30" s="271">
        <f t="shared" si="28"/>
        <v>0.31328</v>
      </c>
      <c r="AL30" s="277">
        <f t="shared" si="29"/>
        <v>0.15664</v>
      </c>
      <c r="AM30" s="58">
        <v>800</v>
      </c>
      <c r="AN30" s="25">
        <v>34</v>
      </c>
      <c r="AO30" s="3">
        <v>48</v>
      </c>
      <c r="AP30" s="3">
        <v>28</v>
      </c>
      <c r="AQ30" s="281">
        <f t="shared" si="30"/>
        <v>47.944444444444443</v>
      </c>
      <c r="AR30" s="287">
        <f t="shared" si="7"/>
        <v>-139.75673833333337</v>
      </c>
      <c r="AS30" s="93"/>
      <c r="AT30" s="4"/>
    </row>
    <row r="31" spans="1:46">
      <c r="A31" s="72">
        <f t="shared" si="1"/>
        <v>6</v>
      </c>
      <c r="B31" s="15">
        <v>2.4500000000000002</v>
      </c>
      <c r="C31" s="66">
        <f t="shared" si="8"/>
        <v>14.700000000000001</v>
      </c>
      <c r="D31" s="68">
        <v>60</v>
      </c>
      <c r="E31" s="186">
        <f t="shared" si="9"/>
        <v>120</v>
      </c>
      <c r="F31" s="45">
        <f t="shared" si="10"/>
        <v>9.6225044864937637</v>
      </c>
      <c r="G31" s="94">
        <f t="shared" si="11"/>
        <v>12</v>
      </c>
      <c r="H31" s="295">
        <f t="shared" si="12"/>
        <v>10.046592</v>
      </c>
      <c r="I31" s="25">
        <f t="shared" si="13"/>
        <v>17.401207786915023</v>
      </c>
      <c r="J31" s="52">
        <f t="shared" si="14"/>
        <v>20</v>
      </c>
      <c r="K31" s="25">
        <f t="shared" si="2"/>
        <v>59.76</v>
      </c>
      <c r="L31" s="427">
        <f t="shared" si="15"/>
        <v>2</v>
      </c>
      <c r="M31" s="64">
        <f t="shared" si="16"/>
        <v>30</v>
      </c>
      <c r="N31" s="838">
        <f t="shared" si="3"/>
        <v>12.509255832441893</v>
      </c>
      <c r="O31" s="68">
        <f>LOOKUP(N31,'Circuit Breakers'!$B$5:$B$38,'Circuit Breakers'!$C$5:$C$38)</f>
        <v>15</v>
      </c>
      <c r="P31" s="199">
        <f t="shared" si="4"/>
        <v>30</v>
      </c>
      <c r="Q31" s="1056">
        <f t="shared" si="17"/>
        <v>77.688000000000002</v>
      </c>
      <c r="R31" s="1064">
        <f>LOOKUP(Q31,'Circuit Breakers'!$B$5:$B$38,'Circuit Breakers'!$C$5:$C$38)</f>
        <v>80</v>
      </c>
      <c r="S31" s="64">
        <f t="shared" si="5"/>
        <v>30</v>
      </c>
      <c r="T31" s="25">
        <f t="shared" si="18"/>
        <v>78</v>
      </c>
      <c r="U31" s="158">
        <f>LOOKUP(T31,'Circuit Breakers'!$B$5:$B$38,'Circuit Breakers'!$C$5:$C$38)</f>
        <v>80</v>
      </c>
      <c r="V31" s="64">
        <f t="shared" si="19"/>
        <v>15</v>
      </c>
      <c r="W31" s="25">
        <f t="shared" si="20"/>
        <v>11.065880159467827</v>
      </c>
      <c r="X31" s="68" t="str">
        <f>LOOKUP(W31,'Wire-Cables Ampacities'!$B$5:$B$35,'Wire-Cables Ampacities'!$C$5:$C$35)</f>
        <v>#10</v>
      </c>
      <c r="Y31" s="64">
        <f t="shared" si="21"/>
        <v>10</v>
      </c>
      <c r="Z31" s="25">
        <f t="shared" si="22"/>
        <v>65.736000000000004</v>
      </c>
      <c r="AA31" s="68" t="str">
        <f>LOOKUP(Z31,'Wire-Cables Ampacities'!$B$5:$B$35,'Wire-Cables Ampacities'!$C$5:$C$35)</f>
        <v>#6</v>
      </c>
      <c r="AB31" s="64">
        <f t="shared" si="23"/>
        <v>10</v>
      </c>
      <c r="AC31" s="25">
        <f t="shared" si="24"/>
        <v>66</v>
      </c>
      <c r="AD31" s="68" t="str">
        <f>LOOKUP(AC31,'Wire-Cables Ampacities'!$B$5:$B$35,'Wire-Cables Ampacities'!$C$5:$C$35)</f>
        <v>#6</v>
      </c>
      <c r="AE31" s="81">
        <f t="shared" si="25"/>
        <v>0.26</v>
      </c>
      <c r="AF31" s="56">
        <f t="shared" si="6"/>
        <v>887.15692000000001</v>
      </c>
      <c r="AG31" s="72">
        <f t="shared" si="26"/>
        <v>40</v>
      </c>
      <c r="AH31" s="15">
        <f t="shared" si="26"/>
        <v>55</v>
      </c>
      <c r="AI31" s="64">
        <f t="shared" si="26"/>
        <v>20</v>
      </c>
      <c r="AJ31" s="56">
        <f t="shared" si="27"/>
        <v>36.607999999999997</v>
      </c>
      <c r="AK31" s="271">
        <f t="shared" si="28"/>
        <v>0.36607999999999996</v>
      </c>
      <c r="AL31" s="277">
        <f t="shared" si="29"/>
        <v>0.18303999999999998</v>
      </c>
      <c r="AM31" s="58">
        <v>800</v>
      </c>
      <c r="AN31" s="25">
        <v>34</v>
      </c>
      <c r="AO31" s="3">
        <v>48</v>
      </c>
      <c r="AP31" s="3">
        <v>28</v>
      </c>
      <c r="AQ31" s="281">
        <f t="shared" si="30"/>
        <v>47.944444444444443</v>
      </c>
      <c r="AR31" s="287">
        <f t="shared" si="7"/>
        <v>-11.801413333333358</v>
      </c>
      <c r="AS31" s="93"/>
      <c r="AT31" s="4"/>
    </row>
    <row r="32" spans="1:46">
      <c r="A32" s="98">
        <f t="shared" si="1"/>
        <v>6</v>
      </c>
      <c r="B32" s="99">
        <v>2.4500000000000002</v>
      </c>
      <c r="C32" s="100">
        <f t="shared" si="8"/>
        <v>14.700000000000001</v>
      </c>
      <c r="D32" s="101">
        <v>75</v>
      </c>
      <c r="E32" s="183">
        <f t="shared" si="9"/>
        <v>120</v>
      </c>
      <c r="F32" s="102">
        <f t="shared" si="10"/>
        <v>12.028130608117204</v>
      </c>
      <c r="G32" s="103">
        <f t="shared" si="11"/>
        <v>12</v>
      </c>
      <c r="H32" s="296">
        <f t="shared" si="12"/>
        <v>10.046592</v>
      </c>
      <c r="I32" s="104">
        <f t="shared" si="13"/>
        <v>17.401207786915023</v>
      </c>
      <c r="J32" s="180">
        <f t="shared" si="14"/>
        <v>20</v>
      </c>
      <c r="K32" s="104">
        <f t="shared" si="2"/>
        <v>74.7</v>
      </c>
      <c r="L32" s="428">
        <f t="shared" si="15"/>
        <v>2.5</v>
      </c>
      <c r="M32" s="106">
        <f t="shared" si="16"/>
        <v>30</v>
      </c>
      <c r="N32" s="1060">
        <f t="shared" si="3"/>
        <v>15.636569790552365</v>
      </c>
      <c r="O32" s="101">
        <f>LOOKUP(N32,'Circuit Breakers'!$B$5:$B$38,'Circuit Breakers'!$C$5:$C$38)</f>
        <v>20</v>
      </c>
      <c r="P32" s="262">
        <f t="shared" si="4"/>
        <v>30</v>
      </c>
      <c r="Q32" s="1057">
        <f t="shared" si="17"/>
        <v>97.110000000000014</v>
      </c>
      <c r="R32" s="1065">
        <f>LOOKUP(Q32,'Circuit Breakers'!$B$5:$B$38,'Circuit Breakers'!$C$5:$C$38)</f>
        <v>100</v>
      </c>
      <c r="S32" s="106">
        <f t="shared" si="5"/>
        <v>30</v>
      </c>
      <c r="T32" s="104">
        <f t="shared" si="18"/>
        <v>97.5</v>
      </c>
      <c r="U32" s="477">
        <f>LOOKUP(T32,'Circuit Breakers'!$B$5:$B$38,'Circuit Breakers'!$C$5:$C$38)</f>
        <v>100</v>
      </c>
      <c r="V32" s="106">
        <f t="shared" si="19"/>
        <v>15</v>
      </c>
      <c r="W32" s="104">
        <f t="shared" si="20"/>
        <v>13.832350199334783</v>
      </c>
      <c r="X32" s="101" t="str">
        <f>LOOKUP(W32,'Wire-Cables Ampacities'!$B$5:$B$35,'Wire-Cables Ampacities'!$C$5:$C$35)</f>
        <v>#10</v>
      </c>
      <c r="Y32" s="106">
        <f t="shared" si="21"/>
        <v>10</v>
      </c>
      <c r="Z32" s="104">
        <f t="shared" si="22"/>
        <v>82.170000000000016</v>
      </c>
      <c r="AA32" s="101" t="str">
        <f>LOOKUP(Z32,'Wire-Cables Ampacities'!$B$5:$B$35,'Wire-Cables Ampacities'!$C$5:$C$35)</f>
        <v>#4</v>
      </c>
      <c r="AB32" s="106">
        <f t="shared" si="23"/>
        <v>10</v>
      </c>
      <c r="AC32" s="104">
        <f t="shared" si="24"/>
        <v>82.5</v>
      </c>
      <c r="AD32" s="101" t="str">
        <f>LOOKUP(AC32,'Wire-Cables Ampacities'!$B$5:$B$35,'Wire-Cables Ampacities'!$C$5:$C$35)</f>
        <v>#4</v>
      </c>
      <c r="AE32" s="107">
        <f t="shared" si="25"/>
        <v>0.32500000000000001</v>
      </c>
      <c r="AF32" s="105">
        <f t="shared" si="6"/>
        <v>1108.94615</v>
      </c>
      <c r="AG32" s="98">
        <f t="shared" si="26"/>
        <v>40</v>
      </c>
      <c r="AH32" s="99">
        <f t="shared" si="26"/>
        <v>55</v>
      </c>
      <c r="AI32" s="106">
        <f t="shared" si="26"/>
        <v>20</v>
      </c>
      <c r="AJ32" s="105">
        <f t="shared" si="27"/>
        <v>45.76</v>
      </c>
      <c r="AK32" s="272">
        <f t="shared" si="28"/>
        <v>0.45760000000000001</v>
      </c>
      <c r="AL32" s="278">
        <f t="shared" si="29"/>
        <v>0.2288</v>
      </c>
      <c r="AM32" s="109">
        <v>800</v>
      </c>
      <c r="AN32" s="104">
        <v>34</v>
      </c>
      <c r="AO32" s="110">
        <v>48</v>
      </c>
      <c r="AP32" s="110">
        <v>28</v>
      </c>
      <c r="AQ32" s="282">
        <f t="shared" si="30"/>
        <v>47.944444444444443</v>
      </c>
      <c r="AR32" s="288">
        <f t="shared" si="7"/>
        <v>209.98781666666662</v>
      </c>
      <c r="AS32" s="93"/>
      <c r="AT32" s="4"/>
    </row>
    <row r="33" spans="1:46">
      <c r="A33" s="72">
        <f t="shared" si="1"/>
        <v>6</v>
      </c>
      <c r="B33" s="15">
        <v>2.4500000000000002</v>
      </c>
      <c r="C33" s="66">
        <f t="shared" si="8"/>
        <v>14.700000000000001</v>
      </c>
      <c r="D33" s="68">
        <v>100</v>
      </c>
      <c r="E33" s="186">
        <f t="shared" si="9"/>
        <v>120</v>
      </c>
      <c r="F33" s="45">
        <f t="shared" si="10"/>
        <v>15.636569790552365</v>
      </c>
      <c r="G33" s="94">
        <f t="shared" si="11"/>
        <v>12</v>
      </c>
      <c r="H33" s="295">
        <f t="shared" si="12"/>
        <v>10.046592</v>
      </c>
      <c r="I33" s="25">
        <f t="shared" si="13"/>
        <v>17.401207786915023</v>
      </c>
      <c r="J33" s="52">
        <f t="shared" si="14"/>
        <v>20</v>
      </c>
      <c r="K33" s="25">
        <f t="shared" si="2"/>
        <v>99.6</v>
      </c>
      <c r="L33" s="427">
        <f t="shared" si="15"/>
        <v>3.25</v>
      </c>
      <c r="M33" s="64">
        <f t="shared" si="16"/>
        <v>30</v>
      </c>
      <c r="N33" s="838">
        <f t="shared" si="3"/>
        <v>20.327540727718073</v>
      </c>
      <c r="O33" s="68">
        <f>LOOKUP(N33,'Circuit Breakers'!$B$5:$B$38,'Circuit Breakers'!$C$5:$C$38)</f>
        <v>25</v>
      </c>
      <c r="P33" s="199">
        <f t="shared" si="4"/>
        <v>30</v>
      </c>
      <c r="Q33" s="1056">
        <f t="shared" si="17"/>
        <v>129.47999999999999</v>
      </c>
      <c r="R33" s="1064">
        <f>LOOKUP(Q33,'Circuit Breakers'!$B$5:$B$38,'Circuit Breakers'!$C$5:$C$38)</f>
        <v>150</v>
      </c>
      <c r="S33" s="64">
        <f t="shared" si="5"/>
        <v>30</v>
      </c>
      <c r="T33" s="25">
        <f t="shared" si="18"/>
        <v>130</v>
      </c>
      <c r="U33" s="158">
        <f>LOOKUP(T33,'Circuit Breakers'!$B$5:$B$38,'Circuit Breakers'!$C$5:$C$38)</f>
        <v>150</v>
      </c>
      <c r="V33" s="64">
        <f t="shared" si="19"/>
        <v>15</v>
      </c>
      <c r="W33" s="25">
        <f t="shared" si="20"/>
        <v>17.982055259135219</v>
      </c>
      <c r="X33" s="68" t="str">
        <f>LOOKUP(W33,'Wire-Cables Ampacities'!$B$5:$B$35,'Wire-Cables Ampacities'!$C$5:$C$35)</f>
        <v>#10</v>
      </c>
      <c r="Y33" s="64">
        <f t="shared" si="21"/>
        <v>10</v>
      </c>
      <c r="Z33" s="25">
        <f t="shared" si="22"/>
        <v>109.56</v>
      </c>
      <c r="AA33" s="68" t="str">
        <f>LOOKUP(Z33,'Wire-Cables Ampacities'!$B$5:$B$35,'Wire-Cables Ampacities'!$C$5:$C$35)</f>
        <v>#3</v>
      </c>
      <c r="AB33" s="64">
        <f t="shared" si="23"/>
        <v>10</v>
      </c>
      <c r="AC33" s="25">
        <f t="shared" si="24"/>
        <v>110.00000000000001</v>
      </c>
      <c r="AD33" s="68" t="str">
        <f>LOOKUP(AC33,'Wire-Cables Ampacities'!$B$5:$B$35,'Wire-Cables Ampacities'!$C$5:$C$35)</f>
        <v>#3</v>
      </c>
      <c r="AE33" s="81">
        <f t="shared" si="25"/>
        <v>0.42749999999999999</v>
      </c>
      <c r="AF33" s="56">
        <f t="shared" si="6"/>
        <v>1458.690705</v>
      </c>
      <c r="AG33" s="72">
        <f t="shared" si="26"/>
        <v>40</v>
      </c>
      <c r="AH33" s="15">
        <f t="shared" si="26"/>
        <v>55</v>
      </c>
      <c r="AI33" s="64">
        <f t="shared" si="26"/>
        <v>20</v>
      </c>
      <c r="AJ33" s="56">
        <f t="shared" si="27"/>
        <v>60.191999999999993</v>
      </c>
      <c r="AK33" s="271">
        <f t="shared" si="28"/>
        <v>0.6019199999999999</v>
      </c>
      <c r="AL33" s="277">
        <f t="shared" si="29"/>
        <v>0.30095999999999995</v>
      </c>
      <c r="AM33" s="58">
        <v>800</v>
      </c>
      <c r="AN33" s="25">
        <v>34</v>
      </c>
      <c r="AO33" s="3">
        <v>48</v>
      </c>
      <c r="AP33" s="3">
        <v>28</v>
      </c>
      <c r="AQ33" s="281">
        <f t="shared" si="30"/>
        <v>47.944444444444443</v>
      </c>
      <c r="AR33" s="287">
        <f t="shared" si="7"/>
        <v>559.73237166666661</v>
      </c>
      <c r="AS33" s="93"/>
      <c r="AT33" s="4"/>
    </row>
    <row r="34" spans="1:46">
      <c r="A34" s="72">
        <f t="shared" si="1"/>
        <v>6</v>
      </c>
      <c r="B34" s="15">
        <v>2.4500000000000002</v>
      </c>
      <c r="C34" s="66">
        <f t="shared" si="8"/>
        <v>14.700000000000001</v>
      </c>
      <c r="D34" s="68">
        <v>125</v>
      </c>
      <c r="E34" s="186">
        <f t="shared" si="9"/>
        <v>120</v>
      </c>
      <c r="F34" s="45">
        <f t="shared" si="10"/>
        <v>19.245008972987527</v>
      </c>
      <c r="G34" s="94">
        <f t="shared" si="11"/>
        <v>12</v>
      </c>
      <c r="H34" s="295">
        <f t="shared" si="12"/>
        <v>10.046592</v>
      </c>
      <c r="I34" s="25">
        <f t="shared" si="13"/>
        <v>17.401207786915023</v>
      </c>
      <c r="J34" s="52">
        <f t="shared" si="14"/>
        <v>20</v>
      </c>
      <c r="K34" s="25">
        <f t="shared" si="2"/>
        <v>124.5</v>
      </c>
      <c r="L34" s="427">
        <f t="shared" si="15"/>
        <v>4</v>
      </c>
      <c r="M34" s="64">
        <f t="shared" si="16"/>
        <v>30</v>
      </c>
      <c r="N34" s="838">
        <f t="shared" si="3"/>
        <v>25.018511664883786</v>
      </c>
      <c r="O34" s="68">
        <f>LOOKUP(N34,'Circuit Breakers'!$B$5:$B$38,'Circuit Breakers'!$C$5:$C$38)</f>
        <v>25</v>
      </c>
      <c r="P34" s="199">
        <f t="shared" si="4"/>
        <v>30</v>
      </c>
      <c r="Q34" s="1056">
        <f t="shared" si="17"/>
        <v>161.85</v>
      </c>
      <c r="R34" s="1064">
        <f>LOOKUP(Q34,'Circuit Breakers'!$B$5:$B$38,'Circuit Breakers'!$C$5:$C$38)</f>
        <v>175</v>
      </c>
      <c r="S34" s="64">
        <f t="shared" si="5"/>
        <v>30</v>
      </c>
      <c r="T34" s="25">
        <f t="shared" si="18"/>
        <v>162.5</v>
      </c>
      <c r="U34" s="158">
        <f>LOOKUP(T34,'Circuit Breakers'!$B$5:$B$38,'Circuit Breakers'!$C$5:$C$38)</f>
        <v>175</v>
      </c>
      <c r="V34" s="64">
        <f t="shared" si="19"/>
        <v>15</v>
      </c>
      <c r="W34" s="25">
        <f t="shared" si="20"/>
        <v>22.131760318935655</v>
      </c>
      <c r="X34" s="68" t="str">
        <f>LOOKUP(W34,'Wire-Cables Ampacities'!$B$5:$B$35,'Wire-Cables Ampacities'!$C$5:$C$35)</f>
        <v>#10</v>
      </c>
      <c r="Y34" s="64">
        <f t="shared" si="21"/>
        <v>10</v>
      </c>
      <c r="Z34" s="25">
        <f t="shared" si="22"/>
        <v>136.95000000000002</v>
      </c>
      <c r="AA34" s="68" t="str">
        <f>LOOKUP(Z34,'Wire-Cables Ampacities'!$B$5:$B$35,'Wire-Cables Ampacities'!$C$5:$C$35)</f>
        <v>#2</v>
      </c>
      <c r="AB34" s="64">
        <f t="shared" si="23"/>
        <v>10</v>
      </c>
      <c r="AC34" s="25">
        <f t="shared" si="24"/>
        <v>137.5</v>
      </c>
      <c r="AD34" s="68" t="str">
        <f>LOOKUP(AC34,'Wire-Cables Ampacities'!$B$5:$B$35,'Wire-Cables Ampacities'!$C$5:$C$35)</f>
        <v>#2</v>
      </c>
      <c r="AE34" s="81">
        <f t="shared" si="25"/>
        <v>0.53</v>
      </c>
      <c r="AF34" s="56">
        <f t="shared" si="6"/>
        <v>1808.43526</v>
      </c>
      <c r="AG34" s="72">
        <f t="shared" si="26"/>
        <v>40</v>
      </c>
      <c r="AH34" s="15">
        <f t="shared" si="26"/>
        <v>55</v>
      </c>
      <c r="AI34" s="64">
        <f t="shared" si="26"/>
        <v>20</v>
      </c>
      <c r="AJ34" s="56">
        <f t="shared" si="27"/>
        <v>74.624000000000009</v>
      </c>
      <c r="AK34" s="271">
        <f t="shared" si="28"/>
        <v>0.74624000000000013</v>
      </c>
      <c r="AL34" s="277">
        <f t="shared" si="29"/>
        <v>0.37312000000000006</v>
      </c>
      <c r="AM34" s="58">
        <v>800</v>
      </c>
      <c r="AN34" s="25">
        <v>34</v>
      </c>
      <c r="AO34" s="3">
        <v>48</v>
      </c>
      <c r="AP34" s="3">
        <v>28</v>
      </c>
      <c r="AQ34" s="281">
        <f t="shared" si="30"/>
        <v>47.944444444444443</v>
      </c>
      <c r="AR34" s="287">
        <f t="shared" si="7"/>
        <v>909.4769266666666</v>
      </c>
      <c r="AS34" s="93"/>
      <c r="AT34" s="4"/>
    </row>
    <row r="35" spans="1:46">
      <c r="A35" s="98">
        <f t="shared" si="1"/>
        <v>6</v>
      </c>
      <c r="B35" s="99">
        <v>2.4500000000000002</v>
      </c>
      <c r="C35" s="100">
        <f t="shared" si="8"/>
        <v>14.700000000000001</v>
      </c>
      <c r="D35" s="101">
        <v>150</v>
      </c>
      <c r="E35" s="183">
        <f t="shared" si="9"/>
        <v>120</v>
      </c>
      <c r="F35" s="102">
        <f t="shared" si="10"/>
        <v>22.85344815542269</v>
      </c>
      <c r="G35" s="103">
        <f t="shared" si="11"/>
        <v>12</v>
      </c>
      <c r="H35" s="296">
        <f t="shared" si="12"/>
        <v>10.046592</v>
      </c>
      <c r="I35" s="104">
        <f t="shared" si="13"/>
        <v>17.401207786915023</v>
      </c>
      <c r="J35" s="180">
        <f t="shared" si="14"/>
        <v>20</v>
      </c>
      <c r="K35" s="104">
        <f t="shared" si="2"/>
        <v>149.4</v>
      </c>
      <c r="L35" s="428">
        <f t="shared" si="15"/>
        <v>4.75</v>
      </c>
      <c r="M35" s="106">
        <f t="shared" si="16"/>
        <v>30</v>
      </c>
      <c r="N35" s="1060">
        <f t="shared" si="3"/>
        <v>29.709482602049498</v>
      </c>
      <c r="O35" s="101">
        <f>LOOKUP(N35,'Circuit Breakers'!$B$5:$B$38,'Circuit Breakers'!$C$5:$C$38)</f>
        <v>30</v>
      </c>
      <c r="P35" s="262">
        <f t="shared" si="4"/>
        <v>30</v>
      </c>
      <c r="Q35" s="1057">
        <f t="shared" si="17"/>
        <v>194.22000000000003</v>
      </c>
      <c r="R35" s="1065">
        <f>LOOKUP(Q35,'Circuit Breakers'!$B$5:$B$38,'Circuit Breakers'!$C$5:$C$38)</f>
        <v>200</v>
      </c>
      <c r="S35" s="106">
        <f t="shared" si="5"/>
        <v>30</v>
      </c>
      <c r="T35" s="104">
        <f t="shared" si="18"/>
        <v>195</v>
      </c>
      <c r="U35" s="477">
        <f>LOOKUP(T35,'Circuit Breakers'!$B$5:$B$38,'Circuit Breakers'!$C$5:$C$38)</f>
        <v>200</v>
      </c>
      <c r="V35" s="106">
        <f t="shared" si="19"/>
        <v>15</v>
      </c>
      <c r="W35" s="104">
        <f t="shared" si="20"/>
        <v>26.28146537873609</v>
      </c>
      <c r="X35" s="101" t="str">
        <f>LOOKUP(W35,'Wire-Cables Ampacities'!$B$5:$B$35,'Wire-Cables Ampacities'!$C$5:$C$35)</f>
        <v>#10</v>
      </c>
      <c r="Y35" s="106">
        <f t="shared" si="21"/>
        <v>10</v>
      </c>
      <c r="Z35" s="104">
        <f t="shared" si="22"/>
        <v>164.34000000000003</v>
      </c>
      <c r="AA35" s="101" t="str">
        <f>LOOKUP(Z35,'Wire-Cables Ampacities'!$B$5:$B$35,'Wire-Cables Ampacities'!$C$5:$C$35)</f>
        <v>#1</v>
      </c>
      <c r="AB35" s="106">
        <f t="shared" si="23"/>
        <v>10</v>
      </c>
      <c r="AC35" s="104">
        <f t="shared" si="24"/>
        <v>165</v>
      </c>
      <c r="AD35" s="101" t="str">
        <f>LOOKUP(AC35,'Wire-Cables Ampacities'!$B$5:$B$35,'Wire-Cables Ampacities'!$C$5:$C$35)</f>
        <v>#1</v>
      </c>
      <c r="AE35" s="107">
        <f t="shared" si="25"/>
        <v>0.63249999999999995</v>
      </c>
      <c r="AF35" s="105">
        <f t="shared" si="6"/>
        <v>2158.1798149999995</v>
      </c>
      <c r="AG35" s="98">
        <f t="shared" si="26"/>
        <v>40</v>
      </c>
      <c r="AH35" s="99">
        <f t="shared" si="26"/>
        <v>55</v>
      </c>
      <c r="AI35" s="106">
        <f t="shared" si="26"/>
        <v>20</v>
      </c>
      <c r="AJ35" s="105">
        <f t="shared" si="27"/>
        <v>89.055999999999983</v>
      </c>
      <c r="AK35" s="272">
        <f t="shared" si="28"/>
        <v>0.8905599999999998</v>
      </c>
      <c r="AL35" s="278">
        <f t="shared" si="29"/>
        <v>0.4452799999999999</v>
      </c>
      <c r="AM35" s="109">
        <v>800</v>
      </c>
      <c r="AN35" s="104">
        <v>34</v>
      </c>
      <c r="AO35" s="110">
        <v>48</v>
      </c>
      <c r="AP35" s="110">
        <v>28</v>
      </c>
      <c r="AQ35" s="282">
        <f t="shared" si="30"/>
        <v>47.944444444444443</v>
      </c>
      <c r="AR35" s="288">
        <f t="shared" si="7"/>
        <v>1259.221481666666</v>
      </c>
      <c r="AS35" s="93"/>
      <c r="AT35" s="4"/>
    </row>
    <row r="36" spans="1:46">
      <c r="A36" s="72">
        <f t="shared" si="1"/>
        <v>6</v>
      </c>
      <c r="B36" s="15">
        <v>2.4500000000000002</v>
      </c>
      <c r="C36" s="66">
        <f t="shared" si="8"/>
        <v>14.700000000000001</v>
      </c>
      <c r="D36" s="68">
        <v>175</v>
      </c>
      <c r="E36" s="186">
        <f t="shared" si="9"/>
        <v>120</v>
      </c>
      <c r="F36" s="45">
        <f t="shared" si="10"/>
        <v>26.461887337857849</v>
      </c>
      <c r="G36" s="94">
        <f t="shared" si="11"/>
        <v>12</v>
      </c>
      <c r="H36" s="295">
        <f t="shared" si="12"/>
        <v>10.046592</v>
      </c>
      <c r="I36" s="25">
        <f t="shared" si="13"/>
        <v>17.401207786915023</v>
      </c>
      <c r="J36" s="52">
        <f t="shared" si="14"/>
        <v>20</v>
      </c>
      <c r="K36" s="25">
        <f t="shared" si="2"/>
        <v>174.29999999999998</v>
      </c>
      <c r="L36" s="427">
        <f t="shared" si="15"/>
        <v>5.5</v>
      </c>
      <c r="M36" s="64">
        <f t="shared" si="16"/>
        <v>30</v>
      </c>
      <c r="N36" s="838">
        <f t="shared" si="3"/>
        <v>34.400453539215206</v>
      </c>
      <c r="O36" s="68">
        <f>LOOKUP(N36,'Circuit Breakers'!$B$5:$B$38,'Circuit Breakers'!$C$5:$C$38)</f>
        <v>40</v>
      </c>
      <c r="P36" s="199">
        <f t="shared" si="4"/>
        <v>30</v>
      </c>
      <c r="Q36" s="1056">
        <f t="shared" si="17"/>
        <v>226.58999999999997</v>
      </c>
      <c r="R36" s="1064">
        <f>LOOKUP(Q36,'Circuit Breakers'!$B$5:$B$38,'Circuit Breakers'!$C$5:$C$38)</f>
        <v>250</v>
      </c>
      <c r="S36" s="64">
        <f t="shared" si="5"/>
        <v>30</v>
      </c>
      <c r="T36" s="25">
        <f t="shared" si="18"/>
        <v>227.5</v>
      </c>
      <c r="U36" s="158">
        <f>LOOKUP(T36,'Circuit Breakers'!$B$5:$B$38,'Circuit Breakers'!$C$5:$C$38)</f>
        <v>250</v>
      </c>
      <c r="V36" s="64">
        <f t="shared" si="19"/>
        <v>15</v>
      </c>
      <c r="W36" s="25">
        <f t="shared" si="20"/>
        <v>30.431170438536522</v>
      </c>
      <c r="X36" s="68" t="str">
        <f>LOOKUP(W36,'Wire-Cables Ampacities'!$B$5:$B$35,'Wire-Cables Ampacities'!$C$5:$C$35)</f>
        <v>#10</v>
      </c>
      <c r="Y36" s="64">
        <f t="shared" si="21"/>
        <v>10</v>
      </c>
      <c r="Z36" s="25">
        <f t="shared" si="22"/>
        <v>191.73</v>
      </c>
      <c r="AA36" s="68" t="str">
        <f>LOOKUP(Z36,'Wire-Cables Ampacities'!$B$5:$B$35,'Wire-Cables Ampacities'!$C$5:$C$35)</f>
        <v>#1/0</v>
      </c>
      <c r="AB36" s="64">
        <f t="shared" si="23"/>
        <v>10</v>
      </c>
      <c r="AC36" s="25">
        <f t="shared" si="24"/>
        <v>192.50000000000003</v>
      </c>
      <c r="AD36" s="68" t="str">
        <f>LOOKUP(AC36,'Wire-Cables Ampacities'!$B$5:$B$35,'Wire-Cables Ampacities'!$C$5:$C$35)</f>
        <v>#1/0</v>
      </c>
      <c r="AE36" s="81">
        <f t="shared" si="25"/>
        <v>0.73499999999999999</v>
      </c>
      <c r="AF36" s="56">
        <f t="shared" si="6"/>
        <v>2507.9243700000002</v>
      </c>
      <c r="AG36" s="72">
        <f t="shared" si="26"/>
        <v>40</v>
      </c>
      <c r="AH36" s="15">
        <f t="shared" si="26"/>
        <v>55</v>
      </c>
      <c r="AI36" s="64">
        <f t="shared" si="26"/>
        <v>20</v>
      </c>
      <c r="AJ36" s="56">
        <f t="shared" si="27"/>
        <v>103.48799999999999</v>
      </c>
      <c r="AK36" s="271">
        <f t="shared" si="28"/>
        <v>1.0348799999999998</v>
      </c>
      <c r="AL36" s="277">
        <f t="shared" si="29"/>
        <v>0.5174399999999999</v>
      </c>
      <c r="AM36" s="58">
        <v>1200</v>
      </c>
      <c r="AN36" s="25">
        <v>38</v>
      </c>
      <c r="AO36" s="3">
        <v>70</v>
      </c>
      <c r="AP36" s="3">
        <v>28</v>
      </c>
      <c r="AQ36" s="281">
        <f t="shared" si="30"/>
        <v>71.555555555555557</v>
      </c>
      <c r="AR36" s="287">
        <f t="shared" si="7"/>
        <v>1166.2577033333334</v>
      </c>
      <c r="AS36" s="93"/>
      <c r="AT36" s="4"/>
    </row>
    <row r="37" spans="1:46">
      <c r="A37" s="72">
        <f t="shared" si="1"/>
        <v>6</v>
      </c>
      <c r="B37" s="15">
        <v>2.4500000000000002</v>
      </c>
      <c r="C37" s="66">
        <f t="shared" si="8"/>
        <v>14.700000000000001</v>
      </c>
      <c r="D37" s="68">
        <v>200</v>
      </c>
      <c r="E37" s="186">
        <f t="shared" si="9"/>
        <v>120</v>
      </c>
      <c r="F37" s="45">
        <f t="shared" si="10"/>
        <v>30.070326520293012</v>
      </c>
      <c r="G37" s="94">
        <f t="shared" si="11"/>
        <v>12</v>
      </c>
      <c r="H37" s="295">
        <f t="shared" si="12"/>
        <v>10.046592</v>
      </c>
      <c r="I37" s="25">
        <f t="shared" si="13"/>
        <v>17.401207786915023</v>
      </c>
      <c r="J37" s="52">
        <f t="shared" si="14"/>
        <v>20</v>
      </c>
      <c r="K37" s="25">
        <f t="shared" si="2"/>
        <v>199.2</v>
      </c>
      <c r="L37" s="427">
        <f t="shared" si="15"/>
        <v>6.25</v>
      </c>
      <c r="M37" s="64">
        <f t="shared" si="16"/>
        <v>30</v>
      </c>
      <c r="N37" s="838">
        <f t="shared" si="3"/>
        <v>39.091424476380915</v>
      </c>
      <c r="O37" s="68">
        <f>LOOKUP(N37,'Circuit Breakers'!$B$5:$B$38,'Circuit Breakers'!$C$5:$C$38)</f>
        <v>40</v>
      </c>
      <c r="P37" s="199">
        <f t="shared" si="4"/>
        <v>30</v>
      </c>
      <c r="Q37" s="1056">
        <f t="shared" si="17"/>
        <v>258.95999999999998</v>
      </c>
      <c r="R37" s="1064">
        <f>LOOKUP(Q37,'Circuit Breakers'!$B$5:$B$38,'Circuit Breakers'!$C$5:$C$38)</f>
        <v>300</v>
      </c>
      <c r="S37" s="64">
        <f t="shared" si="5"/>
        <v>30</v>
      </c>
      <c r="T37" s="25">
        <f t="shared" si="18"/>
        <v>260</v>
      </c>
      <c r="U37" s="158">
        <f>LOOKUP(T37,'Circuit Breakers'!$B$5:$B$38,'Circuit Breakers'!$C$5:$C$38)</f>
        <v>300</v>
      </c>
      <c r="V37" s="64">
        <f t="shared" si="19"/>
        <v>15</v>
      </c>
      <c r="W37" s="25">
        <f t="shared" si="20"/>
        <v>34.580875498336958</v>
      </c>
      <c r="X37" s="68" t="str">
        <f>LOOKUP(W37,'Wire-Cables Ampacities'!$B$5:$B$35,'Wire-Cables Ampacities'!$C$5:$C$35)</f>
        <v>#10</v>
      </c>
      <c r="Y37" s="64">
        <f t="shared" si="21"/>
        <v>10</v>
      </c>
      <c r="Z37" s="25">
        <f t="shared" si="22"/>
        <v>219.12</v>
      </c>
      <c r="AA37" s="68" t="str">
        <f>LOOKUP(Z37,'Wire-Cables Ampacities'!$B$5:$B$35,'Wire-Cables Ampacities'!$C$5:$C$35)</f>
        <v>#2/0</v>
      </c>
      <c r="AB37" s="64">
        <f t="shared" si="23"/>
        <v>10</v>
      </c>
      <c r="AC37" s="25">
        <f t="shared" si="24"/>
        <v>220.00000000000003</v>
      </c>
      <c r="AD37" s="68" t="str">
        <f>LOOKUP(AC37,'Wire-Cables Ampacities'!$B$5:$B$35,'Wire-Cables Ampacities'!$C$5:$C$35)</f>
        <v>#2/0</v>
      </c>
      <c r="AE37" s="81">
        <f t="shared" si="25"/>
        <v>0.83750000000000002</v>
      </c>
      <c r="AF37" s="56">
        <f t="shared" si="6"/>
        <v>2857.6689249999999</v>
      </c>
      <c r="AG37" s="72">
        <f t="shared" si="26"/>
        <v>40</v>
      </c>
      <c r="AH37" s="15">
        <f t="shared" si="26"/>
        <v>55</v>
      </c>
      <c r="AI37" s="64">
        <f t="shared" si="26"/>
        <v>20</v>
      </c>
      <c r="AJ37" s="56">
        <f t="shared" si="27"/>
        <v>117.91999999999999</v>
      </c>
      <c r="AK37" s="271">
        <f t="shared" si="28"/>
        <v>1.1791999999999998</v>
      </c>
      <c r="AL37" s="277">
        <f t="shared" si="29"/>
        <v>0.5895999999999999</v>
      </c>
      <c r="AM37" s="58">
        <v>1200</v>
      </c>
      <c r="AN37" s="25">
        <v>38</v>
      </c>
      <c r="AO37" s="3">
        <v>70</v>
      </c>
      <c r="AP37" s="3">
        <v>28</v>
      </c>
      <c r="AQ37" s="281">
        <f t="shared" si="30"/>
        <v>71.555555555555557</v>
      </c>
      <c r="AR37" s="287">
        <f t="shared" si="7"/>
        <v>1516.0022583333332</v>
      </c>
      <c r="AS37" s="93"/>
      <c r="AT37" s="4"/>
    </row>
    <row r="38" spans="1:46">
      <c r="A38" s="98">
        <f t="shared" si="1"/>
        <v>6</v>
      </c>
      <c r="B38" s="99">
        <v>2.4500000000000002</v>
      </c>
      <c r="C38" s="100">
        <f t="shared" ref="C38:C44" si="31">A38*B38</f>
        <v>14.700000000000001</v>
      </c>
      <c r="D38" s="101">
        <v>250</v>
      </c>
      <c r="E38" s="183">
        <f t="shared" si="9"/>
        <v>120</v>
      </c>
      <c r="F38" s="102">
        <f t="shared" ref="F38:F44" si="32">L38*1000/E38/SQRT(3)</f>
        <v>37.287204885163327</v>
      </c>
      <c r="G38" s="103">
        <f t="shared" si="11"/>
        <v>12</v>
      </c>
      <c r="H38" s="296">
        <f t="shared" si="12"/>
        <v>10.046592</v>
      </c>
      <c r="I38" s="104">
        <f t="shared" si="13"/>
        <v>17.401207786915023</v>
      </c>
      <c r="J38" s="180">
        <f t="shared" si="14"/>
        <v>20</v>
      </c>
      <c r="K38" s="104">
        <f t="shared" si="2"/>
        <v>249</v>
      </c>
      <c r="L38" s="428">
        <f t="shared" si="15"/>
        <v>7.75</v>
      </c>
      <c r="M38" s="106">
        <f t="shared" si="16"/>
        <v>30</v>
      </c>
      <c r="N38" s="1060">
        <f t="shared" si="3"/>
        <v>48.473366350712325</v>
      </c>
      <c r="O38" s="101">
        <f>LOOKUP(N38,'Circuit Breakers'!$B$5:$B$38,'Circuit Breakers'!$C$5:$C$38)</f>
        <v>50</v>
      </c>
      <c r="P38" s="262">
        <f t="shared" si="4"/>
        <v>30</v>
      </c>
      <c r="Q38" s="1057">
        <f t="shared" si="17"/>
        <v>323.7</v>
      </c>
      <c r="R38" s="1065">
        <f>LOOKUP(Q38,'Circuit Breakers'!$B$5:$B$38,'Circuit Breakers'!$C$5:$C$38)</f>
        <v>350</v>
      </c>
      <c r="S38" s="106">
        <f t="shared" si="5"/>
        <v>30</v>
      </c>
      <c r="T38" s="104">
        <f t="shared" si="18"/>
        <v>325</v>
      </c>
      <c r="U38" s="477">
        <f>LOOKUP(T38,'Circuit Breakers'!$B$5:$B$38,'Circuit Breakers'!$C$5:$C$38)</f>
        <v>350</v>
      </c>
      <c r="V38" s="106">
        <f t="shared" si="19"/>
        <v>15</v>
      </c>
      <c r="W38" s="104">
        <f t="shared" si="20"/>
        <v>42.880285617937822</v>
      </c>
      <c r="X38" s="101" t="str">
        <f>LOOKUP(W38,'Wire-Cables Ampacities'!$B$5:$B$35,'Wire-Cables Ampacities'!$C$5:$C$35)</f>
        <v>#8</v>
      </c>
      <c r="Y38" s="106">
        <f t="shared" si="21"/>
        <v>10</v>
      </c>
      <c r="Z38" s="104">
        <f t="shared" si="22"/>
        <v>273.90000000000003</v>
      </c>
      <c r="AA38" s="101" t="str">
        <f>LOOKUP(Z38,'Wire-Cables Ampacities'!$B$5:$B$35,'Wire-Cables Ampacities'!$C$5:$C$35)</f>
        <v>#4/0</v>
      </c>
      <c r="AB38" s="106">
        <f t="shared" si="23"/>
        <v>10</v>
      </c>
      <c r="AC38" s="104">
        <f t="shared" si="24"/>
        <v>275</v>
      </c>
      <c r="AD38" s="101" t="str">
        <f>LOOKUP(AC38,'Wire-Cables Ampacities'!$B$5:$B$35,'Wire-Cables Ampacities'!$C$5:$C$35)</f>
        <v>#4/0</v>
      </c>
      <c r="AE38" s="107">
        <f t="shared" si="25"/>
        <v>1.0425</v>
      </c>
      <c r="AF38" s="105">
        <f t="shared" si="6"/>
        <v>3557.1580349999995</v>
      </c>
      <c r="AG38" s="98">
        <f t="shared" si="26"/>
        <v>40</v>
      </c>
      <c r="AH38" s="99">
        <f t="shared" si="26"/>
        <v>55</v>
      </c>
      <c r="AI38" s="106">
        <f t="shared" si="26"/>
        <v>20</v>
      </c>
      <c r="AJ38" s="105">
        <f t="shared" si="27"/>
        <v>146.78399999999999</v>
      </c>
      <c r="AK38" s="272">
        <f t="shared" si="28"/>
        <v>1.4678399999999998</v>
      </c>
      <c r="AL38" s="278">
        <f t="shared" si="29"/>
        <v>0.73391999999999991</v>
      </c>
      <c r="AM38" s="109">
        <v>1200</v>
      </c>
      <c r="AN38" s="104">
        <v>38</v>
      </c>
      <c r="AO38" s="110">
        <v>70</v>
      </c>
      <c r="AP38" s="110">
        <v>28</v>
      </c>
      <c r="AQ38" s="282">
        <f t="shared" ref="AQ38:AQ44" si="33">((2*AO38*AN38)+2*(AO38*AP38)+(AN38*AP38))/144</f>
        <v>71.555555555555557</v>
      </c>
      <c r="AR38" s="288">
        <f t="shared" si="7"/>
        <v>2215.4913683333325</v>
      </c>
      <c r="AS38" s="93"/>
      <c r="AT38" s="4"/>
    </row>
    <row r="39" spans="1:46">
      <c r="A39" s="72">
        <f t="shared" si="1"/>
        <v>6</v>
      </c>
      <c r="B39" s="15">
        <v>2.4500000000000002</v>
      </c>
      <c r="C39" s="66">
        <f t="shared" si="31"/>
        <v>14.700000000000001</v>
      </c>
      <c r="D39" s="68">
        <v>300</v>
      </c>
      <c r="E39" s="186">
        <f t="shared" si="9"/>
        <v>208</v>
      </c>
      <c r="F39" s="45">
        <f t="shared" si="32"/>
        <v>25.675432644250186</v>
      </c>
      <c r="G39" s="94">
        <f t="shared" si="11"/>
        <v>12</v>
      </c>
      <c r="H39" s="295">
        <f t="shared" si="12"/>
        <v>10.046592</v>
      </c>
      <c r="I39" s="25">
        <f t="shared" si="13"/>
        <v>17.401207786915023</v>
      </c>
      <c r="J39" s="52">
        <f t="shared" si="14"/>
        <v>20</v>
      </c>
      <c r="K39" s="25">
        <f t="shared" si="2"/>
        <v>298.8</v>
      </c>
      <c r="L39" s="427">
        <f t="shared" si="15"/>
        <v>9.25</v>
      </c>
      <c r="M39" s="64">
        <f t="shared" si="16"/>
        <v>30</v>
      </c>
      <c r="N39" s="838">
        <f t="shared" si="3"/>
        <v>33.378062437525244</v>
      </c>
      <c r="O39" s="68">
        <f>LOOKUP(N39,'Circuit Breakers'!$B$5:$B$38,'Circuit Breakers'!$C$5:$C$38)</f>
        <v>40</v>
      </c>
      <c r="P39" s="199">
        <f t="shared" si="4"/>
        <v>30</v>
      </c>
      <c r="Q39" s="1056">
        <f t="shared" si="17"/>
        <v>388.44000000000005</v>
      </c>
      <c r="R39" s="1064">
        <f>LOOKUP(Q39,'Circuit Breakers'!$B$5:$B$38,'Circuit Breakers'!$C$5:$C$38)</f>
        <v>400</v>
      </c>
      <c r="S39" s="64">
        <f t="shared" si="5"/>
        <v>30</v>
      </c>
      <c r="T39" s="25">
        <f t="shared" si="18"/>
        <v>390</v>
      </c>
      <c r="U39" s="158">
        <f>LOOKUP(T39,'Circuit Breakers'!$B$5:$B$38,'Circuit Breakers'!$C$5:$C$38)</f>
        <v>400</v>
      </c>
      <c r="V39" s="64">
        <f t="shared" si="19"/>
        <v>15</v>
      </c>
      <c r="W39" s="25">
        <f t="shared" si="20"/>
        <v>29.526747540887712</v>
      </c>
      <c r="X39" s="68" t="str">
        <f>LOOKUP(W39,'Wire-Cables Ampacities'!$B$5:$B$35,'Wire-Cables Ampacities'!$C$5:$C$35)</f>
        <v>#10</v>
      </c>
      <c r="Y39" s="64">
        <f t="shared" si="21"/>
        <v>10</v>
      </c>
      <c r="Z39" s="25">
        <f t="shared" si="22"/>
        <v>328.68000000000006</v>
      </c>
      <c r="AA39" s="68" t="str">
        <f>LOOKUP(Z39,'Wire-Cables Ampacities'!$B$5:$B$35,'Wire-Cables Ampacities'!$C$5:$C$35)</f>
        <v>250MCM</v>
      </c>
      <c r="AB39" s="64">
        <f t="shared" si="23"/>
        <v>10</v>
      </c>
      <c r="AC39" s="25">
        <f t="shared" si="24"/>
        <v>330</v>
      </c>
      <c r="AD39" s="68" t="str">
        <f>LOOKUP(AC39,'Wire-Cables Ampacities'!$B$5:$B$35,'Wire-Cables Ampacities'!$C$5:$C$35)</f>
        <v>250MCM</v>
      </c>
      <c r="AE39" s="81">
        <f t="shared" si="25"/>
        <v>1.2475000000000001</v>
      </c>
      <c r="AF39" s="56">
        <f t="shared" si="6"/>
        <v>4256.6471449999999</v>
      </c>
      <c r="AG39" s="72">
        <f t="shared" si="26"/>
        <v>40</v>
      </c>
      <c r="AH39" s="15">
        <f t="shared" si="26"/>
        <v>55</v>
      </c>
      <c r="AI39" s="64">
        <f t="shared" si="26"/>
        <v>20</v>
      </c>
      <c r="AJ39" s="56">
        <f t="shared" si="27"/>
        <v>175.648</v>
      </c>
      <c r="AK39" s="271">
        <f t="shared" si="28"/>
        <v>1.75648</v>
      </c>
      <c r="AL39" s="277">
        <f t="shared" si="29"/>
        <v>0.87824000000000002</v>
      </c>
      <c r="AM39" s="58">
        <v>1200</v>
      </c>
      <c r="AN39" s="25">
        <v>38</v>
      </c>
      <c r="AO39" s="3">
        <v>70</v>
      </c>
      <c r="AP39" s="3">
        <v>28</v>
      </c>
      <c r="AQ39" s="281">
        <f t="shared" si="33"/>
        <v>71.555555555555557</v>
      </c>
      <c r="AR39" s="287">
        <f t="shared" ref="AR39:AR44" si="34">AF39+(1.25*AQ39*(AG39-AH39))</f>
        <v>2914.9804783333329</v>
      </c>
      <c r="AS39" s="93"/>
      <c r="AT39" s="4"/>
    </row>
    <row r="40" spans="1:46">
      <c r="A40" s="72">
        <f t="shared" si="1"/>
        <v>6</v>
      </c>
      <c r="B40" s="15">
        <v>2.4500000000000002</v>
      </c>
      <c r="C40" s="66">
        <f t="shared" si="31"/>
        <v>14.700000000000001</v>
      </c>
      <c r="D40" s="68">
        <v>350</v>
      </c>
      <c r="E40" s="186">
        <f t="shared" si="9"/>
        <v>208</v>
      </c>
      <c r="F40" s="45">
        <f t="shared" si="32"/>
        <v>30.53294692829752</v>
      </c>
      <c r="G40" s="94">
        <f t="shared" si="11"/>
        <v>12</v>
      </c>
      <c r="H40" s="295">
        <f t="shared" si="12"/>
        <v>10.046592</v>
      </c>
      <c r="I40" s="25">
        <f t="shared" si="13"/>
        <v>17.401207786915023</v>
      </c>
      <c r="J40" s="52">
        <f t="shared" si="14"/>
        <v>20</v>
      </c>
      <c r="K40" s="25">
        <f t="shared" si="2"/>
        <v>348.59999999999997</v>
      </c>
      <c r="L40" s="427">
        <f t="shared" si="15"/>
        <v>11</v>
      </c>
      <c r="M40" s="64">
        <f t="shared" si="16"/>
        <v>30</v>
      </c>
      <c r="N40" s="838">
        <f t="shared" si="3"/>
        <v>39.692831006786776</v>
      </c>
      <c r="O40" s="68">
        <f>LOOKUP(N40,'Circuit Breakers'!$B$5:$B$38,'Circuit Breakers'!$C$5:$C$38)</f>
        <v>40</v>
      </c>
      <c r="P40" s="199">
        <f t="shared" si="4"/>
        <v>30</v>
      </c>
      <c r="Q40" s="1056">
        <f t="shared" si="17"/>
        <v>453.17999999999995</v>
      </c>
      <c r="R40" s="1064">
        <f>LOOKUP(Q40,'Circuit Breakers'!$B$5:$B$38,'Circuit Breakers'!$C$5:$C$38)</f>
        <v>500</v>
      </c>
      <c r="S40" s="64">
        <f t="shared" si="5"/>
        <v>30</v>
      </c>
      <c r="T40" s="25">
        <f t="shared" si="18"/>
        <v>455</v>
      </c>
      <c r="U40" s="158">
        <f>LOOKUP(T40,'Circuit Breakers'!$B$5:$B$38,'Circuit Breakers'!$C$5:$C$38)</f>
        <v>500</v>
      </c>
      <c r="V40" s="64">
        <f t="shared" si="19"/>
        <v>15</v>
      </c>
      <c r="W40" s="25">
        <f t="shared" si="20"/>
        <v>35.112888967542148</v>
      </c>
      <c r="X40" s="68" t="str">
        <f>LOOKUP(W40,'Wire-Cables Ampacities'!$B$5:$B$35,'Wire-Cables Ampacities'!$C$5:$C$35)</f>
        <v>#10</v>
      </c>
      <c r="Y40" s="64">
        <f t="shared" si="21"/>
        <v>10</v>
      </c>
      <c r="Z40" s="25">
        <f t="shared" si="22"/>
        <v>383.46</v>
      </c>
      <c r="AA40" s="68" t="str">
        <f>LOOKUP(Z40,'Wire-Cables Ampacities'!$B$5:$B$35,'Wire-Cables Ampacities'!$C$5:$C$35)</f>
        <v>#2/0 2x</v>
      </c>
      <c r="AB40" s="64">
        <f t="shared" si="23"/>
        <v>10</v>
      </c>
      <c r="AC40" s="25">
        <f t="shared" si="24"/>
        <v>385.00000000000006</v>
      </c>
      <c r="AD40" s="68" t="str">
        <f>LOOKUP(AC40,'Wire-Cables Ampacities'!$B$5:$B$35,'Wire-Cables Ampacities'!$C$5:$C$35)</f>
        <v>#2/0 2x</v>
      </c>
      <c r="AE40" s="81">
        <f t="shared" si="25"/>
        <v>1.47</v>
      </c>
      <c r="AF40" s="56">
        <f t="shared" si="6"/>
        <v>5015.8487400000004</v>
      </c>
      <c r="AG40" s="72">
        <f t="shared" si="26"/>
        <v>40</v>
      </c>
      <c r="AH40" s="15">
        <f t="shared" si="26"/>
        <v>55</v>
      </c>
      <c r="AI40" s="64">
        <f t="shared" si="26"/>
        <v>20</v>
      </c>
      <c r="AJ40" s="56">
        <f t="shared" si="27"/>
        <v>206.97599999999997</v>
      </c>
      <c r="AK40" s="271">
        <f t="shared" si="28"/>
        <v>2.0697599999999996</v>
      </c>
      <c r="AL40" s="277">
        <f t="shared" si="29"/>
        <v>1.0348799999999998</v>
      </c>
      <c r="AM40" s="58">
        <v>1200</v>
      </c>
      <c r="AN40" s="25">
        <v>38</v>
      </c>
      <c r="AO40" s="3">
        <v>70</v>
      </c>
      <c r="AP40" s="3">
        <v>28</v>
      </c>
      <c r="AQ40" s="281">
        <f t="shared" si="33"/>
        <v>71.555555555555557</v>
      </c>
      <c r="AR40" s="287">
        <f t="shared" si="34"/>
        <v>3674.1820733333334</v>
      </c>
      <c r="AS40" s="93"/>
      <c r="AT40" s="4"/>
    </row>
    <row r="41" spans="1:46">
      <c r="A41" s="98">
        <f t="shared" si="1"/>
        <v>6</v>
      </c>
      <c r="B41" s="99">
        <v>2.4500000000000002</v>
      </c>
      <c r="C41" s="100">
        <f t="shared" si="31"/>
        <v>14.700000000000001</v>
      </c>
      <c r="D41" s="101">
        <v>400</v>
      </c>
      <c r="E41" s="183">
        <f t="shared" si="9"/>
        <v>208</v>
      </c>
      <c r="F41" s="102">
        <f t="shared" si="32"/>
        <v>34.696530600338086</v>
      </c>
      <c r="G41" s="103">
        <f t="shared" si="11"/>
        <v>12</v>
      </c>
      <c r="H41" s="296">
        <f t="shared" si="12"/>
        <v>10.046592</v>
      </c>
      <c r="I41" s="104">
        <f t="shared" si="13"/>
        <v>17.401207786915023</v>
      </c>
      <c r="J41" s="180">
        <f t="shared" si="14"/>
        <v>20</v>
      </c>
      <c r="K41" s="104">
        <f t="shared" si="2"/>
        <v>398.4</v>
      </c>
      <c r="L41" s="263">
        <f t="shared" si="15"/>
        <v>12.5</v>
      </c>
      <c r="M41" s="106">
        <f t="shared" si="16"/>
        <v>30</v>
      </c>
      <c r="N41" s="1060">
        <f t="shared" si="3"/>
        <v>45.105489780439513</v>
      </c>
      <c r="O41" s="101">
        <f>LOOKUP(N41,'Circuit Breakers'!$B$5:$B$38,'Circuit Breakers'!$C$5:$C$38)</f>
        <v>50</v>
      </c>
      <c r="P41" s="262">
        <f t="shared" si="4"/>
        <v>30</v>
      </c>
      <c r="Q41" s="1057">
        <f t="shared" si="17"/>
        <v>517.91999999999996</v>
      </c>
      <c r="R41" s="1065">
        <f>LOOKUP(Q41,'Circuit Breakers'!$B$5:$B$38,'Circuit Breakers'!$C$5:$C$38)</f>
        <v>600</v>
      </c>
      <c r="S41" s="106">
        <f t="shared" si="5"/>
        <v>30</v>
      </c>
      <c r="T41" s="104">
        <f t="shared" si="18"/>
        <v>520</v>
      </c>
      <c r="U41" s="477">
        <f>LOOKUP(T41,'Circuit Breakers'!$B$5:$B$38,'Circuit Breakers'!$C$5:$C$38)</f>
        <v>600</v>
      </c>
      <c r="V41" s="106">
        <f t="shared" si="19"/>
        <v>15</v>
      </c>
      <c r="W41" s="104">
        <f t="shared" si="20"/>
        <v>39.901010190388796</v>
      </c>
      <c r="X41" s="101" t="str">
        <f>LOOKUP(W41,'Wire-Cables Ampacities'!$B$5:$B$35,'Wire-Cables Ampacities'!$C$5:$C$35)</f>
        <v>#10</v>
      </c>
      <c r="Y41" s="106">
        <f t="shared" si="21"/>
        <v>10</v>
      </c>
      <c r="Z41" s="104">
        <f t="shared" si="22"/>
        <v>438.24</v>
      </c>
      <c r="AA41" s="101" t="str">
        <f>LOOKUP(Z41,'Wire-Cables Ampacities'!$B$5:$B$35,'Wire-Cables Ampacities'!$C$5:$C$35)</f>
        <v>#3/0 2x</v>
      </c>
      <c r="AB41" s="106">
        <f t="shared" si="23"/>
        <v>10</v>
      </c>
      <c r="AC41" s="104">
        <f t="shared" si="24"/>
        <v>440.00000000000006</v>
      </c>
      <c r="AD41" s="101" t="str">
        <f>LOOKUP(AC41,'Wire-Cables Ampacities'!$B$5:$B$35,'Wire-Cables Ampacities'!$C$5:$C$35)</f>
        <v>#3/0 2x</v>
      </c>
      <c r="AE41" s="107">
        <f t="shared" si="25"/>
        <v>1.675</v>
      </c>
      <c r="AF41" s="105">
        <f t="shared" si="6"/>
        <v>5715.3378499999999</v>
      </c>
      <c r="AG41" s="98">
        <f t="shared" si="26"/>
        <v>40</v>
      </c>
      <c r="AH41" s="99">
        <f t="shared" si="26"/>
        <v>55</v>
      </c>
      <c r="AI41" s="106">
        <f t="shared" si="26"/>
        <v>20</v>
      </c>
      <c r="AJ41" s="105">
        <f t="shared" si="27"/>
        <v>235.83999999999997</v>
      </c>
      <c r="AK41" s="272">
        <f t="shared" si="28"/>
        <v>2.3583999999999996</v>
      </c>
      <c r="AL41" s="278">
        <f t="shared" si="29"/>
        <v>1.1791999999999998</v>
      </c>
      <c r="AM41" s="109">
        <v>1200</v>
      </c>
      <c r="AN41" s="104">
        <v>38</v>
      </c>
      <c r="AO41" s="110">
        <v>70</v>
      </c>
      <c r="AP41" s="110">
        <v>28</v>
      </c>
      <c r="AQ41" s="282">
        <f t="shared" si="33"/>
        <v>71.555555555555557</v>
      </c>
      <c r="AR41" s="288">
        <f t="shared" si="34"/>
        <v>4373.6711833333329</v>
      </c>
      <c r="AS41" s="93"/>
      <c r="AT41" s="4"/>
    </row>
    <row r="42" spans="1:46">
      <c r="A42" s="72">
        <f t="shared" si="1"/>
        <v>6</v>
      </c>
      <c r="B42" s="15">
        <v>2.4500000000000002</v>
      </c>
      <c r="C42" s="66">
        <f t="shared" si="31"/>
        <v>14.700000000000001</v>
      </c>
      <c r="D42" s="68">
        <v>450</v>
      </c>
      <c r="E42" s="186">
        <f t="shared" si="9"/>
        <v>208</v>
      </c>
      <c r="F42" s="45">
        <f t="shared" si="32"/>
        <v>38.860114272378659</v>
      </c>
      <c r="G42" s="94">
        <f t="shared" si="11"/>
        <v>12</v>
      </c>
      <c r="H42" s="295">
        <f t="shared" si="12"/>
        <v>10.046592</v>
      </c>
      <c r="I42" s="25">
        <f t="shared" si="13"/>
        <v>17.401207786915023</v>
      </c>
      <c r="J42" s="52">
        <f t="shared" si="14"/>
        <v>20</v>
      </c>
      <c r="K42" s="25">
        <f t="shared" si="2"/>
        <v>448.2</v>
      </c>
      <c r="L42" s="157">
        <f t="shared" si="15"/>
        <v>14</v>
      </c>
      <c r="M42" s="64">
        <f t="shared" si="16"/>
        <v>30</v>
      </c>
      <c r="N42" s="838">
        <f t="shared" si="3"/>
        <v>50.518148554092257</v>
      </c>
      <c r="O42" s="68">
        <f>LOOKUP(N42,'Circuit Breakers'!$B$5:$B$38,'Circuit Breakers'!$C$5:$C$38)</f>
        <v>60</v>
      </c>
      <c r="P42" s="199">
        <f t="shared" si="4"/>
        <v>30</v>
      </c>
      <c r="Q42" s="1056">
        <f t="shared" si="17"/>
        <v>582.66</v>
      </c>
      <c r="R42" s="1064">
        <f>LOOKUP(Q42,'Circuit Breakers'!$B$5:$B$38,'Circuit Breakers'!$C$5:$C$38)</f>
        <v>600</v>
      </c>
      <c r="S42" s="64">
        <f t="shared" si="5"/>
        <v>30</v>
      </c>
      <c r="T42" s="25">
        <f t="shared" si="18"/>
        <v>585</v>
      </c>
      <c r="U42" s="158">
        <f>LOOKUP(T42,'Circuit Breakers'!$B$5:$B$38,'Circuit Breakers'!$C$5:$C$38)</f>
        <v>600</v>
      </c>
      <c r="V42" s="64">
        <f t="shared" si="19"/>
        <v>15</v>
      </c>
      <c r="W42" s="25">
        <f t="shared" si="20"/>
        <v>44.689131413235458</v>
      </c>
      <c r="X42" s="68" t="str">
        <f>LOOKUP(W42,'Wire-Cables Ampacities'!$B$5:$B$35,'Wire-Cables Ampacities'!$C$5:$C$35)</f>
        <v>#8</v>
      </c>
      <c r="Y42" s="64">
        <f t="shared" si="21"/>
        <v>10</v>
      </c>
      <c r="Z42" s="25">
        <f t="shared" si="22"/>
        <v>493.02000000000004</v>
      </c>
      <c r="AA42" s="68" t="str">
        <f>LOOKUP(Z42,'Wire-Cables Ampacities'!$B$5:$B$35,'Wire-Cables Ampacities'!$C$5:$C$35)</f>
        <v>#3/0 2x</v>
      </c>
      <c r="AB42" s="64">
        <f t="shared" si="23"/>
        <v>10</v>
      </c>
      <c r="AC42" s="25">
        <f t="shared" si="24"/>
        <v>495.00000000000006</v>
      </c>
      <c r="AD42" s="68" t="str">
        <f>LOOKUP(AC42,'Wire-Cables Ampacities'!$B$5:$B$35,'Wire-Cables Ampacities'!$C$5:$C$35)</f>
        <v>#3/0 2x</v>
      </c>
      <c r="AE42" s="81">
        <f t="shared" si="25"/>
        <v>1.88</v>
      </c>
      <c r="AF42" s="56">
        <f t="shared" si="6"/>
        <v>6414.8269599999994</v>
      </c>
      <c r="AG42" s="72">
        <f t="shared" si="26"/>
        <v>40</v>
      </c>
      <c r="AH42" s="15">
        <f t="shared" si="26"/>
        <v>55</v>
      </c>
      <c r="AI42" s="64">
        <f t="shared" si="26"/>
        <v>20</v>
      </c>
      <c r="AJ42" s="56">
        <f t="shared" si="27"/>
        <v>264.70399999999995</v>
      </c>
      <c r="AK42" s="271">
        <f t="shared" si="28"/>
        <v>2.6470399999999996</v>
      </c>
      <c r="AL42" s="277">
        <f t="shared" si="29"/>
        <v>1.3235199999999998</v>
      </c>
      <c r="AM42" s="58">
        <v>1200</v>
      </c>
      <c r="AN42" s="25">
        <v>38</v>
      </c>
      <c r="AO42" s="3">
        <v>70</v>
      </c>
      <c r="AP42" s="3">
        <v>28</v>
      </c>
      <c r="AQ42" s="281">
        <f t="shared" si="33"/>
        <v>71.555555555555557</v>
      </c>
      <c r="AR42" s="287">
        <f t="shared" si="34"/>
        <v>5073.1602933333324</v>
      </c>
      <c r="AS42" s="93"/>
      <c r="AT42" s="4"/>
    </row>
    <row r="43" spans="1:46">
      <c r="A43" s="72">
        <f t="shared" si="1"/>
        <v>6</v>
      </c>
      <c r="B43" s="15">
        <v>2.4500000000000002</v>
      </c>
      <c r="C43" s="66">
        <f t="shared" si="31"/>
        <v>14.700000000000001</v>
      </c>
      <c r="D43" s="68">
        <v>500</v>
      </c>
      <c r="E43" s="186">
        <f t="shared" si="9"/>
        <v>208</v>
      </c>
      <c r="F43" s="45">
        <f t="shared" si="32"/>
        <v>43.023697944419233</v>
      </c>
      <c r="G43" s="94">
        <f t="shared" si="11"/>
        <v>12</v>
      </c>
      <c r="H43" s="295">
        <f t="shared" si="12"/>
        <v>10.046592</v>
      </c>
      <c r="I43" s="25">
        <f t="shared" si="13"/>
        <v>17.401207786915023</v>
      </c>
      <c r="J43" s="52">
        <f t="shared" si="14"/>
        <v>20</v>
      </c>
      <c r="K43" s="25">
        <f t="shared" si="2"/>
        <v>498</v>
      </c>
      <c r="L43" s="157">
        <f t="shared" si="15"/>
        <v>15.5</v>
      </c>
      <c r="M43" s="64">
        <f t="shared" si="16"/>
        <v>30</v>
      </c>
      <c r="N43" s="838">
        <f t="shared" si="3"/>
        <v>55.930807327745008</v>
      </c>
      <c r="O43" s="68">
        <f>LOOKUP(N43,'Circuit Breakers'!$B$5:$B$38,'Circuit Breakers'!$C$5:$C$38)</f>
        <v>60</v>
      </c>
      <c r="P43" s="199">
        <f t="shared" si="4"/>
        <v>30</v>
      </c>
      <c r="Q43" s="1056">
        <f t="shared" si="17"/>
        <v>647.4</v>
      </c>
      <c r="R43" s="1064">
        <f>LOOKUP(Q43,'Circuit Breakers'!$B$5:$B$38,'Circuit Breakers'!$C$5:$C$38)</f>
        <v>700</v>
      </c>
      <c r="S43" s="64">
        <f t="shared" si="5"/>
        <v>30</v>
      </c>
      <c r="T43" s="25">
        <f t="shared" si="18"/>
        <v>650</v>
      </c>
      <c r="U43" s="158">
        <f>LOOKUP(T43,'Circuit Breakers'!$B$5:$B$38,'Circuit Breakers'!$C$5:$C$38)</f>
        <v>700</v>
      </c>
      <c r="V43" s="64">
        <f t="shared" si="19"/>
        <v>15</v>
      </c>
      <c r="W43" s="25">
        <f t="shared" si="20"/>
        <v>49.477252636082113</v>
      </c>
      <c r="X43" s="68" t="str">
        <f>LOOKUP(W43,'Wire-Cables Ampacities'!$B$5:$B$35,'Wire-Cables Ampacities'!$C$5:$C$35)</f>
        <v>#8</v>
      </c>
      <c r="Y43" s="64">
        <f t="shared" si="21"/>
        <v>10</v>
      </c>
      <c r="Z43" s="25">
        <f t="shared" si="22"/>
        <v>547.80000000000007</v>
      </c>
      <c r="AA43" s="68" t="str">
        <f>LOOKUP(Z43,'Wire-Cables Ampacities'!$B$5:$B$35,'Wire-Cables Ampacities'!$C$5:$C$35)</f>
        <v>#4/0 2x</v>
      </c>
      <c r="AB43" s="64">
        <f t="shared" si="23"/>
        <v>10</v>
      </c>
      <c r="AC43" s="25">
        <f t="shared" si="24"/>
        <v>550</v>
      </c>
      <c r="AD43" s="68" t="str">
        <f>LOOKUP(AC43,'Wire-Cables Ampacities'!$B$5:$B$35,'Wire-Cables Ampacities'!$C$5:$C$35)</f>
        <v>#4/0 2x</v>
      </c>
      <c r="AE43" s="81">
        <f t="shared" si="25"/>
        <v>2.085</v>
      </c>
      <c r="AF43" s="56">
        <f t="shared" si="6"/>
        <v>7114.3160699999989</v>
      </c>
      <c r="AG43" s="72">
        <f t="shared" si="26"/>
        <v>40</v>
      </c>
      <c r="AH43" s="15">
        <f t="shared" si="26"/>
        <v>55</v>
      </c>
      <c r="AI43" s="64">
        <f t="shared" si="26"/>
        <v>20</v>
      </c>
      <c r="AJ43" s="56">
        <f t="shared" si="27"/>
        <v>293.56799999999998</v>
      </c>
      <c r="AK43" s="271">
        <f t="shared" si="28"/>
        <v>2.9356799999999996</v>
      </c>
      <c r="AL43" s="277">
        <f t="shared" si="29"/>
        <v>1.4678399999999998</v>
      </c>
      <c r="AM43" s="58">
        <v>1200</v>
      </c>
      <c r="AN43" s="25">
        <v>38</v>
      </c>
      <c r="AO43" s="3">
        <v>70</v>
      </c>
      <c r="AP43" s="3">
        <v>28</v>
      </c>
      <c r="AQ43" s="281">
        <f t="shared" si="33"/>
        <v>71.555555555555557</v>
      </c>
      <c r="AR43" s="287">
        <f t="shared" si="34"/>
        <v>5772.649403333332</v>
      </c>
      <c r="AS43" s="93"/>
      <c r="AT43" s="4"/>
    </row>
    <row r="44" spans="1:46">
      <c r="A44" s="98">
        <f t="shared" si="1"/>
        <v>6</v>
      </c>
      <c r="B44" s="99">
        <v>2.4500000000000002</v>
      </c>
      <c r="C44" s="100">
        <f t="shared" si="31"/>
        <v>14.700000000000001</v>
      </c>
      <c r="D44" s="101">
        <v>600</v>
      </c>
      <c r="E44" s="183">
        <f t="shared" si="9"/>
        <v>480</v>
      </c>
      <c r="F44" s="102">
        <f t="shared" si="32"/>
        <v>22.252041625016826</v>
      </c>
      <c r="G44" s="103">
        <f t="shared" si="11"/>
        <v>12</v>
      </c>
      <c r="H44" s="296">
        <f t="shared" si="12"/>
        <v>10.046592</v>
      </c>
      <c r="I44" s="104">
        <f t="shared" si="13"/>
        <v>17.401207786915023</v>
      </c>
      <c r="J44" s="180">
        <f t="shared" si="14"/>
        <v>20</v>
      </c>
      <c r="K44" s="104">
        <f t="shared" si="2"/>
        <v>597.6</v>
      </c>
      <c r="L44" s="263">
        <f t="shared" si="15"/>
        <v>18.5</v>
      </c>
      <c r="M44" s="106">
        <f t="shared" si="16"/>
        <v>30</v>
      </c>
      <c r="N44" s="1060">
        <f t="shared" si="3"/>
        <v>28.927654112521875</v>
      </c>
      <c r="O44" s="101">
        <f>LOOKUP(N44,'Circuit Breakers'!$B$5:$B$38,'Circuit Breakers'!$C$5:$C$38)</f>
        <v>30</v>
      </c>
      <c r="P44" s="262">
        <f t="shared" si="4"/>
        <v>30</v>
      </c>
      <c r="Q44" s="1057">
        <f t="shared" si="17"/>
        <v>776.88000000000011</v>
      </c>
      <c r="R44" s="1065">
        <f>LOOKUP(Q44,'Circuit Breakers'!$B$5:$B$38,'Circuit Breakers'!$C$5:$C$38)</f>
        <v>800</v>
      </c>
      <c r="S44" s="106">
        <f t="shared" si="5"/>
        <v>30</v>
      </c>
      <c r="T44" s="104">
        <f t="shared" si="18"/>
        <v>780</v>
      </c>
      <c r="U44" s="477">
        <f>LOOKUP(T44,'Circuit Breakers'!$B$5:$B$38,'Circuit Breakers'!$C$5:$C$38)</f>
        <v>800</v>
      </c>
      <c r="V44" s="106">
        <f t="shared" si="19"/>
        <v>15</v>
      </c>
      <c r="W44" s="104">
        <f t="shared" si="20"/>
        <v>25.589847868769347</v>
      </c>
      <c r="X44" s="101" t="str">
        <f>LOOKUP(W44,'Wire-Cables Ampacities'!$B$5:$B$35,'Wire-Cables Ampacities'!$C$5:$C$35)</f>
        <v>#10</v>
      </c>
      <c r="Y44" s="106">
        <f t="shared" si="21"/>
        <v>10</v>
      </c>
      <c r="Z44" s="104">
        <f t="shared" si="22"/>
        <v>657.36000000000013</v>
      </c>
      <c r="AA44" s="101" t="str">
        <f>LOOKUP(Z44,'Wire-Cables Ampacities'!$B$5:$B$35,'Wire-Cables Ampacities'!$C$5:$C$35)</f>
        <v>300MCM 2x</v>
      </c>
      <c r="AB44" s="106">
        <f t="shared" si="23"/>
        <v>10</v>
      </c>
      <c r="AC44" s="104">
        <f t="shared" si="24"/>
        <v>660</v>
      </c>
      <c r="AD44" s="101" t="str">
        <f>LOOKUP(AC44,'Wire-Cables Ampacities'!$B$5:$B$35,'Wire-Cables Ampacities'!$C$5:$C$35)</f>
        <v>300MCM 2x</v>
      </c>
      <c r="AE44" s="107">
        <f t="shared" si="25"/>
        <v>2.4950000000000001</v>
      </c>
      <c r="AF44" s="105">
        <f t="shared" si="6"/>
        <v>8513.2942899999998</v>
      </c>
      <c r="AG44" s="98">
        <f t="shared" si="26"/>
        <v>40</v>
      </c>
      <c r="AH44" s="99">
        <f t="shared" si="26"/>
        <v>55</v>
      </c>
      <c r="AI44" s="106">
        <f t="shared" si="26"/>
        <v>20</v>
      </c>
      <c r="AJ44" s="105">
        <f t="shared" si="27"/>
        <v>351.29599999999999</v>
      </c>
      <c r="AK44" s="272">
        <f t="shared" si="28"/>
        <v>3.5129600000000001</v>
      </c>
      <c r="AL44" s="278">
        <f t="shared" si="29"/>
        <v>1.75648</v>
      </c>
      <c r="AM44" s="109">
        <v>1200</v>
      </c>
      <c r="AN44" s="104">
        <v>38</v>
      </c>
      <c r="AO44" s="110">
        <v>70</v>
      </c>
      <c r="AP44" s="110">
        <v>28</v>
      </c>
      <c r="AQ44" s="282">
        <f t="shared" si="33"/>
        <v>71.555555555555557</v>
      </c>
      <c r="AR44" s="288">
        <f t="shared" si="34"/>
        <v>7171.6276233333328</v>
      </c>
      <c r="AS44" s="93"/>
      <c r="AT44" s="4"/>
    </row>
    <row r="45" spans="1:46">
      <c r="A45" s="72">
        <f t="shared" si="1"/>
        <v>6</v>
      </c>
      <c r="B45" s="15">
        <v>2.4500000000000002</v>
      </c>
      <c r="C45" s="66">
        <f t="shared" ref="C45:C50" si="35">A45*B45</f>
        <v>14.700000000000001</v>
      </c>
      <c r="D45" s="68">
        <v>700</v>
      </c>
      <c r="E45" s="186">
        <f t="shared" si="9"/>
        <v>480</v>
      </c>
      <c r="F45" s="45">
        <f t="shared" ref="F45:F50" si="36">L45*1000/E45/SQRT(3)</f>
        <v>26.461887337857849</v>
      </c>
      <c r="G45" s="94">
        <f t="shared" si="11"/>
        <v>12</v>
      </c>
      <c r="H45" s="295">
        <f t="shared" si="12"/>
        <v>10.046592</v>
      </c>
      <c r="I45" s="25">
        <f t="shared" si="13"/>
        <v>17.401207786915023</v>
      </c>
      <c r="J45" s="52">
        <f t="shared" si="14"/>
        <v>20</v>
      </c>
      <c r="K45" s="25">
        <f t="shared" si="2"/>
        <v>697.19999999999993</v>
      </c>
      <c r="L45" s="157">
        <f t="shared" si="15"/>
        <v>22</v>
      </c>
      <c r="M45" s="64">
        <f t="shared" si="16"/>
        <v>30</v>
      </c>
      <c r="N45" s="838">
        <f t="shared" si="3"/>
        <v>34.400453539215206</v>
      </c>
      <c r="O45" s="68">
        <f>LOOKUP(N45,'Circuit Breakers'!$B$5:$B$38,'Circuit Breakers'!$C$5:$C$38)</f>
        <v>40</v>
      </c>
      <c r="P45" s="199">
        <f t="shared" si="4"/>
        <v>30</v>
      </c>
      <c r="Q45" s="1056">
        <f t="shared" si="17"/>
        <v>906.3599999999999</v>
      </c>
      <c r="R45" s="1064">
        <f>LOOKUP(Q45,'Circuit Breakers'!$B$5:$B$38,'Circuit Breakers'!$C$5:$C$38)</f>
        <v>1000</v>
      </c>
      <c r="S45" s="64">
        <f t="shared" si="5"/>
        <v>30</v>
      </c>
      <c r="T45" s="25">
        <f t="shared" si="18"/>
        <v>910</v>
      </c>
      <c r="U45" s="158">
        <f>LOOKUP(T45,'Circuit Breakers'!$B$5:$B$38,'Circuit Breakers'!$C$5:$C$38)</f>
        <v>1000</v>
      </c>
      <c r="V45" s="64">
        <f t="shared" si="19"/>
        <v>15</v>
      </c>
      <c r="W45" s="25">
        <f t="shared" si="20"/>
        <v>30.431170438536522</v>
      </c>
      <c r="X45" s="68" t="str">
        <f>LOOKUP(W45,'Wire-Cables Ampacities'!$B$5:$B$35,'Wire-Cables Ampacities'!$C$5:$C$35)</f>
        <v>#10</v>
      </c>
      <c r="Y45" s="64">
        <f t="shared" si="21"/>
        <v>10</v>
      </c>
      <c r="Z45" s="25">
        <f t="shared" si="22"/>
        <v>766.92</v>
      </c>
      <c r="AA45" s="68" t="str">
        <f>LOOKUP(Z45,'Wire-Cables Ampacities'!$B$5:$B$35,'Wire-Cables Ampacities'!$C$5:$C$35)</f>
        <v>Buss</v>
      </c>
      <c r="AB45" s="64">
        <f t="shared" si="23"/>
        <v>10</v>
      </c>
      <c r="AC45" s="25">
        <f t="shared" si="24"/>
        <v>770.00000000000011</v>
      </c>
      <c r="AD45" s="68" t="str">
        <f>LOOKUP(AC45,'Wire-Cables Ampacities'!$B$5:$B$35,'Wire-Cables Ampacities'!$C$5:$C$35)</f>
        <v>Buss</v>
      </c>
      <c r="AE45" s="81">
        <f t="shared" si="25"/>
        <v>2.94</v>
      </c>
      <c r="AF45" s="56">
        <f t="shared" si="6"/>
        <v>10031.697480000001</v>
      </c>
      <c r="AG45" s="72">
        <f t="shared" si="26"/>
        <v>40</v>
      </c>
      <c r="AH45" s="15">
        <f t="shared" si="26"/>
        <v>55</v>
      </c>
      <c r="AI45" s="64">
        <f t="shared" si="26"/>
        <v>20</v>
      </c>
      <c r="AJ45" s="56">
        <f t="shared" si="27"/>
        <v>413.95199999999994</v>
      </c>
      <c r="AK45" s="271">
        <f t="shared" si="28"/>
        <v>4.1395199999999992</v>
      </c>
      <c r="AL45" s="277">
        <f t="shared" si="29"/>
        <v>2.0697599999999996</v>
      </c>
      <c r="AM45" s="58">
        <v>1200</v>
      </c>
      <c r="AN45" s="25">
        <v>38</v>
      </c>
      <c r="AO45" s="3">
        <v>70</v>
      </c>
      <c r="AP45" s="3">
        <v>28</v>
      </c>
      <c r="AQ45" s="281">
        <f t="shared" ref="AQ45:AQ50" si="37">((2*AO45*AN45)+2*(AO45*AP45)+(AN45*AP45))/144</f>
        <v>71.555555555555557</v>
      </c>
      <c r="AR45" s="287">
        <f t="shared" ref="AR45:AR50" si="38">AF45+(1.25*AQ45*(AG45-AH45))</f>
        <v>8690.0308133333347</v>
      </c>
      <c r="AS45" s="93"/>
      <c r="AT45" s="4"/>
    </row>
    <row r="46" spans="1:46">
      <c r="A46" s="72">
        <f t="shared" si="1"/>
        <v>6</v>
      </c>
      <c r="B46" s="15">
        <v>2.4500000000000002</v>
      </c>
      <c r="C46" s="66">
        <f t="shared" si="35"/>
        <v>14.700000000000001</v>
      </c>
      <c r="D46" s="68">
        <v>800</v>
      </c>
      <c r="E46" s="186">
        <f t="shared" si="9"/>
        <v>480</v>
      </c>
      <c r="F46" s="45">
        <f t="shared" si="36"/>
        <v>30.070326520293012</v>
      </c>
      <c r="G46" s="94">
        <f t="shared" si="11"/>
        <v>12</v>
      </c>
      <c r="H46" s="295">
        <f t="shared" si="12"/>
        <v>10.046592</v>
      </c>
      <c r="I46" s="25">
        <f t="shared" si="13"/>
        <v>17.401207786915023</v>
      </c>
      <c r="J46" s="52">
        <f t="shared" si="14"/>
        <v>20</v>
      </c>
      <c r="K46" s="25">
        <f t="shared" si="2"/>
        <v>796.8</v>
      </c>
      <c r="L46" s="157">
        <f t="shared" si="15"/>
        <v>25</v>
      </c>
      <c r="M46" s="64">
        <f t="shared" si="16"/>
        <v>30</v>
      </c>
      <c r="N46" s="838">
        <f t="shared" si="3"/>
        <v>39.091424476380915</v>
      </c>
      <c r="O46" s="68">
        <f>LOOKUP(N46,'Circuit Breakers'!$B$5:$B$38,'Circuit Breakers'!$C$5:$C$38)</f>
        <v>40</v>
      </c>
      <c r="P46" s="199">
        <f t="shared" si="4"/>
        <v>30</v>
      </c>
      <c r="Q46" s="1056">
        <f t="shared" si="17"/>
        <v>1035.8399999999999</v>
      </c>
      <c r="R46" s="1064">
        <f>LOOKUP(Q46,'Circuit Breakers'!$B$5:$B$38,'Circuit Breakers'!$C$5:$C$38)</f>
        <v>1200</v>
      </c>
      <c r="S46" s="64">
        <f t="shared" si="5"/>
        <v>30</v>
      </c>
      <c r="T46" s="25">
        <f t="shared" si="18"/>
        <v>1040</v>
      </c>
      <c r="U46" s="158">
        <f>LOOKUP(T46,'Circuit Breakers'!$B$5:$B$38,'Circuit Breakers'!$C$5:$C$38)</f>
        <v>1200</v>
      </c>
      <c r="V46" s="64">
        <f t="shared" si="19"/>
        <v>15</v>
      </c>
      <c r="W46" s="25">
        <f t="shared" si="20"/>
        <v>34.580875498336958</v>
      </c>
      <c r="X46" s="68" t="str">
        <f>LOOKUP(W46,'Wire-Cables Ampacities'!$B$5:$B$35,'Wire-Cables Ampacities'!$C$5:$C$35)</f>
        <v>#10</v>
      </c>
      <c r="Y46" s="64">
        <f t="shared" si="21"/>
        <v>10</v>
      </c>
      <c r="Z46" s="25">
        <f t="shared" si="22"/>
        <v>876.48</v>
      </c>
      <c r="AA46" s="68" t="str">
        <f>LOOKUP(Z46,'Wire-Cables Ampacities'!$B$5:$B$35,'Wire-Cables Ampacities'!$C$5:$C$35)</f>
        <v>Buss</v>
      </c>
      <c r="AB46" s="64">
        <f t="shared" si="23"/>
        <v>10</v>
      </c>
      <c r="AC46" s="25">
        <f t="shared" si="24"/>
        <v>880.00000000000011</v>
      </c>
      <c r="AD46" s="68" t="str">
        <f>LOOKUP(AC46,'Wire-Cables Ampacities'!$B$5:$B$35,'Wire-Cables Ampacities'!$C$5:$C$35)</f>
        <v>Buss</v>
      </c>
      <c r="AE46" s="81">
        <f t="shared" si="25"/>
        <v>3.35</v>
      </c>
      <c r="AF46" s="56">
        <f t="shared" si="6"/>
        <v>11430.6757</v>
      </c>
      <c r="AG46" s="72">
        <f t="shared" si="26"/>
        <v>40</v>
      </c>
      <c r="AH46" s="15">
        <f t="shared" si="26"/>
        <v>55</v>
      </c>
      <c r="AI46" s="64">
        <f t="shared" si="26"/>
        <v>20</v>
      </c>
      <c r="AJ46" s="56">
        <f t="shared" si="27"/>
        <v>471.67999999999995</v>
      </c>
      <c r="AK46" s="271">
        <f t="shared" si="28"/>
        <v>4.7167999999999992</v>
      </c>
      <c r="AL46" s="277">
        <f t="shared" si="29"/>
        <v>2.3583999999999996</v>
      </c>
      <c r="AM46" s="58">
        <v>1200</v>
      </c>
      <c r="AN46" s="25">
        <v>38</v>
      </c>
      <c r="AO46" s="3">
        <v>70</v>
      </c>
      <c r="AP46" s="3">
        <v>28</v>
      </c>
      <c r="AQ46" s="281">
        <f t="shared" si="37"/>
        <v>71.555555555555557</v>
      </c>
      <c r="AR46" s="287">
        <f t="shared" si="38"/>
        <v>10089.009033333334</v>
      </c>
      <c r="AS46" s="93"/>
      <c r="AT46" s="4"/>
    </row>
    <row r="47" spans="1:46">
      <c r="A47" s="98">
        <f t="shared" si="1"/>
        <v>6</v>
      </c>
      <c r="B47" s="99">
        <v>2.4500000000000002</v>
      </c>
      <c r="C47" s="100">
        <f t="shared" si="35"/>
        <v>14.700000000000001</v>
      </c>
      <c r="D47" s="101">
        <v>900</v>
      </c>
      <c r="E47" s="183">
        <f t="shared" si="9"/>
        <v>480</v>
      </c>
      <c r="F47" s="102">
        <f t="shared" si="36"/>
        <v>33.678765702728171</v>
      </c>
      <c r="G47" s="103">
        <f t="shared" si="11"/>
        <v>12</v>
      </c>
      <c r="H47" s="296">
        <f t="shared" si="12"/>
        <v>10.046592</v>
      </c>
      <c r="I47" s="104">
        <f t="shared" si="13"/>
        <v>17.401207786915023</v>
      </c>
      <c r="J47" s="180">
        <f t="shared" si="14"/>
        <v>20</v>
      </c>
      <c r="K47" s="104">
        <f t="shared" si="2"/>
        <v>896.4</v>
      </c>
      <c r="L47" s="263">
        <f t="shared" si="15"/>
        <v>28</v>
      </c>
      <c r="M47" s="106">
        <f t="shared" si="16"/>
        <v>30</v>
      </c>
      <c r="N47" s="1060">
        <f t="shared" si="3"/>
        <v>43.782395413546624</v>
      </c>
      <c r="O47" s="101">
        <f>LOOKUP(N47,'Circuit Breakers'!$B$5:$B$38,'Circuit Breakers'!$C$5:$C$38)</f>
        <v>50</v>
      </c>
      <c r="P47" s="262">
        <f t="shared" si="4"/>
        <v>30</v>
      </c>
      <c r="Q47" s="1057">
        <f t="shared" si="17"/>
        <v>1165.32</v>
      </c>
      <c r="R47" s="1065">
        <f>LOOKUP(Q47,'Circuit Breakers'!$B$5:$B$38,'Circuit Breakers'!$C$5:$C$38)</f>
        <v>1200</v>
      </c>
      <c r="S47" s="106">
        <f t="shared" si="5"/>
        <v>30</v>
      </c>
      <c r="T47" s="104">
        <f t="shared" si="18"/>
        <v>1170</v>
      </c>
      <c r="U47" s="477">
        <f>LOOKUP(T47,'Circuit Breakers'!$B$5:$B$38,'Circuit Breakers'!$C$5:$C$38)</f>
        <v>1200</v>
      </c>
      <c r="V47" s="106">
        <f t="shared" si="19"/>
        <v>15</v>
      </c>
      <c r="W47" s="104">
        <f t="shared" si="20"/>
        <v>38.73058055813739</v>
      </c>
      <c r="X47" s="101" t="str">
        <f>LOOKUP(W47,'Wire-Cables Ampacities'!$B$5:$B$35,'Wire-Cables Ampacities'!$C$5:$C$35)</f>
        <v>#10</v>
      </c>
      <c r="Y47" s="106">
        <f t="shared" si="21"/>
        <v>10</v>
      </c>
      <c r="Z47" s="104">
        <f t="shared" si="22"/>
        <v>986.04000000000008</v>
      </c>
      <c r="AA47" s="101" t="str">
        <f>LOOKUP(Z47,'Wire-Cables Ampacities'!$B$5:$B$35,'Wire-Cables Ampacities'!$C$5:$C$35)</f>
        <v>Buss</v>
      </c>
      <c r="AB47" s="106">
        <f t="shared" si="23"/>
        <v>10</v>
      </c>
      <c r="AC47" s="104">
        <f t="shared" si="24"/>
        <v>990.00000000000011</v>
      </c>
      <c r="AD47" s="101" t="str">
        <f>LOOKUP(AC47,'Wire-Cables Ampacities'!$B$5:$B$35,'Wire-Cables Ampacities'!$C$5:$C$35)</f>
        <v>Buss</v>
      </c>
      <c r="AE47" s="107">
        <f t="shared" si="25"/>
        <v>3.76</v>
      </c>
      <c r="AF47" s="105">
        <f t="shared" si="6"/>
        <v>12829.653919999999</v>
      </c>
      <c r="AG47" s="98">
        <f t="shared" si="26"/>
        <v>40</v>
      </c>
      <c r="AH47" s="99">
        <f t="shared" si="26"/>
        <v>55</v>
      </c>
      <c r="AI47" s="106">
        <f t="shared" si="26"/>
        <v>20</v>
      </c>
      <c r="AJ47" s="105">
        <f t="shared" si="27"/>
        <v>529.4079999999999</v>
      </c>
      <c r="AK47" s="272">
        <f t="shared" si="28"/>
        <v>5.2940799999999992</v>
      </c>
      <c r="AL47" s="278">
        <f t="shared" si="29"/>
        <v>2.6470399999999996</v>
      </c>
      <c r="AM47" s="109">
        <v>1200</v>
      </c>
      <c r="AN47" s="104">
        <v>38</v>
      </c>
      <c r="AO47" s="110">
        <v>70</v>
      </c>
      <c r="AP47" s="110">
        <v>28</v>
      </c>
      <c r="AQ47" s="282">
        <f t="shared" si="37"/>
        <v>71.555555555555557</v>
      </c>
      <c r="AR47" s="288">
        <f t="shared" si="38"/>
        <v>11487.987253333333</v>
      </c>
      <c r="AS47" s="93"/>
      <c r="AT47" s="4"/>
    </row>
    <row r="48" spans="1:46" s="1350" customFormat="1" ht="18">
      <c r="A48" s="1332">
        <f t="shared" si="1"/>
        <v>6</v>
      </c>
      <c r="B48" s="1331">
        <v>2.4500000000000002</v>
      </c>
      <c r="C48" s="645">
        <f t="shared" si="35"/>
        <v>14.700000000000001</v>
      </c>
      <c r="D48" s="646">
        <v>1000</v>
      </c>
      <c r="E48" s="692">
        <f t="shared" si="9"/>
        <v>480</v>
      </c>
      <c r="F48" s="1337">
        <f t="shared" si="36"/>
        <v>37.287204885163327</v>
      </c>
      <c r="G48" s="1339">
        <f t="shared" si="11"/>
        <v>12</v>
      </c>
      <c r="H48" s="648">
        <f t="shared" si="12"/>
        <v>10.046592</v>
      </c>
      <c r="I48" s="1337">
        <f t="shared" si="13"/>
        <v>17.401207786915023</v>
      </c>
      <c r="J48" s="1340">
        <f t="shared" si="14"/>
        <v>20</v>
      </c>
      <c r="K48" s="1337">
        <f t="shared" si="2"/>
        <v>996</v>
      </c>
      <c r="L48" s="707">
        <f t="shared" si="15"/>
        <v>31</v>
      </c>
      <c r="M48" s="1332">
        <f t="shared" si="16"/>
        <v>30</v>
      </c>
      <c r="N48" s="1333">
        <f t="shared" si="3"/>
        <v>48.473366350712325</v>
      </c>
      <c r="O48" s="646">
        <f>LOOKUP(N48,'Circuit Breakers'!$B$5:$B$38,'Circuit Breakers'!$C$5:$C$38)</f>
        <v>50</v>
      </c>
      <c r="P48" s="1334">
        <f t="shared" si="4"/>
        <v>30</v>
      </c>
      <c r="Q48" s="1335">
        <f t="shared" si="17"/>
        <v>1294.8</v>
      </c>
      <c r="R48" s="1336" t="str">
        <f>LOOKUP(Q48,'Circuit Breakers'!$B$5:$B$38,'Circuit Breakers'!$C$5:$C$38)</f>
        <v>Check</v>
      </c>
      <c r="S48" s="1332">
        <f t="shared" si="5"/>
        <v>30</v>
      </c>
      <c r="T48" s="1337">
        <f t="shared" si="18"/>
        <v>1300</v>
      </c>
      <c r="U48" s="1338" t="str">
        <f>LOOKUP(T48,'Circuit Breakers'!$B$5:$B$38,'Circuit Breakers'!$C$5:$C$38)</f>
        <v>Check</v>
      </c>
      <c r="V48" s="1332">
        <f t="shared" si="19"/>
        <v>15</v>
      </c>
      <c r="W48" s="1337">
        <f t="shared" si="20"/>
        <v>42.880285617937822</v>
      </c>
      <c r="X48" s="646" t="str">
        <f>LOOKUP(W48,'Wire-Cables Ampacities'!$B$5:$B$35,'Wire-Cables Ampacities'!$C$5:$C$35)</f>
        <v>#8</v>
      </c>
      <c r="Y48" s="1332">
        <f t="shared" si="21"/>
        <v>10</v>
      </c>
      <c r="Z48" s="1337">
        <f t="shared" si="22"/>
        <v>1095.6000000000001</v>
      </c>
      <c r="AA48" s="646" t="str">
        <f>LOOKUP(Z48,'Wire-Cables Ampacities'!$B$5:$B$35,'Wire-Cables Ampacities'!$C$5:$C$35)</f>
        <v>Buss</v>
      </c>
      <c r="AB48" s="1332">
        <f t="shared" si="23"/>
        <v>10</v>
      </c>
      <c r="AC48" s="1337">
        <f t="shared" si="24"/>
        <v>1100</v>
      </c>
      <c r="AD48" s="646" t="str">
        <f>LOOKUP(AC48,'Wire-Cables Ampacities'!$B$5:$B$35,'Wire-Cables Ampacities'!$C$5:$C$35)</f>
        <v>Buss</v>
      </c>
      <c r="AE48" s="1341">
        <f t="shared" si="25"/>
        <v>4.17</v>
      </c>
      <c r="AF48" s="1342">
        <f t="shared" si="6"/>
        <v>14228.632139999998</v>
      </c>
      <c r="AG48" s="1332">
        <f t="shared" si="26"/>
        <v>40</v>
      </c>
      <c r="AH48" s="1339">
        <f t="shared" si="26"/>
        <v>55</v>
      </c>
      <c r="AI48" s="1332">
        <f t="shared" si="26"/>
        <v>20</v>
      </c>
      <c r="AJ48" s="1342">
        <f t="shared" si="27"/>
        <v>587.13599999999997</v>
      </c>
      <c r="AK48" s="1343">
        <f t="shared" si="28"/>
        <v>5.8713599999999992</v>
      </c>
      <c r="AL48" s="1344">
        <f t="shared" si="29"/>
        <v>2.9356799999999996</v>
      </c>
      <c r="AM48" s="1345">
        <v>1200</v>
      </c>
      <c r="AN48" s="1337">
        <v>38</v>
      </c>
      <c r="AO48" s="1340">
        <v>70</v>
      </c>
      <c r="AP48" s="1340">
        <v>28</v>
      </c>
      <c r="AQ48" s="1346">
        <f t="shared" si="37"/>
        <v>71.555555555555557</v>
      </c>
      <c r="AR48" s="1347">
        <f t="shared" si="38"/>
        <v>12886.965473333332</v>
      </c>
      <c r="AS48" s="1348"/>
      <c r="AT48" s="1349"/>
    </row>
    <row r="49" spans="1:46">
      <c r="A49" s="72">
        <f t="shared" si="1"/>
        <v>6</v>
      </c>
      <c r="B49" s="15">
        <v>2.4500000000000002</v>
      </c>
      <c r="C49" s="66">
        <f t="shared" si="35"/>
        <v>14.700000000000001</v>
      </c>
      <c r="D49" s="68">
        <v>1100</v>
      </c>
      <c r="E49" s="186">
        <f t="shared" si="9"/>
        <v>480</v>
      </c>
      <c r="F49" s="45">
        <f t="shared" si="36"/>
        <v>40.895644067598489</v>
      </c>
      <c r="G49" s="94">
        <f t="shared" si="11"/>
        <v>12</v>
      </c>
      <c r="H49" s="295">
        <f t="shared" si="12"/>
        <v>10.046592</v>
      </c>
      <c r="I49" s="25">
        <f t="shared" si="13"/>
        <v>17.401207786915023</v>
      </c>
      <c r="J49" s="52">
        <f t="shared" si="14"/>
        <v>20</v>
      </c>
      <c r="K49" s="25">
        <f t="shared" si="2"/>
        <v>1095.5999999999999</v>
      </c>
      <c r="L49" s="157">
        <f t="shared" si="15"/>
        <v>34</v>
      </c>
      <c r="M49" s="64">
        <f t="shared" si="16"/>
        <v>30</v>
      </c>
      <c r="N49" s="838">
        <f t="shared" si="3"/>
        <v>53.164337287878041</v>
      </c>
      <c r="O49" s="68">
        <f>LOOKUP(N49,'Circuit Breakers'!$B$5:$B$38,'Circuit Breakers'!$C$5:$C$38)</f>
        <v>60</v>
      </c>
      <c r="P49" s="199">
        <f t="shared" si="4"/>
        <v>30</v>
      </c>
      <c r="Q49" s="1056">
        <f t="shared" si="17"/>
        <v>1424.28</v>
      </c>
      <c r="R49" s="1064" t="str">
        <f>LOOKUP(Q49,'Circuit Breakers'!$B$5:$B$38,'Circuit Breakers'!$C$5:$C$38)</f>
        <v>Check</v>
      </c>
      <c r="S49" s="64">
        <f t="shared" si="5"/>
        <v>30</v>
      </c>
      <c r="T49" s="25">
        <f t="shared" si="18"/>
        <v>1430</v>
      </c>
      <c r="U49" s="158" t="str">
        <f>LOOKUP(T49,'Circuit Breakers'!$B$5:$B$38,'Circuit Breakers'!$C$5:$C$38)</f>
        <v>Check</v>
      </c>
      <c r="V49" s="64">
        <f t="shared" si="19"/>
        <v>15</v>
      </c>
      <c r="W49" s="25">
        <f t="shared" si="20"/>
        <v>47.029990677738262</v>
      </c>
      <c r="X49" s="68" t="str">
        <f>LOOKUP(W49,'Wire-Cables Ampacities'!$B$5:$B$35,'Wire-Cables Ampacities'!$C$5:$C$35)</f>
        <v>#8</v>
      </c>
      <c r="Y49" s="64">
        <f t="shared" si="21"/>
        <v>10</v>
      </c>
      <c r="Z49" s="25">
        <f t="shared" si="22"/>
        <v>1205.1600000000001</v>
      </c>
      <c r="AA49" s="68" t="str">
        <f>LOOKUP(Z49,'Wire-Cables Ampacities'!$B$5:$B$35,'Wire-Cables Ampacities'!$C$5:$C$35)</f>
        <v>Buss</v>
      </c>
      <c r="AB49" s="64">
        <f t="shared" si="23"/>
        <v>10</v>
      </c>
      <c r="AC49" s="25">
        <f t="shared" si="24"/>
        <v>1210</v>
      </c>
      <c r="AD49" s="68" t="str">
        <f>LOOKUP(AC49,'Wire-Cables Ampacities'!$B$5:$B$35,'Wire-Cables Ampacities'!$C$5:$C$35)</f>
        <v>Buss</v>
      </c>
      <c r="AE49" s="81">
        <f t="shared" si="25"/>
        <v>4.58</v>
      </c>
      <c r="AF49" s="56">
        <f t="shared" si="6"/>
        <v>15627.610359999999</v>
      </c>
      <c r="AG49" s="72">
        <f t="shared" si="26"/>
        <v>40</v>
      </c>
      <c r="AH49" s="15">
        <f t="shared" si="26"/>
        <v>55</v>
      </c>
      <c r="AI49" s="64">
        <f t="shared" si="26"/>
        <v>20</v>
      </c>
      <c r="AJ49" s="56">
        <f t="shared" si="27"/>
        <v>644.86399999999992</v>
      </c>
      <c r="AK49" s="271">
        <f t="shared" si="28"/>
        <v>6.4486399999999993</v>
      </c>
      <c r="AL49" s="277">
        <f t="shared" si="29"/>
        <v>3.2243199999999996</v>
      </c>
      <c r="AM49" s="58">
        <v>1200</v>
      </c>
      <c r="AN49" s="25">
        <v>38</v>
      </c>
      <c r="AO49" s="3">
        <v>70</v>
      </c>
      <c r="AP49" s="3">
        <v>28</v>
      </c>
      <c r="AQ49" s="281">
        <f t="shared" si="37"/>
        <v>71.555555555555557</v>
      </c>
      <c r="AR49" s="287">
        <f t="shared" si="38"/>
        <v>14285.943693333333</v>
      </c>
      <c r="AS49" s="93"/>
      <c r="AT49" s="4"/>
    </row>
    <row r="50" spans="1:46" ht="13.5" thickBot="1">
      <c r="A50" s="253">
        <f t="shared" si="1"/>
        <v>6</v>
      </c>
      <c r="B50" s="254">
        <v>2.4500000000000002</v>
      </c>
      <c r="C50" s="258">
        <f t="shared" si="35"/>
        <v>14.700000000000001</v>
      </c>
      <c r="D50" s="259">
        <v>1200</v>
      </c>
      <c r="E50" s="303">
        <f t="shared" si="9"/>
        <v>480</v>
      </c>
      <c r="F50" s="260">
        <f t="shared" si="36"/>
        <v>44.504083250033652</v>
      </c>
      <c r="G50" s="261">
        <f t="shared" si="11"/>
        <v>12</v>
      </c>
      <c r="H50" s="297">
        <f t="shared" si="12"/>
        <v>10.046592</v>
      </c>
      <c r="I50" s="264">
        <f t="shared" si="13"/>
        <v>17.401207786915023</v>
      </c>
      <c r="J50" s="265">
        <f t="shared" si="14"/>
        <v>20</v>
      </c>
      <c r="K50" s="264">
        <f t="shared" si="2"/>
        <v>1195.2</v>
      </c>
      <c r="L50" s="266">
        <f t="shared" si="15"/>
        <v>37</v>
      </c>
      <c r="M50" s="267">
        <f t="shared" si="16"/>
        <v>30</v>
      </c>
      <c r="N50" s="1061">
        <f t="shared" si="3"/>
        <v>57.85530822504375</v>
      </c>
      <c r="O50" s="259">
        <f>LOOKUP(N50,'Circuit Breakers'!$B$5:$B$38,'Circuit Breakers'!$C$5:$C$38)</f>
        <v>60</v>
      </c>
      <c r="P50" s="333">
        <f t="shared" si="4"/>
        <v>30</v>
      </c>
      <c r="Q50" s="1058">
        <f t="shared" si="17"/>
        <v>1553.7600000000002</v>
      </c>
      <c r="R50" s="1066" t="str">
        <f>LOOKUP(Q50,'Circuit Breakers'!$B$5:$B$38,'Circuit Breakers'!$C$5:$C$38)</f>
        <v>Check</v>
      </c>
      <c r="S50" s="267">
        <f t="shared" si="5"/>
        <v>30</v>
      </c>
      <c r="T50" s="264">
        <f t="shared" si="18"/>
        <v>1560</v>
      </c>
      <c r="U50" s="478" t="str">
        <f>LOOKUP(T50,'Circuit Breakers'!$B$5:$B$38,'Circuit Breakers'!$C$5:$C$38)</f>
        <v>Check</v>
      </c>
      <c r="V50" s="267">
        <f t="shared" si="19"/>
        <v>15</v>
      </c>
      <c r="W50" s="264">
        <f t="shared" si="20"/>
        <v>51.179695737538694</v>
      </c>
      <c r="X50" s="259" t="str">
        <f>LOOKUP(W50,'Wire-Cables Ampacities'!$B$5:$B$35,'Wire-Cables Ampacities'!$C$5:$C$35)</f>
        <v>#8</v>
      </c>
      <c r="Y50" s="267">
        <f t="shared" si="21"/>
        <v>10</v>
      </c>
      <c r="Z50" s="264">
        <f t="shared" si="22"/>
        <v>1314.7200000000003</v>
      </c>
      <c r="AA50" s="259" t="str">
        <f>LOOKUP(Z50,'Wire-Cables Ampacities'!$B$5:$B$35,'Wire-Cables Ampacities'!$C$5:$C$35)</f>
        <v>Buss</v>
      </c>
      <c r="AB50" s="267">
        <f t="shared" si="23"/>
        <v>10</v>
      </c>
      <c r="AC50" s="264">
        <f t="shared" si="24"/>
        <v>1320</v>
      </c>
      <c r="AD50" s="259" t="str">
        <f>LOOKUP(AC50,'Wire-Cables Ampacities'!$B$5:$B$35,'Wire-Cables Ampacities'!$C$5:$C$35)</f>
        <v>Buss</v>
      </c>
      <c r="AE50" s="270">
        <f t="shared" si="25"/>
        <v>4.99</v>
      </c>
      <c r="AF50" s="268">
        <f t="shared" si="6"/>
        <v>17026.58858</v>
      </c>
      <c r="AG50" s="253">
        <f t="shared" si="26"/>
        <v>40</v>
      </c>
      <c r="AH50" s="254">
        <f t="shared" si="26"/>
        <v>55</v>
      </c>
      <c r="AI50" s="267">
        <f t="shared" si="26"/>
        <v>20</v>
      </c>
      <c r="AJ50" s="268">
        <f t="shared" si="27"/>
        <v>702.59199999999998</v>
      </c>
      <c r="AK50" s="273">
        <f t="shared" si="28"/>
        <v>7.0259200000000002</v>
      </c>
      <c r="AL50" s="279">
        <f t="shared" si="29"/>
        <v>3.5129600000000001</v>
      </c>
      <c r="AM50" s="275">
        <v>1200</v>
      </c>
      <c r="AN50" s="264">
        <v>38</v>
      </c>
      <c r="AO50" s="276">
        <v>70</v>
      </c>
      <c r="AP50" s="276">
        <v>28</v>
      </c>
      <c r="AQ50" s="283">
        <f t="shared" si="37"/>
        <v>71.555555555555557</v>
      </c>
      <c r="AR50" s="289">
        <f t="shared" si="38"/>
        <v>15684.921913333334</v>
      </c>
      <c r="AS50" s="93"/>
      <c r="AT50" s="4"/>
    </row>
    <row r="52" spans="1:46" ht="13.5" thickBot="1"/>
    <row r="53" spans="1:46" ht="16.5" thickBot="1">
      <c r="A53" s="95" t="s">
        <v>77</v>
      </c>
      <c r="B53" s="96"/>
      <c r="C53" s="44"/>
      <c r="D53" s="86"/>
      <c r="E53" s="86"/>
      <c r="F53" s="86"/>
      <c r="G53" s="87"/>
      <c r="H53" s="290" t="s">
        <v>102</v>
      </c>
      <c r="I53" s="42"/>
      <c r="J53" s="51"/>
      <c r="K53" s="42"/>
      <c r="L53" s="40"/>
      <c r="M53" s="290" t="s">
        <v>83</v>
      </c>
      <c r="N53" s="42"/>
      <c r="O53" s="327"/>
      <c r="P53" s="44"/>
      <c r="Q53" s="44"/>
      <c r="R53" s="327"/>
      <c r="S53" s="44"/>
      <c r="T53" s="44"/>
      <c r="U53" s="185"/>
      <c r="V53" s="184" t="s">
        <v>84</v>
      </c>
      <c r="W53" s="44"/>
      <c r="X53" s="327"/>
      <c r="Y53" s="44"/>
      <c r="Z53" s="44"/>
      <c r="AA53" s="327"/>
      <c r="AB53" s="44"/>
      <c r="AC53" s="44"/>
      <c r="AD53" s="185"/>
      <c r="AE53" s="291" t="s">
        <v>62</v>
      </c>
      <c r="AF53" s="80"/>
      <c r="AG53" s="290" t="s">
        <v>90</v>
      </c>
      <c r="AH53" s="40"/>
      <c r="AI53" s="292" t="s">
        <v>87</v>
      </c>
      <c r="AJ53" s="90"/>
      <c r="AK53" s="90"/>
      <c r="AL53" s="49"/>
      <c r="AM53" s="189" t="s">
        <v>88</v>
      </c>
      <c r="AN53" s="90"/>
      <c r="AO53" s="90"/>
      <c r="AP53" s="90"/>
      <c r="AQ53" s="90"/>
      <c r="AR53" s="6"/>
      <c r="AS53" s="7"/>
    </row>
    <row r="54" spans="1:46" ht="13.5" thickBot="1">
      <c r="A54" s="97" t="s">
        <v>23</v>
      </c>
      <c r="B54" s="48"/>
      <c r="C54" s="189" t="s">
        <v>76</v>
      </c>
      <c r="D54" s="190"/>
      <c r="E54" s="189" t="s">
        <v>57</v>
      </c>
      <c r="F54" s="191"/>
      <c r="G54" s="192"/>
      <c r="H54" s="76"/>
      <c r="I54" s="90"/>
      <c r="J54" s="175"/>
      <c r="K54" s="90"/>
      <c r="L54" s="49"/>
      <c r="M54" s="47" t="s">
        <v>81</v>
      </c>
      <c r="N54" s="96"/>
      <c r="O54" s="192"/>
      <c r="P54" s="47" t="s">
        <v>82</v>
      </c>
      <c r="Q54" s="96"/>
      <c r="R54" s="192"/>
      <c r="S54" s="47" t="s">
        <v>80</v>
      </c>
      <c r="T54" s="96"/>
      <c r="U54" s="192"/>
      <c r="V54" s="76" t="s">
        <v>78</v>
      </c>
      <c r="W54" s="96"/>
      <c r="X54" s="190"/>
      <c r="Y54" s="76" t="s">
        <v>79</v>
      </c>
      <c r="Z54" s="96"/>
      <c r="AA54" s="190"/>
      <c r="AB54" s="47" t="s">
        <v>80</v>
      </c>
      <c r="AC54" s="96"/>
      <c r="AD54" s="190"/>
      <c r="AE54" s="176"/>
      <c r="AF54" s="177"/>
      <c r="AG54" s="205" t="s">
        <v>94</v>
      </c>
      <c r="AH54" s="179" t="s">
        <v>95</v>
      </c>
      <c r="AI54" s="178"/>
      <c r="AJ54" s="198"/>
      <c r="AK54" s="206" t="s">
        <v>66</v>
      </c>
      <c r="AL54" s="198" t="s">
        <v>66</v>
      </c>
      <c r="AM54" s="47" t="s">
        <v>68</v>
      </c>
      <c r="AN54" s="90"/>
      <c r="AO54" s="90"/>
      <c r="AP54" s="90"/>
      <c r="AQ54" s="49"/>
      <c r="AR54" s="80"/>
      <c r="AS54" s="7"/>
    </row>
    <row r="55" spans="1:46">
      <c r="A55" s="65">
        <v>24</v>
      </c>
      <c r="B55" s="67" t="s">
        <v>92</v>
      </c>
      <c r="C55" s="65" t="s">
        <v>93</v>
      </c>
      <c r="D55" s="67" t="s">
        <v>16</v>
      </c>
      <c r="E55" s="65" t="s">
        <v>54</v>
      </c>
      <c r="F55" s="18" t="s">
        <v>58</v>
      </c>
      <c r="G55" s="1234" t="s">
        <v>55</v>
      </c>
      <c r="H55" s="65" t="s">
        <v>50</v>
      </c>
      <c r="I55" s="18" t="s">
        <v>51</v>
      </c>
      <c r="J55" s="310" t="s">
        <v>56</v>
      </c>
      <c r="K55" s="18" t="s">
        <v>28</v>
      </c>
      <c r="L55" s="156" t="s">
        <v>29</v>
      </c>
      <c r="M55" s="1077">
        <v>30</v>
      </c>
      <c r="N55" s="1078" t="s">
        <v>60</v>
      </c>
      <c r="O55" s="1079" t="s">
        <v>361</v>
      </c>
      <c r="P55" s="1077">
        <v>30</v>
      </c>
      <c r="Q55" s="1078" t="s">
        <v>60</v>
      </c>
      <c r="R55" s="1079" t="s">
        <v>361</v>
      </c>
      <c r="S55" s="1077">
        <v>30</v>
      </c>
      <c r="T55" s="1078"/>
      <c r="U55" s="1079" t="s">
        <v>60</v>
      </c>
      <c r="V55" s="171">
        <v>15</v>
      </c>
      <c r="W55" s="139" t="s">
        <v>60</v>
      </c>
      <c r="X55" s="1173" t="s">
        <v>85</v>
      </c>
      <c r="Y55" s="171">
        <v>10</v>
      </c>
      <c r="Z55" s="139" t="s">
        <v>60</v>
      </c>
      <c r="AA55" s="1173" t="s">
        <v>85</v>
      </c>
      <c r="AB55" s="171">
        <v>10</v>
      </c>
      <c r="AC55" s="139" t="s">
        <v>60</v>
      </c>
      <c r="AD55" s="1131" t="s">
        <v>85</v>
      </c>
      <c r="AE55" s="77"/>
      <c r="AF55" s="204"/>
      <c r="AG55" s="70">
        <v>40</v>
      </c>
      <c r="AH55" s="19">
        <v>55</v>
      </c>
      <c r="AI55" s="337">
        <v>20</v>
      </c>
      <c r="AJ55" s="71" t="s">
        <v>64</v>
      </c>
      <c r="AK55" s="79">
        <v>100</v>
      </c>
      <c r="AL55" s="19">
        <v>200</v>
      </c>
      <c r="AM55" s="284" t="s">
        <v>91</v>
      </c>
      <c r="AN55" s="18" t="s">
        <v>69</v>
      </c>
      <c r="AO55" s="18" t="s">
        <v>70</v>
      </c>
      <c r="AP55" s="18" t="s">
        <v>71</v>
      </c>
      <c r="AQ55" s="19" t="s">
        <v>73</v>
      </c>
      <c r="AR55" s="285" t="s">
        <v>64</v>
      </c>
      <c r="AS55" s="92"/>
    </row>
    <row r="56" spans="1:46" ht="13.5" thickBot="1">
      <c r="A56" s="187" t="s">
        <v>24</v>
      </c>
      <c r="B56" s="188" t="s">
        <v>53</v>
      </c>
      <c r="C56" s="306" t="s">
        <v>53</v>
      </c>
      <c r="D56" s="255" t="s">
        <v>22</v>
      </c>
      <c r="E56" s="187" t="s">
        <v>53</v>
      </c>
      <c r="F56" s="16" t="s">
        <v>22</v>
      </c>
      <c r="G56" s="311">
        <v>12</v>
      </c>
      <c r="H56" s="187" t="s">
        <v>42</v>
      </c>
      <c r="I56" s="16" t="s">
        <v>42</v>
      </c>
      <c r="J56" s="298">
        <v>20</v>
      </c>
      <c r="K56" s="16" t="s">
        <v>43</v>
      </c>
      <c r="L56" s="195" t="s">
        <v>44</v>
      </c>
      <c r="M56" s="298" t="s">
        <v>59</v>
      </c>
      <c r="N56" s="1055" t="s">
        <v>22</v>
      </c>
      <c r="O56" s="188" t="s">
        <v>22</v>
      </c>
      <c r="P56" s="298" t="s">
        <v>59</v>
      </c>
      <c r="Q56" s="1055" t="s">
        <v>22</v>
      </c>
      <c r="R56" s="188" t="s">
        <v>22</v>
      </c>
      <c r="S56" s="299" t="s">
        <v>59</v>
      </c>
      <c r="T56" s="1055" t="s">
        <v>22</v>
      </c>
      <c r="U56" s="188" t="s">
        <v>22</v>
      </c>
      <c r="V56" s="298" t="s">
        <v>59</v>
      </c>
      <c r="W56" s="16" t="s">
        <v>22</v>
      </c>
      <c r="X56" s="188" t="s">
        <v>86</v>
      </c>
      <c r="Y56" s="298" t="s">
        <v>59</v>
      </c>
      <c r="Z56" s="16" t="s">
        <v>22</v>
      </c>
      <c r="AA56" s="188" t="s">
        <v>86</v>
      </c>
      <c r="AB56" s="298" t="s">
        <v>59</v>
      </c>
      <c r="AC56" s="16" t="s">
        <v>22</v>
      </c>
      <c r="AD56" s="188" t="s">
        <v>86</v>
      </c>
      <c r="AE56" s="75" t="s">
        <v>63</v>
      </c>
      <c r="AF56" s="202" t="s">
        <v>67</v>
      </c>
      <c r="AG56" s="75" t="s">
        <v>61</v>
      </c>
      <c r="AH56" s="17" t="s">
        <v>61</v>
      </c>
      <c r="AI56" s="298" t="s">
        <v>59</v>
      </c>
      <c r="AJ56" s="17" t="s">
        <v>65</v>
      </c>
      <c r="AK56" s="207" t="s">
        <v>89</v>
      </c>
      <c r="AL56" s="17" t="s">
        <v>89</v>
      </c>
      <c r="AM56" s="75" t="s">
        <v>72</v>
      </c>
      <c r="AN56" s="16" t="s">
        <v>74</v>
      </c>
      <c r="AO56" s="16" t="s">
        <v>74</v>
      </c>
      <c r="AP56" s="16" t="s">
        <v>74</v>
      </c>
      <c r="AQ56" s="17" t="s">
        <v>75</v>
      </c>
      <c r="AR56" s="200" t="s">
        <v>67</v>
      </c>
      <c r="AS56" s="46"/>
    </row>
    <row r="57" spans="1:46">
      <c r="A57" s="70"/>
      <c r="B57" s="19"/>
      <c r="C57" s="65"/>
      <c r="D57" s="67"/>
      <c r="E57" s="65"/>
      <c r="F57" s="18"/>
      <c r="G57" s="19"/>
      <c r="H57" s="65"/>
      <c r="I57" s="18"/>
      <c r="J57" s="73"/>
      <c r="K57" s="18"/>
      <c r="L57" s="156"/>
      <c r="M57" s="54"/>
      <c r="N57" s="1049"/>
      <c r="O57" s="67"/>
      <c r="P57" s="203"/>
      <c r="Q57" s="1049"/>
      <c r="R57" s="1063"/>
      <c r="S57" s="54"/>
      <c r="T57" s="1059"/>
      <c r="U57" s="67"/>
      <c r="V57" s="54"/>
      <c r="W57" s="269"/>
      <c r="X57" s="156"/>
      <c r="Y57" s="54"/>
      <c r="Z57" s="269"/>
      <c r="AA57" s="156"/>
      <c r="AB57" s="54"/>
      <c r="AC57" s="269"/>
      <c r="AD57" s="156"/>
      <c r="AE57" s="70"/>
      <c r="AF57" s="19"/>
      <c r="AG57" s="70"/>
      <c r="AH57" s="19"/>
      <c r="AI57" s="54"/>
      <c r="AJ57" s="19"/>
      <c r="AK57" s="70"/>
      <c r="AL57" s="197"/>
      <c r="AM57" s="70"/>
      <c r="AN57" s="18"/>
      <c r="AO57" s="18"/>
      <c r="AP57" s="18"/>
      <c r="AQ57" s="19"/>
      <c r="AR57" s="286"/>
      <c r="AS57" s="7"/>
    </row>
    <row r="58" spans="1:46">
      <c r="A58" s="72">
        <f>A$55/2</f>
        <v>12</v>
      </c>
      <c r="B58" s="15">
        <v>2.4500000000000002</v>
      </c>
      <c r="C58" s="66">
        <f>A58*B58</f>
        <v>29.400000000000002</v>
      </c>
      <c r="D58" s="68">
        <v>5</v>
      </c>
      <c r="E58" s="66">
        <f>IF(L58*1000/120/SQRT(3)*1.5&lt;65,120,IF(L58*1000/208/SQRT(3)*1.5&lt;65,208,IF(L58*1000/240/SQRT(3)*1.5&lt;65,240,480)))</f>
        <v>120</v>
      </c>
      <c r="F58" s="45">
        <f>L58*1000/E58/SQRT(3)</f>
        <v>2.4056261216234409</v>
      </c>
      <c r="G58" s="94">
        <f>G$56</f>
        <v>12</v>
      </c>
      <c r="H58" s="295">
        <f>IF(C58&lt;150,0.428*(1+G58/100)*C58+3,0.428*(1+G58/100)*C58)</f>
        <v>17.093184000000001</v>
      </c>
      <c r="I58" s="25">
        <f t="shared" ref="I58:I86" si="39">SQRT(3)*H58</f>
        <v>29.606263151123411</v>
      </c>
      <c r="J58" s="52">
        <f>J$56</f>
        <v>20</v>
      </c>
      <c r="K58" s="25">
        <f t="shared" ref="K58:K86" si="40">(1+J58/100)*D58*0.83</f>
        <v>4.9799999999999995</v>
      </c>
      <c r="L58" s="427">
        <f t="shared" ref="L58:L86" si="41">IF(CEILING(I58*K58*SQRT(3)/1000,0.25)&lt;10,CEILING(I58*K58*SQRT(3)/1000,0.25),IF(CEILING(I58*K58*SQRT(3)/1000,0.25)&lt;20,CEILING(I58*K58*SQRT(3)/1000,0.5),CEILING(I58*K58*SQRT(3)/1000,1)))</f>
        <v>0.5</v>
      </c>
      <c r="M58" s="55">
        <f>M$55</f>
        <v>30</v>
      </c>
      <c r="N58" s="838">
        <f t="shared" ref="N58:N86" si="42">(1+M58/100)*F58</f>
        <v>3.1273139581104732</v>
      </c>
      <c r="O58" s="68">
        <f>LOOKUP(N58,'Circuit Breakers'!$B$5:$B$38,'Circuit Breakers'!$C$5:$C$38)</f>
        <v>5</v>
      </c>
      <c r="P58" s="1080">
        <f>P$55</f>
        <v>30</v>
      </c>
      <c r="Q58" s="1056">
        <f>(1+P58/100)*K58</f>
        <v>6.4739999999999993</v>
      </c>
      <c r="R58" s="1064">
        <f>LOOKUP(Q58,'Circuit Breakers'!$B$5:$B$38,'Circuit Breakers'!$C$5:$C$38)</f>
        <v>10</v>
      </c>
      <c r="S58" s="55">
        <f>S$55</f>
        <v>30</v>
      </c>
      <c r="T58" s="25">
        <f>(1+S58/100)*D58</f>
        <v>6.5</v>
      </c>
      <c r="U58" s="158">
        <f>LOOKUP(T58,'Circuit Breakers'!$B$5:$B$38,'Circuit Breakers'!$C$5:$C$38)</f>
        <v>10</v>
      </c>
      <c r="V58" s="55">
        <f>V$55</f>
        <v>15</v>
      </c>
      <c r="W58" s="25">
        <f>(1+V58/100)*F58</f>
        <v>2.7664700398669568</v>
      </c>
      <c r="X58" s="68" t="str">
        <f>LOOKUP(W58,'Wire-Cables Ampacities'!$B$5:$B$35,'Wire-Cables Ampacities'!$C$5:$C$35)</f>
        <v>#10</v>
      </c>
      <c r="Y58" s="55">
        <f>Y$55</f>
        <v>10</v>
      </c>
      <c r="Z58" s="25">
        <f>(1+Y58/100)*K58</f>
        <v>5.4779999999999998</v>
      </c>
      <c r="AA58" s="68" t="str">
        <f>LOOKUP(Z58,'Wire-Cables Ampacities'!$B$5:$B$35,'Wire-Cables Ampacities'!$C$5:$C$35)</f>
        <v>#10</v>
      </c>
      <c r="AB58" s="55">
        <f>AB$55</f>
        <v>10</v>
      </c>
      <c r="AC58" s="25">
        <f>(1+AB58/100)*D58</f>
        <v>5.5</v>
      </c>
      <c r="AD58" s="68" t="str">
        <f>LOOKUP(AC58,'Wire-Cables Ampacities'!$B$5:$B$35,'Wire-Cables Ampacities'!$C$5:$C$35)</f>
        <v>#10</v>
      </c>
      <c r="AE58" s="81">
        <f>(2*D58+0.07*L58*1000)/1000</f>
        <v>4.4999999999999998E-2</v>
      </c>
      <c r="AF58" s="56">
        <f t="shared" ref="AF58:AF86" si="43">AE58*3.412142*1000</f>
        <v>153.54638999999997</v>
      </c>
      <c r="AG58" s="72">
        <f>AG$55</f>
        <v>40</v>
      </c>
      <c r="AH58" s="15">
        <f>AH$55</f>
        <v>55</v>
      </c>
      <c r="AI58" s="55">
        <f>AI$55</f>
        <v>20</v>
      </c>
      <c r="AJ58" s="56">
        <f>1760*AE58/(AH58-AG58)*(1+AI58/100)</f>
        <v>6.3360000000000003</v>
      </c>
      <c r="AK58" s="271">
        <f>AJ58/AK$19</f>
        <v>6.336E-2</v>
      </c>
      <c r="AL58" s="277">
        <f>AJ58/AL$19</f>
        <v>3.168E-2</v>
      </c>
      <c r="AM58" s="58">
        <v>450</v>
      </c>
      <c r="AN58" s="25">
        <v>24</v>
      </c>
      <c r="AO58" s="3">
        <v>30</v>
      </c>
      <c r="AP58" s="3">
        <v>16</v>
      </c>
      <c r="AQ58" s="281">
        <f>((2*AO58*AN58)+2*(AO58*AP58)+(AN58*AP58))/144</f>
        <v>19.333333333333332</v>
      </c>
      <c r="AR58" s="287">
        <f t="shared" ref="AR58:AR74" si="44">AF58+(1.25*AQ58*(AG58-AH58))</f>
        <v>-208.95360999999997</v>
      </c>
      <c r="AS58" s="93"/>
      <c r="AT58" s="4"/>
    </row>
    <row r="59" spans="1:46">
      <c r="A59" s="98">
        <f t="shared" ref="A59:A86" si="45">A$55/2</f>
        <v>12</v>
      </c>
      <c r="B59" s="99">
        <v>2.4500000000000002</v>
      </c>
      <c r="C59" s="100">
        <f t="shared" ref="C59:C86" si="46">A59*B59</f>
        <v>29.400000000000002</v>
      </c>
      <c r="D59" s="101">
        <v>10</v>
      </c>
      <c r="E59" s="100">
        <f t="shared" ref="E59:E86" si="47">IF(L59*1000/120/SQRT(3)*1.5&lt;65,120,IF(L59*1000/208/SQRT(3)*1.5&lt;65,208,IF(L59*1000/240/SQRT(3)*1.5&lt;65,240,480)))</f>
        <v>120</v>
      </c>
      <c r="F59" s="102">
        <f t="shared" ref="F59:F86" si="48">L59*1000/E59/SQRT(3)</f>
        <v>3.6084391824351614</v>
      </c>
      <c r="G59" s="103">
        <f t="shared" ref="G59:G86" si="49">G$56</f>
        <v>12</v>
      </c>
      <c r="H59" s="296">
        <f t="shared" ref="H59:H86" si="50">IF(C59&lt;150,0.428*(1+G59/100)*C59+3,0.428*(1+G59/100)*C59)</f>
        <v>17.093184000000001</v>
      </c>
      <c r="I59" s="104">
        <f t="shared" si="39"/>
        <v>29.606263151123411</v>
      </c>
      <c r="J59" s="180">
        <f t="shared" ref="J59:J86" si="51">J$56</f>
        <v>20</v>
      </c>
      <c r="K59" s="104">
        <f t="shared" si="40"/>
        <v>9.9599999999999991</v>
      </c>
      <c r="L59" s="428">
        <f t="shared" si="41"/>
        <v>0.75</v>
      </c>
      <c r="M59" s="1081">
        <f t="shared" ref="M59:M86" si="52">M$55</f>
        <v>30</v>
      </c>
      <c r="N59" s="1060">
        <f t="shared" si="42"/>
        <v>4.6909709371657096</v>
      </c>
      <c r="O59" s="101">
        <f>LOOKUP(N59,'Circuit Breakers'!$B$5:$B$38,'Circuit Breakers'!$C$5:$C$38)</f>
        <v>5</v>
      </c>
      <c r="P59" s="262">
        <f t="shared" ref="P59:P86" si="53">P$55</f>
        <v>30</v>
      </c>
      <c r="Q59" s="1057">
        <f t="shared" ref="Q59:Q86" si="54">(1+P59/100)*K59</f>
        <v>12.947999999999999</v>
      </c>
      <c r="R59" s="1065">
        <f>LOOKUP(Q59,'Circuit Breakers'!$B$5:$B$38,'Circuit Breakers'!$C$5:$C$38)</f>
        <v>15</v>
      </c>
      <c r="S59" s="106">
        <f t="shared" ref="S59:S86" si="55">S$55</f>
        <v>30</v>
      </c>
      <c r="T59" s="104">
        <f t="shared" ref="T59:T86" si="56">(1+S59/100)*D59</f>
        <v>13</v>
      </c>
      <c r="U59" s="477">
        <f>LOOKUP(T59,'Circuit Breakers'!$B$5:$B$38,'Circuit Breakers'!$C$5:$C$38)</f>
        <v>15</v>
      </c>
      <c r="V59" s="106">
        <f t="shared" ref="V59:V86" si="57">V$55</f>
        <v>15</v>
      </c>
      <c r="W59" s="104">
        <f t="shared" ref="W59:W86" si="58">(1+V59/100)*F59</f>
        <v>4.1497050598004357</v>
      </c>
      <c r="X59" s="101" t="str">
        <f>LOOKUP(W59,'Wire-Cables Ampacities'!$B$5:$B$35,'Wire-Cables Ampacities'!$C$5:$C$35)</f>
        <v>#10</v>
      </c>
      <c r="Y59" s="106">
        <f t="shared" ref="Y59:Y86" si="59">Y$55</f>
        <v>10</v>
      </c>
      <c r="Z59" s="104">
        <f t="shared" ref="Z59:Z86" si="60">(1+Y59/100)*K59</f>
        <v>10.956</v>
      </c>
      <c r="AA59" s="101" t="str">
        <f>LOOKUP(Z59,'Wire-Cables Ampacities'!$B$5:$B$35,'Wire-Cables Ampacities'!$C$5:$C$35)</f>
        <v>#10</v>
      </c>
      <c r="AB59" s="106">
        <f t="shared" ref="AB59:AB86" si="61">AB$55</f>
        <v>10</v>
      </c>
      <c r="AC59" s="104">
        <f t="shared" ref="AC59:AC86" si="62">(1+AB59/100)*D59</f>
        <v>11</v>
      </c>
      <c r="AD59" s="101" t="str">
        <f>LOOKUP(AC59,'Wire-Cables Ampacities'!$B$5:$B$35,'Wire-Cables Ampacities'!$C$5:$C$35)</f>
        <v>#10</v>
      </c>
      <c r="AE59" s="107">
        <f t="shared" ref="AE59:AE86" si="63">(2*D59+0.07*L59*1000)/1000</f>
        <v>7.2499999999999995E-2</v>
      </c>
      <c r="AF59" s="105">
        <f t="shared" si="43"/>
        <v>247.38029499999996</v>
      </c>
      <c r="AG59" s="98">
        <f t="shared" ref="AG59:AI86" si="64">AG$55</f>
        <v>40</v>
      </c>
      <c r="AH59" s="99">
        <f t="shared" si="64"/>
        <v>55</v>
      </c>
      <c r="AI59" s="106">
        <f t="shared" si="64"/>
        <v>20</v>
      </c>
      <c r="AJ59" s="105">
        <f t="shared" ref="AJ59:AJ86" si="65">1760*AE59/(AH59-AG59)*(1+AI59/100)</f>
        <v>10.207999999999998</v>
      </c>
      <c r="AK59" s="272">
        <f t="shared" ref="AK59:AK86" si="66">AJ59/AK$19</f>
        <v>0.10207999999999999</v>
      </c>
      <c r="AL59" s="278">
        <f t="shared" ref="AL59:AL86" si="67">AJ59/AL$19</f>
        <v>5.1039999999999995E-2</v>
      </c>
      <c r="AM59" s="109">
        <v>450</v>
      </c>
      <c r="AN59" s="104">
        <v>24</v>
      </c>
      <c r="AO59" s="110">
        <v>30</v>
      </c>
      <c r="AP59" s="110">
        <v>16</v>
      </c>
      <c r="AQ59" s="282">
        <f t="shared" ref="AQ59:AQ86" si="68">((2*AO59*AN59)+2*(AO59*AP59)+(AN59*AP59))/144</f>
        <v>19.333333333333332</v>
      </c>
      <c r="AR59" s="288">
        <f t="shared" si="44"/>
        <v>-115.11970499999998</v>
      </c>
      <c r="AS59" s="93"/>
      <c r="AT59" s="4"/>
    </row>
    <row r="60" spans="1:46">
      <c r="A60" s="72">
        <f t="shared" si="45"/>
        <v>12</v>
      </c>
      <c r="B60" s="15">
        <v>2.4500000000000002</v>
      </c>
      <c r="C60" s="66">
        <f t="shared" si="46"/>
        <v>29.400000000000002</v>
      </c>
      <c r="D60" s="68">
        <v>15</v>
      </c>
      <c r="E60" s="66">
        <f t="shared" si="47"/>
        <v>120</v>
      </c>
      <c r="F60" s="45">
        <f t="shared" si="48"/>
        <v>4.8112522432468818</v>
      </c>
      <c r="G60" s="94">
        <f t="shared" si="49"/>
        <v>12</v>
      </c>
      <c r="H60" s="295">
        <f t="shared" si="50"/>
        <v>17.093184000000001</v>
      </c>
      <c r="I60" s="25">
        <f t="shared" si="39"/>
        <v>29.606263151123411</v>
      </c>
      <c r="J60" s="52">
        <f t="shared" si="51"/>
        <v>20</v>
      </c>
      <c r="K60" s="25">
        <f t="shared" si="40"/>
        <v>14.94</v>
      </c>
      <c r="L60" s="427">
        <f t="shared" si="41"/>
        <v>1</v>
      </c>
      <c r="M60" s="64">
        <f t="shared" si="52"/>
        <v>30</v>
      </c>
      <c r="N60" s="838">
        <f t="shared" si="42"/>
        <v>6.2546279162209464</v>
      </c>
      <c r="O60" s="68">
        <f>LOOKUP(N60,'Circuit Breakers'!$B$5:$B$38,'Circuit Breakers'!$C$5:$C$38)</f>
        <v>10</v>
      </c>
      <c r="P60" s="199">
        <f t="shared" si="53"/>
        <v>30</v>
      </c>
      <c r="Q60" s="1056">
        <f t="shared" si="54"/>
        <v>19.422000000000001</v>
      </c>
      <c r="R60" s="1064">
        <f>LOOKUP(Q60,'Circuit Breakers'!$B$5:$B$38,'Circuit Breakers'!$C$5:$C$38)</f>
        <v>20</v>
      </c>
      <c r="S60" s="64">
        <f t="shared" si="55"/>
        <v>30</v>
      </c>
      <c r="T60" s="25">
        <f t="shared" si="56"/>
        <v>19.5</v>
      </c>
      <c r="U60" s="158">
        <f>LOOKUP(T60,'Circuit Breakers'!$B$5:$B$38,'Circuit Breakers'!$C$5:$C$38)</f>
        <v>20</v>
      </c>
      <c r="V60" s="64">
        <f t="shared" si="57"/>
        <v>15</v>
      </c>
      <c r="W60" s="25">
        <f t="shared" si="58"/>
        <v>5.5329400797339137</v>
      </c>
      <c r="X60" s="68" t="str">
        <f>LOOKUP(W60,'Wire-Cables Ampacities'!$B$5:$B$35,'Wire-Cables Ampacities'!$C$5:$C$35)</f>
        <v>#10</v>
      </c>
      <c r="Y60" s="64">
        <f t="shared" si="59"/>
        <v>10</v>
      </c>
      <c r="Z60" s="25">
        <f t="shared" si="60"/>
        <v>16.434000000000001</v>
      </c>
      <c r="AA60" s="68" t="str">
        <f>LOOKUP(Z60,'Wire-Cables Ampacities'!$B$5:$B$35,'Wire-Cables Ampacities'!$C$5:$C$35)</f>
        <v>#10</v>
      </c>
      <c r="AB60" s="64">
        <f t="shared" si="61"/>
        <v>10</v>
      </c>
      <c r="AC60" s="25">
        <f t="shared" si="62"/>
        <v>16.5</v>
      </c>
      <c r="AD60" s="68" t="str">
        <f>LOOKUP(AC60,'Wire-Cables Ampacities'!$B$5:$B$35,'Wire-Cables Ampacities'!$C$5:$C$35)</f>
        <v>#10</v>
      </c>
      <c r="AE60" s="81">
        <f t="shared" si="63"/>
        <v>0.1</v>
      </c>
      <c r="AF60" s="56">
        <f t="shared" si="43"/>
        <v>341.21420000000001</v>
      </c>
      <c r="AG60" s="72">
        <f t="shared" si="64"/>
        <v>40</v>
      </c>
      <c r="AH60" s="15">
        <f t="shared" si="64"/>
        <v>55</v>
      </c>
      <c r="AI60" s="64">
        <f t="shared" si="64"/>
        <v>20</v>
      </c>
      <c r="AJ60" s="56">
        <f t="shared" si="65"/>
        <v>14.079999999999998</v>
      </c>
      <c r="AK60" s="271">
        <f t="shared" si="66"/>
        <v>0.14079999999999998</v>
      </c>
      <c r="AL60" s="277">
        <f t="shared" si="67"/>
        <v>7.039999999999999E-2</v>
      </c>
      <c r="AM60" s="58">
        <v>600</v>
      </c>
      <c r="AN60" s="25">
        <v>24</v>
      </c>
      <c r="AO60" s="3">
        <v>48</v>
      </c>
      <c r="AP60" s="3">
        <v>16</v>
      </c>
      <c r="AQ60" s="281">
        <f t="shared" si="68"/>
        <v>29.333333333333332</v>
      </c>
      <c r="AR60" s="287">
        <f t="shared" si="44"/>
        <v>-208.78579999999999</v>
      </c>
      <c r="AS60" s="93"/>
      <c r="AT60" s="4"/>
    </row>
    <row r="61" spans="1:46">
      <c r="A61" s="72">
        <f t="shared" si="45"/>
        <v>12</v>
      </c>
      <c r="B61" s="15">
        <v>2.4500000000000002</v>
      </c>
      <c r="C61" s="66">
        <f t="shared" si="46"/>
        <v>29.400000000000002</v>
      </c>
      <c r="D61" s="68">
        <v>20</v>
      </c>
      <c r="E61" s="66">
        <f t="shared" si="47"/>
        <v>120</v>
      </c>
      <c r="F61" s="45">
        <f t="shared" si="48"/>
        <v>6.0140653040586018</v>
      </c>
      <c r="G61" s="94">
        <f t="shared" si="49"/>
        <v>12</v>
      </c>
      <c r="H61" s="295">
        <f t="shared" si="50"/>
        <v>17.093184000000001</v>
      </c>
      <c r="I61" s="25">
        <f t="shared" si="39"/>
        <v>29.606263151123411</v>
      </c>
      <c r="J61" s="52">
        <f t="shared" si="51"/>
        <v>20</v>
      </c>
      <c r="K61" s="25">
        <f t="shared" si="40"/>
        <v>19.919999999999998</v>
      </c>
      <c r="L61" s="427">
        <f t="shared" si="41"/>
        <v>1.25</v>
      </c>
      <c r="M61" s="55">
        <f t="shared" si="52"/>
        <v>30</v>
      </c>
      <c r="N61" s="838">
        <f t="shared" si="42"/>
        <v>7.8182848952761823</v>
      </c>
      <c r="O61" s="68">
        <f>LOOKUP(N61,'Circuit Breakers'!$B$5:$B$38,'Circuit Breakers'!$C$5:$C$38)</f>
        <v>10</v>
      </c>
      <c r="P61" s="199">
        <f t="shared" si="53"/>
        <v>30</v>
      </c>
      <c r="Q61" s="1056">
        <f t="shared" si="54"/>
        <v>25.895999999999997</v>
      </c>
      <c r="R61" s="1064">
        <f>LOOKUP(Q61,'Circuit Breakers'!$B$5:$B$38,'Circuit Breakers'!$C$5:$C$38)</f>
        <v>30</v>
      </c>
      <c r="S61" s="64">
        <f t="shared" si="55"/>
        <v>30</v>
      </c>
      <c r="T61" s="25">
        <f t="shared" si="56"/>
        <v>26</v>
      </c>
      <c r="U61" s="158">
        <f>LOOKUP(T61,'Circuit Breakers'!$B$5:$B$38,'Circuit Breakers'!$C$5:$C$38)</f>
        <v>30</v>
      </c>
      <c r="V61" s="64">
        <f t="shared" si="57"/>
        <v>15</v>
      </c>
      <c r="W61" s="25">
        <f t="shared" si="58"/>
        <v>6.9161750996673916</v>
      </c>
      <c r="X61" s="68" t="str">
        <f>LOOKUP(W61,'Wire-Cables Ampacities'!$B$5:$B$35,'Wire-Cables Ampacities'!$C$5:$C$35)</f>
        <v>#10</v>
      </c>
      <c r="Y61" s="64">
        <f t="shared" si="59"/>
        <v>10</v>
      </c>
      <c r="Z61" s="25">
        <f t="shared" si="60"/>
        <v>21.911999999999999</v>
      </c>
      <c r="AA61" s="68" t="str">
        <f>LOOKUP(Z61,'Wire-Cables Ampacities'!$B$5:$B$35,'Wire-Cables Ampacities'!$C$5:$C$35)</f>
        <v>#10</v>
      </c>
      <c r="AB61" s="64">
        <f t="shared" si="61"/>
        <v>10</v>
      </c>
      <c r="AC61" s="25">
        <f t="shared" si="62"/>
        <v>22</v>
      </c>
      <c r="AD61" s="68" t="str">
        <f>LOOKUP(AC61,'Wire-Cables Ampacities'!$B$5:$B$35,'Wire-Cables Ampacities'!$C$5:$C$35)</f>
        <v>#10</v>
      </c>
      <c r="AE61" s="81">
        <f t="shared" si="63"/>
        <v>0.1275</v>
      </c>
      <c r="AF61" s="56">
        <f t="shared" si="43"/>
        <v>435.04810499999996</v>
      </c>
      <c r="AG61" s="72">
        <f t="shared" si="64"/>
        <v>40</v>
      </c>
      <c r="AH61" s="15">
        <f t="shared" si="64"/>
        <v>55</v>
      </c>
      <c r="AI61" s="64">
        <f t="shared" si="64"/>
        <v>20</v>
      </c>
      <c r="AJ61" s="56">
        <f t="shared" si="65"/>
        <v>17.952000000000002</v>
      </c>
      <c r="AK61" s="271">
        <f t="shared" si="66"/>
        <v>0.17952000000000001</v>
      </c>
      <c r="AL61" s="277">
        <f t="shared" si="67"/>
        <v>8.9760000000000006E-2</v>
      </c>
      <c r="AM61" s="58">
        <v>600</v>
      </c>
      <c r="AN61" s="25">
        <v>24</v>
      </c>
      <c r="AO61" s="3">
        <v>48</v>
      </c>
      <c r="AP61" s="3">
        <v>16</v>
      </c>
      <c r="AQ61" s="281">
        <f t="shared" si="68"/>
        <v>29.333333333333332</v>
      </c>
      <c r="AR61" s="287">
        <f t="shared" si="44"/>
        <v>-114.95189500000004</v>
      </c>
      <c r="AS61" s="93"/>
      <c r="AT61" s="4"/>
    </row>
    <row r="62" spans="1:46">
      <c r="A62" s="98">
        <f t="shared" si="45"/>
        <v>12</v>
      </c>
      <c r="B62" s="99">
        <v>2.4500000000000002</v>
      </c>
      <c r="C62" s="100">
        <f t="shared" si="46"/>
        <v>29.400000000000002</v>
      </c>
      <c r="D62" s="101">
        <v>25</v>
      </c>
      <c r="E62" s="100">
        <f t="shared" si="47"/>
        <v>120</v>
      </c>
      <c r="F62" s="102">
        <f t="shared" si="48"/>
        <v>7.2168783648703227</v>
      </c>
      <c r="G62" s="103">
        <f t="shared" si="49"/>
        <v>12</v>
      </c>
      <c r="H62" s="296">
        <f t="shared" si="50"/>
        <v>17.093184000000001</v>
      </c>
      <c r="I62" s="104">
        <f t="shared" si="39"/>
        <v>29.606263151123411</v>
      </c>
      <c r="J62" s="180">
        <f t="shared" si="51"/>
        <v>20</v>
      </c>
      <c r="K62" s="104">
        <f t="shared" si="40"/>
        <v>24.9</v>
      </c>
      <c r="L62" s="428">
        <f t="shared" si="41"/>
        <v>1.5</v>
      </c>
      <c r="M62" s="106">
        <f t="shared" si="52"/>
        <v>30</v>
      </c>
      <c r="N62" s="1060">
        <f t="shared" si="42"/>
        <v>9.3819418743314191</v>
      </c>
      <c r="O62" s="101">
        <f>LOOKUP(N62,'Circuit Breakers'!$B$5:$B$38,'Circuit Breakers'!$C$5:$C$38)</f>
        <v>10</v>
      </c>
      <c r="P62" s="262">
        <f t="shared" si="53"/>
        <v>30</v>
      </c>
      <c r="Q62" s="1057">
        <f t="shared" si="54"/>
        <v>32.369999999999997</v>
      </c>
      <c r="R62" s="1065">
        <f>LOOKUP(Q62,'Circuit Breakers'!$B$5:$B$38,'Circuit Breakers'!$C$5:$C$38)</f>
        <v>40</v>
      </c>
      <c r="S62" s="106">
        <f t="shared" si="55"/>
        <v>30</v>
      </c>
      <c r="T62" s="104">
        <f t="shared" si="56"/>
        <v>32.5</v>
      </c>
      <c r="U62" s="477">
        <f>LOOKUP(T62,'Circuit Breakers'!$B$5:$B$38,'Circuit Breakers'!$C$5:$C$38)</f>
        <v>40</v>
      </c>
      <c r="V62" s="106">
        <f t="shared" si="57"/>
        <v>15</v>
      </c>
      <c r="W62" s="104">
        <f t="shared" si="58"/>
        <v>8.2994101196008714</v>
      </c>
      <c r="X62" s="101" t="str">
        <f>LOOKUP(W62,'Wire-Cables Ampacities'!$B$5:$B$35,'Wire-Cables Ampacities'!$C$5:$C$35)</f>
        <v>#10</v>
      </c>
      <c r="Y62" s="106">
        <f t="shared" si="59"/>
        <v>10</v>
      </c>
      <c r="Z62" s="104">
        <f t="shared" si="60"/>
        <v>27.39</v>
      </c>
      <c r="AA62" s="101" t="str">
        <f>LOOKUP(Z62,'Wire-Cables Ampacities'!$B$5:$B$35,'Wire-Cables Ampacities'!$C$5:$C$35)</f>
        <v>#10</v>
      </c>
      <c r="AB62" s="106">
        <f t="shared" si="61"/>
        <v>10</v>
      </c>
      <c r="AC62" s="104">
        <f t="shared" si="62"/>
        <v>27.500000000000004</v>
      </c>
      <c r="AD62" s="101" t="str">
        <f>LOOKUP(AC62,'Wire-Cables Ampacities'!$B$5:$B$35,'Wire-Cables Ampacities'!$C$5:$C$35)</f>
        <v>#10</v>
      </c>
      <c r="AE62" s="107">
        <f t="shared" si="63"/>
        <v>0.155</v>
      </c>
      <c r="AF62" s="105">
        <f t="shared" si="43"/>
        <v>528.88201000000004</v>
      </c>
      <c r="AG62" s="98">
        <f t="shared" si="64"/>
        <v>40</v>
      </c>
      <c r="AH62" s="99">
        <f t="shared" si="64"/>
        <v>55</v>
      </c>
      <c r="AI62" s="106">
        <f t="shared" si="64"/>
        <v>20</v>
      </c>
      <c r="AJ62" s="105">
        <f t="shared" si="65"/>
        <v>21.824000000000002</v>
      </c>
      <c r="AK62" s="272">
        <f t="shared" si="66"/>
        <v>0.21824000000000002</v>
      </c>
      <c r="AL62" s="278">
        <f t="shared" si="67"/>
        <v>0.10912000000000001</v>
      </c>
      <c r="AM62" s="109">
        <v>600</v>
      </c>
      <c r="AN62" s="104">
        <v>24</v>
      </c>
      <c r="AO62" s="110">
        <v>48</v>
      </c>
      <c r="AP62" s="110">
        <v>16</v>
      </c>
      <c r="AQ62" s="282">
        <f t="shared" si="68"/>
        <v>29.333333333333332</v>
      </c>
      <c r="AR62" s="288">
        <f t="shared" si="44"/>
        <v>-21.117989999999963</v>
      </c>
      <c r="AS62" s="93"/>
      <c r="AT62" s="4"/>
    </row>
    <row r="63" spans="1:46">
      <c r="A63" s="72">
        <f t="shared" si="45"/>
        <v>12</v>
      </c>
      <c r="B63" s="15">
        <v>2.4500000000000002</v>
      </c>
      <c r="C63" s="66">
        <f t="shared" si="46"/>
        <v>29.400000000000002</v>
      </c>
      <c r="D63" s="68">
        <v>30</v>
      </c>
      <c r="E63" s="66">
        <f t="shared" si="47"/>
        <v>120</v>
      </c>
      <c r="F63" s="45">
        <f t="shared" si="48"/>
        <v>8.4196914256820428</v>
      </c>
      <c r="G63" s="94">
        <f t="shared" si="49"/>
        <v>12</v>
      </c>
      <c r="H63" s="295">
        <f t="shared" si="50"/>
        <v>17.093184000000001</v>
      </c>
      <c r="I63" s="25">
        <f t="shared" si="39"/>
        <v>29.606263151123411</v>
      </c>
      <c r="J63" s="52">
        <f t="shared" si="51"/>
        <v>20</v>
      </c>
      <c r="K63" s="25">
        <f t="shared" si="40"/>
        <v>29.88</v>
      </c>
      <c r="L63" s="427">
        <f t="shared" si="41"/>
        <v>1.75</v>
      </c>
      <c r="M63" s="64">
        <f t="shared" si="52"/>
        <v>30</v>
      </c>
      <c r="N63" s="838">
        <f t="shared" si="42"/>
        <v>10.945598853386656</v>
      </c>
      <c r="O63" s="68">
        <f>LOOKUP(N63,'Circuit Breakers'!$B$5:$B$38,'Circuit Breakers'!$C$5:$C$38)</f>
        <v>15</v>
      </c>
      <c r="P63" s="199">
        <f t="shared" si="53"/>
        <v>30</v>
      </c>
      <c r="Q63" s="1056">
        <f t="shared" si="54"/>
        <v>38.844000000000001</v>
      </c>
      <c r="R63" s="1064">
        <f>LOOKUP(Q63,'Circuit Breakers'!$B$5:$B$38,'Circuit Breakers'!$C$5:$C$38)</f>
        <v>40</v>
      </c>
      <c r="S63" s="64">
        <f t="shared" si="55"/>
        <v>30</v>
      </c>
      <c r="T63" s="25">
        <f t="shared" si="56"/>
        <v>39</v>
      </c>
      <c r="U63" s="158">
        <f>LOOKUP(T63,'Circuit Breakers'!$B$5:$B$38,'Circuit Breakers'!$C$5:$C$38)</f>
        <v>40</v>
      </c>
      <c r="V63" s="64">
        <f t="shared" si="57"/>
        <v>15</v>
      </c>
      <c r="W63" s="25">
        <f t="shared" si="58"/>
        <v>9.6826451395343476</v>
      </c>
      <c r="X63" s="68" t="str">
        <f>LOOKUP(W63,'Wire-Cables Ampacities'!$B$5:$B$35,'Wire-Cables Ampacities'!$C$5:$C$35)</f>
        <v>#10</v>
      </c>
      <c r="Y63" s="64">
        <f t="shared" si="59"/>
        <v>10</v>
      </c>
      <c r="Z63" s="25">
        <f t="shared" si="60"/>
        <v>32.868000000000002</v>
      </c>
      <c r="AA63" s="68" t="str">
        <f>LOOKUP(Z63,'Wire-Cables Ampacities'!$B$5:$B$35,'Wire-Cables Ampacities'!$C$5:$C$35)</f>
        <v>#10</v>
      </c>
      <c r="AB63" s="64">
        <f t="shared" si="61"/>
        <v>10</v>
      </c>
      <c r="AC63" s="25">
        <f t="shared" si="62"/>
        <v>33</v>
      </c>
      <c r="AD63" s="68" t="str">
        <f>LOOKUP(AC63,'Wire-Cables Ampacities'!$B$5:$B$35,'Wire-Cables Ampacities'!$C$5:$C$35)</f>
        <v>#10</v>
      </c>
      <c r="AE63" s="81">
        <f t="shared" si="63"/>
        <v>0.1825</v>
      </c>
      <c r="AF63" s="56">
        <f t="shared" si="43"/>
        <v>622.71591499999988</v>
      </c>
      <c r="AG63" s="72">
        <f t="shared" si="64"/>
        <v>40</v>
      </c>
      <c r="AH63" s="15">
        <f t="shared" si="64"/>
        <v>55</v>
      </c>
      <c r="AI63" s="64">
        <f t="shared" si="64"/>
        <v>20</v>
      </c>
      <c r="AJ63" s="56">
        <f t="shared" si="65"/>
        <v>25.696000000000002</v>
      </c>
      <c r="AK63" s="271">
        <f t="shared" si="66"/>
        <v>0.25696000000000002</v>
      </c>
      <c r="AL63" s="277">
        <f t="shared" si="67"/>
        <v>0.12848000000000001</v>
      </c>
      <c r="AM63" s="58">
        <v>600</v>
      </c>
      <c r="AN63" s="25">
        <v>24</v>
      </c>
      <c r="AO63" s="3">
        <v>48</v>
      </c>
      <c r="AP63" s="3">
        <v>16</v>
      </c>
      <c r="AQ63" s="281">
        <f t="shared" si="68"/>
        <v>29.333333333333332</v>
      </c>
      <c r="AR63" s="287">
        <f t="shared" si="44"/>
        <v>72.715914999999882</v>
      </c>
      <c r="AS63" s="93"/>
      <c r="AT63" s="4"/>
    </row>
    <row r="64" spans="1:46">
      <c r="A64" s="72">
        <f t="shared" si="45"/>
        <v>12</v>
      </c>
      <c r="B64" s="15">
        <v>2.4500000000000002</v>
      </c>
      <c r="C64" s="66">
        <f t="shared" si="46"/>
        <v>29.400000000000002</v>
      </c>
      <c r="D64" s="68">
        <v>35</v>
      </c>
      <c r="E64" s="66">
        <f t="shared" si="47"/>
        <v>120</v>
      </c>
      <c r="F64" s="45">
        <f t="shared" si="48"/>
        <v>9.6225044864937637</v>
      </c>
      <c r="G64" s="94">
        <f t="shared" si="49"/>
        <v>12</v>
      </c>
      <c r="H64" s="295">
        <f t="shared" si="50"/>
        <v>17.093184000000001</v>
      </c>
      <c r="I64" s="25">
        <f t="shared" si="39"/>
        <v>29.606263151123411</v>
      </c>
      <c r="J64" s="52">
        <f t="shared" si="51"/>
        <v>20</v>
      </c>
      <c r="K64" s="25">
        <f t="shared" si="40"/>
        <v>34.86</v>
      </c>
      <c r="L64" s="427">
        <f t="shared" si="41"/>
        <v>2</v>
      </c>
      <c r="M64" s="64">
        <f t="shared" si="52"/>
        <v>30</v>
      </c>
      <c r="N64" s="838">
        <f t="shared" si="42"/>
        <v>12.509255832441893</v>
      </c>
      <c r="O64" s="68">
        <f>LOOKUP(N64,'Circuit Breakers'!$B$5:$B$38,'Circuit Breakers'!$C$5:$C$38)</f>
        <v>15</v>
      </c>
      <c r="P64" s="199">
        <f t="shared" si="53"/>
        <v>30</v>
      </c>
      <c r="Q64" s="1056">
        <f t="shared" si="54"/>
        <v>45.317999999999998</v>
      </c>
      <c r="R64" s="1064">
        <f>LOOKUP(Q64,'Circuit Breakers'!$B$5:$B$38,'Circuit Breakers'!$C$5:$C$38)</f>
        <v>50</v>
      </c>
      <c r="S64" s="64">
        <f t="shared" si="55"/>
        <v>30</v>
      </c>
      <c r="T64" s="25">
        <f t="shared" si="56"/>
        <v>45.5</v>
      </c>
      <c r="U64" s="158">
        <f>LOOKUP(T64,'Circuit Breakers'!$B$5:$B$38,'Circuit Breakers'!$C$5:$C$38)</f>
        <v>50</v>
      </c>
      <c r="V64" s="64">
        <f t="shared" si="57"/>
        <v>15</v>
      </c>
      <c r="W64" s="25">
        <f t="shared" si="58"/>
        <v>11.065880159467827</v>
      </c>
      <c r="X64" s="68" t="str">
        <f>LOOKUP(W64,'Wire-Cables Ampacities'!$B$5:$B$35,'Wire-Cables Ampacities'!$C$5:$C$35)</f>
        <v>#10</v>
      </c>
      <c r="Y64" s="64">
        <f t="shared" si="59"/>
        <v>10</v>
      </c>
      <c r="Z64" s="25">
        <f t="shared" si="60"/>
        <v>38.346000000000004</v>
      </c>
      <c r="AA64" s="68" t="str">
        <f>LOOKUP(Z64,'Wire-Cables Ampacities'!$B$5:$B$35,'Wire-Cables Ampacities'!$C$5:$C$35)</f>
        <v>#10</v>
      </c>
      <c r="AB64" s="64">
        <f t="shared" si="61"/>
        <v>10</v>
      </c>
      <c r="AC64" s="25">
        <f t="shared" si="62"/>
        <v>38.5</v>
      </c>
      <c r="AD64" s="68" t="str">
        <f>LOOKUP(AC64,'Wire-Cables Ampacities'!$B$5:$B$35,'Wire-Cables Ampacities'!$C$5:$C$35)</f>
        <v>#10</v>
      </c>
      <c r="AE64" s="81">
        <f t="shared" si="63"/>
        <v>0.21</v>
      </c>
      <c r="AF64" s="56">
        <f t="shared" si="43"/>
        <v>716.54981999999984</v>
      </c>
      <c r="AG64" s="72">
        <f t="shared" si="64"/>
        <v>40</v>
      </c>
      <c r="AH64" s="15">
        <f t="shared" si="64"/>
        <v>55</v>
      </c>
      <c r="AI64" s="64">
        <f t="shared" si="64"/>
        <v>20</v>
      </c>
      <c r="AJ64" s="56">
        <f t="shared" si="65"/>
        <v>29.567999999999994</v>
      </c>
      <c r="AK64" s="271">
        <f t="shared" si="66"/>
        <v>0.29567999999999994</v>
      </c>
      <c r="AL64" s="277">
        <f t="shared" si="67"/>
        <v>0.14783999999999997</v>
      </c>
      <c r="AM64" s="58">
        <v>600</v>
      </c>
      <c r="AN64" s="25">
        <v>24</v>
      </c>
      <c r="AO64" s="3">
        <v>48</v>
      </c>
      <c r="AP64" s="3">
        <v>16</v>
      </c>
      <c r="AQ64" s="281">
        <f t="shared" si="68"/>
        <v>29.333333333333332</v>
      </c>
      <c r="AR64" s="287">
        <f t="shared" si="44"/>
        <v>166.54981999999984</v>
      </c>
      <c r="AS64" s="93"/>
      <c r="AT64" s="4"/>
    </row>
    <row r="65" spans="1:46">
      <c r="A65" s="98">
        <f t="shared" si="45"/>
        <v>12</v>
      </c>
      <c r="B65" s="99">
        <v>2.4500000000000002</v>
      </c>
      <c r="C65" s="100">
        <f t="shared" si="46"/>
        <v>29.400000000000002</v>
      </c>
      <c r="D65" s="101">
        <v>40</v>
      </c>
      <c r="E65" s="100">
        <f t="shared" si="47"/>
        <v>120</v>
      </c>
      <c r="F65" s="102">
        <f t="shared" si="48"/>
        <v>10.825317547305485</v>
      </c>
      <c r="G65" s="103">
        <f t="shared" si="49"/>
        <v>12</v>
      </c>
      <c r="H65" s="296">
        <f t="shared" si="50"/>
        <v>17.093184000000001</v>
      </c>
      <c r="I65" s="104">
        <f t="shared" si="39"/>
        <v>29.606263151123411</v>
      </c>
      <c r="J65" s="180">
        <f t="shared" si="51"/>
        <v>20</v>
      </c>
      <c r="K65" s="104">
        <f t="shared" si="40"/>
        <v>39.839999999999996</v>
      </c>
      <c r="L65" s="428">
        <f t="shared" si="41"/>
        <v>2.25</v>
      </c>
      <c r="M65" s="106">
        <f t="shared" si="52"/>
        <v>30</v>
      </c>
      <c r="N65" s="1060">
        <f t="shared" si="42"/>
        <v>14.07291281149713</v>
      </c>
      <c r="O65" s="101">
        <f>LOOKUP(N65,'Circuit Breakers'!$B$5:$B$38,'Circuit Breakers'!$C$5:$C$38)</f>
        <v>15</v>
      </c>
      <c r="P65" s="262">
        <f t="shared" si="53"/>
        <v>30</v>
      </c>
      <c r="Q65" s="1057">
        <f t="shared" si="54"/>
        <v>51.791999999999994</v>
      </c>
      <c r="R65" s="1065">
        <f>LOOKUP(Q65,'Circuit Breakers'!$B$5:$B$38,'Circuit Breakers'!$C$5:$C$38)</f>
        <v>60</v>
      </c>
      <c r="S65" s="106">
        <f t="shared" si="55"/>
        <v>30</v>
      </c>
      <c r="T65" s="104">
        <f t="shared" si="56"/>
        <v>52</v>
      </c>
      <c r="U65" s="477">
        <f>LOOKUP(T65,'Circuit Breakers'!$B$5:$B$38,'Circuit Breakers'!$C$5:$C$38)</f>
        <v>60</v>
      </c>
      <c r="V65" s="106">
        <f t="shared" si="57"/>
        <v>15</v>
      </c>
      <c r="W65" s="104">
        <f t="shared" si="58"/>
        <v>12.449115179401307</v>
      </c>
      <c r="X65" s="101" t="str">
        <f>LOOKUP(W65,'Wire-Cables Ampacities'!$B$5:$B$35,'Wire-Cables Ampacities'!$C$5:$C$35)</f>
        <v>#10</v>
      </c>
      <c r="Y65" s="106">
        <f t="shared" si="59"/>
        <v>10</v>
      </c>
      <c r="Z65" s="104">
        <f t="shared" si="60"/>
        <v>43.823999999999998</v>
      </c>
      <c r="AA65" s="101" t="str">
        <f>LOOKUP(Z65,'Wire-Cables Ampacities'!$B$5:$B$35,'Wire-Cables Ampacities'!$C$5:$C$35)</f>
        <v>#8</v>
      </c>
      <c r="AB65" s="106">
        <f t="shared" si="61"/>
        <v>10</v>
      </c>
      <c r="AC65" s="104">
        <f t="shared" si="62"/>
        <v>44</v>
      </c>
      <c r="AD65" s="101" t="str">
        <f>LOOKUP(AC65,'Wire-Cables Ampacities'!$B$5:$B$35,'Wire-Cables Ampacities'!$C$5:$C$35)</f>
        <v>#8</v>
      </c>
      <c r="AE65" s="107">
        <f t="shared" si="63"/>
        <v>0.23750000000000002</v>
      </c>
      <c r="AF65" s="105">
        <f t="shared" si="43"/>
        <v>810.38372500000003</v>
      </c>
      <c r="AG65" s="98">
        <f t="shared" si="64"/>
        <v>40</v>
      </c>
      <c r="AH65" s="99">
        <f t="shared" si="64"/>
        <v>55</v>
      </c>
      <c r="AI65" s="106">
        <f t="shared" si="64"/>
        <v>20</v>
      </c>
      <c r="AJ65" s="105">
        <f t="shared" si="65"/>
        <v>33.440000000000005</v>
      </c>
      <c r="AK65" s="272">
        <f t="shared" si="66"/>
        <v>0.33440000000000003</v>
      </c>
      <c r="AL65" s="278">
        <f t="shared" si="67"/>
        <v>0.16720000000000002</v>
      </c>
      <c r="AM65" s="109">
        <v>600</v>
      </c>
      <c r="AN65" s="104">
        <v>24</v>
      </c>
      <c r="AO65" s="110">
        <v>48</v>
      </c>
      <c r="AP65" s="110">
        <v>16</v>
      </c>
      <c r="AQ65" s="282">
        <f t="shared" si="68"/>
        <v>29.333333333333332</v>
      </c>
      <c r="AR65" s="288">
        <f t="shared" si="44"/>
        <v>260.38372500000003</v>
      </c>
      <c r="AS65" s="93"/>
      <c r="AT65" s="4"/>
    </row>
    <row r="66" spans="1:46">
      <c r="A66" s="72">
        <f t="shared" si="45"/>
        <v>12</v>
      </c>
      <c r="B66" s="15">
        <v>2.4500000000000002</v>
      </c>
      <c r="C66" s="66">
        <f t="shared" si="46"/>
        <v>29.400000000000002</v>
      </c>
      <c r="D66" s="68">
        <v>50</v>
      </c>
      <c r="E66" s="66">
        <f t="shared" si="47"/>
        <v>120</v>
      </c>
      <c r="F66" s="45">
        <f t="shared" si="48"/>
        <v>13.230943668928925</v>
      </c>
      <c r="G66" s="94">
        <f t="shared" si="49"/>
        <v>12</v>
      </c>
      <c r="H66" s="295">
        <f t="shared" si="50"/>
        <v>17.093184000000001</v>
      </c>
      <c r="I66" s="25">
        <f t="shared" si="39"/>
        <v>29.606263151123411</v>
      </c>
      <c r="J66" s="52">
        <f t="shared" si="51"/>
        <v>20</v>
      </c>
      <c r="K66" s="25">
        <f t="shared" si="40"/>
        <v>49.8</v>
      </c>
      <c r="L66" s="427">
        <f t="shared" si="41"/>
        <v>2.75</v>
      </c>
      <c r="M66" s="64">
        <f t="shared" si="52"/>
        <v>30</v>
      </c>
      <c r="N66" s="838">
        <f t="shared" si="42"/>
        <v>17.200226769607603</v>
      </c>
      <c r="O66" s="68">
        <f>LOOKUP(N66,'Circuit Breakers'!$B$5:$B$38,'Circuit Breakers'!$C$5:$C$38)</f>
        <v>20</v>
      </c>
      <c r="P66" s="199">
        <f t="shared" si="53"/>
        <v>30</v>
      </c>
      <c r="Q66" s="1056">
        <f t="shared" si="54"/>
        <v>64.739999999999995</v>
      </c>
      <c r="R66" s="1064">
        <f>LOOKUP(Q66,'Circuit Breakers'!$B$5:$B$38,'Circuit Breakers'!$C$5:$C$38)</f>
        <v>70</v>
      </c>
      <c r="S66" s="64">
        <f t="shared" si="55"/>
        <v>30</v>
      </c>
      <c r="T66" s="25">
        <f t="shared" si="56"/>
        <v>65</v>
      </c>
      <c r="U66" s="158">
        <f>LOOKUP(T66,'Circuit Breakers'!$B$5:$B$38,'Circuit Breakers'!$C$5:$C$38)</f>
        <v>70</v>
      </c>
      <c r="V66" s="64">
        <f t="shared" si="57"/>
        <v>15</v>
      </c>
      <c r="W66" s="25">
        <f t="shared" si="58"/>
        <v>15.215585219268261</v>
      </c>
      <c r="X66" s="68" t="str">
        <f>LOOKUP(W66,'Wire-Cables Ampacities'!$B$5:$B$35,'Wire-Cables Ampacities'!$C$5:$C$35)</f>
        <v>#10</v>
      </c>
      <c r="Y66" s="64">
        <f t="shared" si="59"/>
        <v>10</v>
      </c>
      <c r="Z66" s="25">
        <f t="shared" si="60"/>
        <v>54.78</v>
      </c>
      <c r="AA66" s="68" t="str">
        <f>LOOKUP(Z66,'Wire-Cables Ampacities'!$B$5:$B$35,'Wire-Cables Ampacities'!$C$5:$C$35)</f>
        <v>#8</v>
      </c>
      <c r="AB66" s="64">
        <f t="shared" si="61"/>
        <v>10</v>
      </c>
      <c r="AC66" s="25">
        <f t="shared" si="62"/>
        <v>55.000000000000007</v>
      </c>
      <c r="AD66" s="68" t="str">
        <f>LOOKUP(AC66,'Wire-Cables Ampacities'!$B$5:$B$35,'Wire-Cables Ampacities'!$C$5:$C$35)</f>
        <v>#8</v>
      </c>
      <c r="AE66" s="81">
        <f t="shared" si="63"/>
        <v>0.29249999999999998</v>
      </c>
      <c r="AF66" s="56">
        <f t="shared" si="43"/>
        <v>998.05153499999983</v>
      </c>
      <c r="AG66" s="72">
        <f t="shared" si="64"/>
        <v>40</v>
      </c>
      <c r="AH66" s="15">
        <f t="shared" si="64"/>
        <v>55</v>
      </c>
      <c r="AI66" s="64">
        <f t="shared" si="64"/>
        <v>20</v>
      </c>
      <c r="AJ66" s="56">
        <f t="shared" si="65"/>
        <v>41.183999999999997</v>
      </c>
      <c r="AK66" s="271">
        <f t="shared" si="66"/>
        <v>0.41183999999999998</v>
      </c>
      <c r="AL66" s="277">
        <f t="shared" si="67"/>
        <v>0.20591999999999999</v>
      </c>
      <c r="AM66" s="58">
        <v>800</v>
      </c>
      <c r="AN66" s="25">
        <v>34</v>
      </c>
      <c r="AO66" s="3">
        <v>48</v>
      </c>
      <c r="AP66" s="3">
        <v>28</v>
      </c>
      <c r="AQ66" s="281">
        <f t="shared" si="68"/>
        <v>47.944444444444443</v>
      </c>
      <c r="AR66" s="287">
        <f t="shared" si="44"/>
        <v>99.093201666666459</v>
      </c>
      <c r="AS66" s="93"/>
      <c r="AT66" s="4"/>
    </row>
    <row r="67" spans="1:46">
      <c r="A67" s="72">
        <f t="shared" si="45"/>
        <v>12</v>
      </c>
      <c r="B67" s="15">
        <v>2.4500000000000002</v>
      </c>
      <c r="C67" s="66">
        <f t="shared" si="46"/>
        <v>29.400000000000002</v>
      </c>
      <c r="D67" s="68">
        <v>60</v>
      </c>
      <c r="E67" s="66">
        <f t="shared" si="47"/>
        <v>120</v>
      </c>
      <c r="F67" s="45">
        <f t="shared" si="48"/>
        <v>15.636569790552365</v>
      </c>
      <c r="G67" s="94">
        <f t="shared" si="49"/>
        <v>12</v>
      </c>
      <c r="H67" s="295">
        <f t="shared" si="50"/>
        <v>17.093184000000001</v>
      </c>
      <c r="I67" s="25">
        <f t="shared" si="39"/>
        <v>29.606263151123411</v>
      </c>
      <c r="J67" s="52">
        <f t="shared" si="51"/>
        <v>20</v>
      </c>
      <c r="K67" s="25">
        <f t="shared" si="40"/>
        <v>59.76</v>
      </c>
      <c r="L67" s="427">
        <f t="shared" si="41"/>
        <v>3.25</v>
      </c>
      <c r="M67" s="64">
        <f t="shared" si="52"/>
        <v>30</v>
      </c>
      <c r="N67" s="838">
        <f t="shared" si="42"/>
        <v>20.327540727718073</v>
      </c>
      <c r="O67" s="68">
        <f>LOOKUP(N67,'Circuit Breakers'!$B$5:$B$38,'Circuit Breakers'!$C$5:$C$38)</f>
        <v>25</v>
      </c>
      <c r="P67" s="199">
        <f t="shared" si="53"/>
        <v>30</v>
      </c>
      <c r="Q67" s="1056">
        <f t="shared" si="54"/>
        <v>77.688000000000002</v>
      </c>
      <c r="R67" s="1064">
        <f>LOOKUP(Q67,'Circuit Breakers'!$B$5:$B$38,'Circuit Breakers'!$C$5:$C$38)</f>
        <v>80</v>
      </c>
      <c r="S67" s="64">
        <f t="shared" si="55"/>
        <v>30</v>
      </c>
      <c r="T67" s="25">
        <f t="shared" si="56"/>
        <v>78</v>
      </c>
      <c r="U67" s="158">
        <f>LOOKUP(T67,'Circuit Breakers'!$B$5:$B$38,'Circuit Breakers'!$C$5:$C$38)</f>
        <v>80</v>
      </c>
      <c r="V67" s="64">
        <f t="shared" si="57"/>
        <v>15</v>
      </c>
      <c r="W67" s="25">
        <f t="shared" si="58"/>
        <v>17.982055259135219</v>
      </c>
      <c r="X67" s="68" t="str">
        <f>LOOKUP(W67,'Wire-Cables Ampacities'!$B$5:$B$35,'Wire-Cables Ampacities'!$C$5:$C$35)</f>
        <v>#10</v>
      </c>
      <c r="Y67" s="64">
        <f t="shared" si="59"/>
        <v>10</v>
      </c>
      <c r="Z67" s="25">
        <f t="shared" si="60"/>
        <v>65.736000000000004</v>
      </c>
      <c r="AA67" s="68" t="str">
        <f>LOOKUP(Z67,'Wire-Cables Ampacities'!$B$5:$B$35,'Wire-Cables Ampacities'!$C$5:$C$35)</f>
        <v>#6</v>
      </c>
      <c r="AB67" s="64">
        <f t="shared" si="61"/>
        <v>10</v>
      </c>
      <c r="AC67" s="25">
        <f t="shared" si="62"/>
        <v>66</v>
      </c>
      <c r="AD67" s="68" t="str">
        <f>LOOKUP(AC67,'Wire-Cables Ampacities'!$B$5:$B$35,'Wire-Cables Ampacities'!$C$5:$C$35)</f>
        <v>#6</v>
      </c>
      <c r="AE67" s="81">
        <f t="shared" si="63"/>
        <v>0.34749999999999998</v>
      </c>
      <c r="AF67" s="56">
        <f t="shared" si="43"/>
        <v>1185.719345</v>
      </c>
      <c r="AG67" s="72">
        <f t="shared" si="64"/>
        <v>40</v>
      </c>
      <c r="AH67" s="15">
        <f t="shared" si="64"/>
        <v>55</v>
      </c>
      <c r="AI67" s="64">
        <f t="shared" si="64"/>
        <v>20</v>
      </c>
      <c r="AJ67" s="56">
        <f t="shared" si="65"/>
        <v>48.92799999999999</v>
      </c>
      <c r="AK67" s="271">
        <f t="shared" si="66"/>
        <v>0.48927999999999988</v>
      </c>
      <c r="AL67" s="277">
        <f t="shared" si="67"/>
        <v>0.24463999999999994</v>
      </c>
      <c r="AM67" s="58">
        <v>800</v>
      </c>
      <c r="AN67" s="25">
        <v>34</v>
      </c>
      <c r="AO67" s="3">
        <v>48</v>
      </c>
      <c r="AP67" s="3">
        <v>28</v>
      </c>
      <c r="AQ67" s="281">
        <f t="shared" si="68"/>
        <v>47.944444444444443</v>
      </c>
      <c r="AR67" s="287">
        <f t="shared" si="44"/>
        <v>286.7610116666666</v>
      </c>
      <c r="AS67" s="93"/>
      <c r="AT67" s="4"/>
    </row>
    <row r="68" spans="1:46">
      <c r="A68" s="98">
        <f t="shared" si="45"/>
        <v>12</v>
      </c>
      <c r="B68" s="99">
        <v>2.4500000000000002</v>
      </c>
      <c r="C68" s="100">
        <f t="shared" si="46"/>
        <v>29.400000000000002</v>
      </c>
      <c r="D68" s="101">
        <v>75</v>
      </c>
      <c r="E68" s="100">
        <f t="shared" si="47"/>
        <v>120</v>
      </c>
      <c r="F68" s="102">
        <f t="shared" si="48"/>
        <v>19.245008972987527</v>
      </c>
      <c r="G68" s="103">
        <f t="shared" si="49"/>
        <v>12</v>
      </c>
      <c r="H68" s="296">
        <f t="shared" si="50"/>
        <v>17.093184000000001</v>
      </c>
      <c r="I68" s="104">
        <f t="shared" si="39"/>
        <v>29.606263151123411</v>
      </c>
      <c r="J68" s="180">
        <f t="shared" si="51"/>
        <v>20</v>
      </c>
      <c r="K68" s="104">
        <f t="shared" si="40"/>
        <v>74.7</v>
      </c>
      <c r="L68" s="428">
        <f t="shared" si="41"/>
        <v>4</v>
      </c>
      <c r="M68" s="1081">
        <f t="shared" si="52"/>
        <v>30</v>
      </c>
      <c r="N68" s="1060">
        <f t="shared" si="42"/>
        <v>25.018511664883786</v>
      </c>
      <c r="O68" s="101">
        <f>LOOKUP(N68,'Circuit Breakers'!$B$5:$B$38,'Circuit Breakers'!$C$5:$C$38)</f>
        <v>25</v>
      </c>
      <c r="P68" s="262">
        <f t="shared" si="53"/>
        <v>30</v>
      </c>
      <c r="Q68" s="1057">
        <f t="shared" si="54"/>
        <v>97.110000000000014</v>
      </c>
      <c r="R68" s="1065">
        <f>LOOKUP(Q68,'Circuit Breakers'!$B$5:$B$38,'Circuit Breakers'!$C$5:$C$38)</f>
        <v>100</v>
      </c>
      <c r="S68" s="106">
        <f t="shared" si="55"/>
        <v>30</v>
      </c>
      <c r="T68" s="104">
        <f t="shared" si="56"/>
        <v>97.5</v>
      </c>
      <c r="U68" s="477">
        <f>LOOKUP(T68,'Circuit Breakers'!$B$5:$B$38,'Circuit Breakers'!$C$5:$C$38)</f>
        <v>100</v>
      </c>
      <c r="V68" s="106">
        <f t="shared" si="57"/>
        <v>15</v>
      </c>
      <c r="W68" s="104">
        <f t="shared" si="58"/>
        <v>22.131760318935655</v>
      </c>
      <c r="X68" s="101" t="str">
        <f>LOOKUP(W68,'Wire-Cables Ampacities'!$B$5:$B$35,'Wire-Cables Ampacities'!$C$5:$C$35)</f>
        <v>#10</v>
      </c>
      <c r="Y68" s="106">
        <f t="shared" si="59"/>
        <v>10</v>
      </c>
      <c r="Z68" s="104">
        <f t="shared" si="60"/>
        <v>82.170000000000016</v>
      </c>
      <c r="AA68" s="101" t="str">
        <f>LOOKUP(Z68,'Wire-Cables Ampacities'!$B$5:$B$35,'Wire-Cables Ampacities'!$C$5:$C$35)</f>
        <v>#4</v>
      </c>
      <c r="AB68" s="106">
        <f t="shared" si="61"/>
        <v>10</v>
      </c>
      <c r="AC68" s="104">
        <f t="shared" si="62"/>
        <v>82.5</v>
      </c>
      <c r="AD68" s="101" t="str">
        <f>LOOKUP(AC68,'Wire-Cables Ampacities'!$B$5:$B$35,'Wire-Cables Ampacities'!$C$5:$C$35)</f>
        <v>#4</v>
      </c>
      <c r="AE68" s="107">
        <f t="shared" si="63"/>
        <v>0.43</v>
      </c>
      <c r="AF68" s="105">
        <f t="shared" si="43"/>
        <v>1467.2210599999999</v>
      </c>
      <c r="AG68" s="98">
        <f t="shared" si="64"/>
        <v>40</v>
      </c>
      <c r="AH68" s="99">
        <f t="shared" si="64"/>
        <v>55</v>
      </c>
      <c r="AI68" s="106">
        <f t="shared" si="64"/>
        <v>20</v>
      </c>
      <c r="AJ68" s="105">
        <f t="shared" si="65"/>
        <v>60.543999999999997</v>
      </c>
      <c r="AK68" s="272">
        <f t="shared" si="66"/>
        <v>0.60543999999999998</v>
      </c>
      <c r="AL68" s="278">
        <f t="shared" si="67"/>
        <v>0.30271999999999999</v>
      </c>
      <c r="AM68" s="109">
        <v>800</v>
      </c>
      <c r="AN68" s="104">
        <v>34</v>
      </c>
      <c r="AO68" s="110">
        <v>48</v>
      </c>
      <c r="AP68" s="110">
        <v>28</v>
      </c>
      <c r="AQ68" s="282">
        <f t="shared" si="68"/>
        <v>47.944444444444443</v>
      </c>
      <c r="AR68" s="288">
        <f t="shared" si="44"/>
        <v>568.26272666666648</v>
      </c>
      <c r="AS68" s="93"/>
      <c r="AT68" s="4"/>
    </row>
    <row r="69" spans="1:46">
      <c r="A69" s="72">
        <f t="shared" si="45"/>
        <v>12</v>
      </c>
      <c r="B69" s="15">
        <v>2.4500000000000002</v>
      </c>
      <c r="C69" s="66">
        <f t="shared" si="46"/>
        <v>29.400000000000002</v>
      </c>
      <c r="D69" s="68">
        <v>100</v>
      </c>
      <c r="E69" s="66">
        <f t="shared" si="47"/>
        <v>120</v>
      </c>
      <c r="F69" s="45">
        <f t="shared" si="48"/>
        <v>25.259074277046128</v>
      </c>
      <c r="G69" s="94">
        <f t="shared" si="49"/>
        <v>12</v>
      </c>
      <c r="H69" s="295">
        <f t="shared" si="50"/>
        <v>17.093184000000001</v>
      </c>
      <c r="I69" s="25">
        <f t="shared" si="39"/>
        <v>29.606263151123411</v>
      </c>
      <c r="J69" s="52">
        <f t="shared" si="51"/>
        <v>20</v>
      </c>
      <c r="K69" s="25">
        <f t="shared" si="40"/>
        <v>99.6</v>
      </c>
      <c r="L69" s="427">
        <f t="shared" si="41"/>
        <v>5.25</v>
      </c>
      <c r="M69" s="64">
        <f t="shared" si="52"/>
        <v>30</v>
      </c>
      <c r="N69" s="838">
        <f t="shared" si="42"/>
        <v>32.836796560159968</v>
      </c>
      <c r="O69" s="68">
        <f>LOOKUP(N69,'Circuit Breakers'!$B$5:$B$38,'Circuit Breakers'!$C$5:$C$38)</f>
        <v>40</v>
      </c>
      <c r="P69" s="199">
        <f t="shared" si="53"/>
        <v>30</v>
      </c>
      <c r="Q69" s="1056">
        <f t="shared" si="54"/>
        <v>129.47999999999999</v>
      </c>
      <c r="R69" s="1064">
        <f>LOOKUP(Q69,'Circuit Breakers'!$B$5:$B$38,'Circuit Breakers'!$C$5:$C$38)</f>
        <v>150</v>
      </c>
      <c r="S69" s="64">
        <f t="shared" si="55"/>
        <v>30</v>
      </c>
      <c r="T69" s="25">
        <f t="shared" si="56"/>
        <v>130</v>
      </c>
      <c r="U69" s="158">
        <f>LOOKUP(T69,'Circuit Breakers'!$B$5:$B$38,'Circuit Breakers'!$C$5:$C$38)</f>
        <v>150</v>
      </c>
      <c r="V69" s="64">
        <f t="shared" si="57"/>
        <v>15</v>
      </c>
      <c r="W69" s="25">
        <f t="shared" si="58"/>
        <v>29.047935418603046</v>
      </c>
      <c r="X69" s="68" t="str">
        <f>LOOKUP(W69,'Wire-Cables Ampacities'!$B$5:$B$35,'Wire-Cables Ampacities'!$C$5:$C$35)</f>
        <v>#10</v>
      </c>
      <c r="Y69" s="64">
        <f t="shared" si="59"/>
        <v>10</v>
      </c>
      <c r="Z69" s="25">
        <f t="shared" si="60"/>
        <v>109.56</v>
      </c>
      <c r="AA69" s="68" t="str">
        <f>LOOKUP(Z69,'Wire-Cables Ampacities'!$B$5:$B$35,'Wire-Cables Ampacities'!$C$5:$C$35)</f>
        <v>#3</v>
      </c>
      <c r="AB69" s="64">
        <f t="shared" si="61"/>
        <v>10</v>
      </c>
      <c r="AC69" s="25">
        <f t="shared" si="62"/>
        <v>110.00000000000001</v>
      </c>
      <c r="AD69" s="68" t="str">
        <f>LOOKUP(AC69,'Wire-Cables Ampacities'!$B$5:$B$35,'Wire-Cables Ampacities'!$C$5:$C$35)</f>
        <v>#3</v>
      </c>
      <c r="AE69" s="81">
        <f t="shared" si="63"/>
        <v>0.5675</v>
      </c>
      <c r="AF69" s="56">
        <f t="shared" si="43"/>
        <v>1936.3905849999999</v>
      </c>
      <c r="AG69" s="72">
        <f t="shared" si="64"/>
        <v>40</v>
      </c>
      <c r="AH69" s="15">
        <f t="shared" si="64"/>
        <v>55</v>
      </c>
      <c r="AI69" s="64">
        <f t="shared" si="64"/>
        <v>20</v>
      </c>
      <c r="AJ69" s="56">
        <f t="shared" si="65"/>
        <v>79.903999999999982</v>
      </c>
      <c r="AK69" s="271">
        <f t="shared" si="66"/>
        <v>0.79903999999999986</v>
      </c>
      <c r="AL69" s="277">
        <f t="shared" si="67"/>
        <v>0.39951999999999993</v>
      </c>
      <c r="AM69" s="58">
        <v>800</v>
      </c>
      <c r="AN69" s="25">
        <v>34</v>
      </c>
      <c r="AO69" s="3">
        <v>48</v>
      </c>
      <c r="AP69" s="3">
        <v>28</v>
      </c>
      <c r="AQ69" s="281">
        <f t="shared" si="68"/>
        <v>47.944444444444443</v>
      </c>
      <c r="AR69" s="287">
        <f t="shared" si="44"/>
        <v>1037.4322516666666</v>
      </c>
      <c r="AS69" s="93"/>
      <c r="AT69" s="4"/>
    </row>
    <row r="70" spans="1:46">
      <c r="A70" s="72">
        <f t="shared" si="45"/>
        <v>12</v>
      </c>
      <c r="B70" s="15">
        <v>2.4500000000000002</v>
      </c>
      <c r="C70" s="66">
        <f t="shared" si="46"/>
        <v>29.400000000000002</v>
      </c>
      <c r="D70" s="68">
        <v>125</v>
      </c>
      <c r="E70" s="66">
        <f t="shared" si="47"/>
        <v>120</v>
      </c>
      <c r="F70" s="45">
        <f t="shared" si="48"/>
        <v>31.273139581104729</v>
      </c>
      <c r="G70" s="94">
        <f t="shared" si="49"/>
        <v>12</v>
      </c>
      <c r="H70" s="295">
        <f t="shared" si="50"/>
        <v>17.093184000000001</v>
      </c>
      <c r="I70" s="25">
        <f t="shared" si="39"/>
        <v>29.606263151123411</v>
      </c>
      <c r="J70" s="52">
        <f t="shared" si="51"/>
        <v>20</v>
      </c>
      <c r="K70" s="25">
        <f t="shared" si="40"/>
        <v>124.5</v>
      </c>
      <c r="L70" s="427">
        <f t="shared" si="41"/>
        <v>6.5</v>
      </c>
      <c r="M70" s="64">
        <f t="shared" si="52"/>
        <v>30</v>
      </c>
      <c r="N70" s="838">
        <f t="shared" si="42"/>
        <v>40.655081455436147</v>
      </c>
      <c r="O70" s="68">
        <f>LOOKUP(N70,'Circuit Breakers'!$B$5:$B$38,'Circuit Breakers'!$C$5:$C$38)</f>
        <v>50</v>
      </c>
      <c r="P70" s="199">
        <f t="shared" si="53"/>
        <v>30</v>
      </c>
      <c r="Q70" s="1056">
        <f t="shared" si="54"/>
        <v>161.85</v>
      </c>
      <c r="R70" s="1064">
        <f>LOOKUP(Q70,'Circuit Breakers'!$B$5:$B$38,'Circuit Breakers'!$C$5:$C$38)</f>
        <v>175</v>
      </c>
      <c r="S70" s="64">
        <f t="shared" si="55"/>
        <v>30</v>
      </c>
      <c r="T70" s="25">
        <f t="shared" si="56"/>
        <v>162.5</v>
      </c>
      <c r="U70" s="158">
        <f>LOOKUP(T70,'Circuit Breakers'!$B$5:$B$38,'Circuit Breakers'!$C$5:$C$38)</f>
        <v>175</v>
      </c>
      <c r="V70" s="64">
        <f t="shared" si="57"/>
        <v>15</v>
      </c>
      <c r="W70" s="25">
        <f t="shared" si="58"/>
        <v>35.964110518270438</v>
      </c>
      <c r="X70" s="68" t="str">
        <f>LOOKUP(W70,'Wire-Cables Ampacities'!$B$5:$B$35,'Wire-Cables Ampacities'!$C$5:$C$35)</f>
        <v>#10</v>
      </c>
      <c r="Y70" s="64">
        <f t="shared" si="59"/>
        <v>10</v>
      </c>
      <c r="Z70" s="25">
        <f t="shared" si="60"/>
        <v>136.95000000000002</v>
      </c>
      <c r="AA70" s="68" t="str">
        <f>LOOKUP(Z70,'Wire-Cables Ampacities'!$B$5:$B$35,'Wire-Cables Ampacities'!$C$5:$C$35)</f>
        <v>#2</v>
      </c>
      <c r="AB70" s="64">
        <f t="shared" si="61"/>
        <v>10</v>
      </c>
      <c r="AC70" s="25">
        <f t="shared" si="62"/>
        <v>137.5</v>
      </c>
      <c r="AD70" s="68" t="str">
        <f>LOOKUP(AC70,'Wire-Cables Ampacities'!$B$5:$B$35,'Wire-Cables Ampacities'!$C$5:$C$35)</f>
        <v>#2</v>
      </c>
      <c r="AE70" s="81">
        <f t="shared" si="63"/>
        <v>0.70499999999999996</v>
      </c>
      <c r="AF70" s="56">
        <f t="shared" si="43"/>
        <v>2405.5601099999999</v>
      </c>
      <c r="AG70" s="72">
        <f t="shared" si="64"/>
        <v>40</v>
      </c>
      <c r="AH70" s="15">
        <f t="shared" si="64"/>
        <v>55</v>
      </c>
      <c r="AI70" s="64">
        <f t="shared" si="64"/>
        <v>20</v>
      </c>
      <c r="AJ70" s="56">
        <f t="shared" si="65"/>
        <v>99.263999999999996</v>
      </c>
      <c r="AK70" s="271">
        <f t="shared" si="66"/>
        <v>0.99263999999999997</v>
      </c>
      <c r="AL70" s="277">
        <f t="shared" si="67"/>
        <v>0.49631999999999998</v>
      </c>
      <c r="AM70" s="58">
        <v>800</v>
      </c>
      <c r="AN70" s="25">
        <v>34</v>
      </c>
      <c r="AO70" s="3">
        <v>48</v>
      </c>
      <c r="AP70" s="3">
        <v>28</v>
      </c>
      <c r="AQ70" s="281">
        <f t="shared" si="68"/>
        <v>47.944444444444443</v>
      </c>
      <c r="AR70" s="287">
        <f t="shared" si="44"/>
        <v>1506.6017766666664</v>
      </c>
      <c r="AS70" s="93"/>
      <c r="AT70" s="4"/>
    </row>
    <row r="71" spans="1:46">
      <c r="A71" s="98">
        <f t="shared" si="45"/>
        <v>12</v>
      </c>
      <c r="B71" s="99">
        <v>2.4500000000000002</v>
      </c>
      <c r="C71" s="100">
        <f t="shared" si="46"/>
        <v>29.400000000000002</v>
      </c>
      <c r="D71" s="101">
        <v>150</v>
      </c>
      <c r="E71" s="100">
        <v>480</v>
      </c>
      <c r="F71" s="102">
        <f t="shared" si="48"/>
        <v>9.3218012212908317</v>
      </c>
      <c r="G71" s="103">
        <f t="shared" si="49"/>
        <v>12</v>
      </c>
      <c r="H71" s="296">
        <f t="shared" si="50"/>
        <v>17.093184000000001</v>
      </c>
      <c r="I71" s="104">
        <f t="shared" si="39"/>
        <v>29.606263151123411</v>
      </c>
      <c r="J71" s="180">
        <f t="shared" si="51"/>
        <v>20</v>
      </c>
      <c r="K71" s="104">
        <f t="shared" si="40"/>
        <v>149.4</v>
      </c>
      <c r="L71" s="428">
        <f t="shared" si="41"/>
        <v>7.75</v>
      </c>
      <c r="M71" s="106">
        <f t="shared" si="52"/>
        <v>30</v>
      </c>
      <c r="N71" s="1060">
        <f t="shared" si="42"/>
        <v>12.118341587678081</v>
      </c>
      <c r="O71" s="101">
        <f>LOOKUP(N71,'Circuit Breakers'!$B$5:$B$38,'Circuit Breakers'!$C$5:$C$38)</f>
        <v>15</v>
      </c>
      <c r="P71" s="262">
        <f t="shared" si="53"/>
        <v>30</v>
      </c>
      <c r="Q71" s="1057">
        <f t="shared" si="54"/>
        <v>194.22000000000003</v>
      </c>
      <c r="R71" s="1065">
        <f>LOOKUP(Q71,'Circuit Breakers'!$B$5:$B$38,'Circuit Breakers'!$C$5:$C$38)</f>
        <v>200</v>
      </c>
      <c r="S71" s="106">
        <f t="shared" si="55"/>
        <v>30</v>
      </c>
      <c r="T71" s="104">
        <f t="shared" si="56"/>
        <v>195</v>
      </c>
      <c r="U71" s="477">
        <f>LOOKUP(T71,'Circuit Breakers'!$B$5:$B$38,'Circuit Breakers'!$C$5:$C$38)</f>
        <v>200</v>
      </c>
      <c r="V71" s="106">
        <f t="shared" si="57"/>
        <v>15</v>
      </c>
      <c r="W71" s="104">
        <f t="shared" si="58"/>
        <v>10.720071404484456</v>
      </c>
      <c r="X71" s="101" t="str">
        <f>LOOKUP(W71,'Wire-Cables Ampacities'!$B$5:$B$35,'Wire-Cables Ampacities'!$C$5:$C$35)</f>
        <v>#10</v>
      </c>
      <c r="Y71" s="106">
        <f t="shared" si="59"/>
        <v>10</v>
      </c>
      <c r="Z71" s="104">
        <f t="shared" si="60"/>
        <v>164.34000000000003</v>
      </c>
      <c r="AA71" s="101" t="str">
        <f>LOOKUP(Z71,'Wire-Cables Ampacities'!$B$5:$B$35,'Wire-Cables Ampacities'!$C$5:$C$35)</f>
        <v>#1</v>
      </c>
      <c r="AB71" s="106">
        <f t="shared" si="61"/>
        <v>10</v>
      </c>
      <c r="AC71" s="104">
        <f t="shared" si="62"/>
        <v>165</v>
      </c>
      <c r="AD71" s="101" t="str">
        <f>LOOKUP(AC71,'Wire-Cables Ampacities'!$B$5:$B$35,'Wire-Cables Ampacities'!$C$5:$C$35)</f>
        <v>#1</v>
      </c>
      <c r="AE71" s="107">
        <f t="shared" si="63"/>
        <v>0.84250000000000014</v>
      </c>
      <c r="AF71" s="105">
        <f t="shared" si="43"/>
        <v>2874.7296350000006</v>
      </c>
      <c r="AG71" s="98">
        <f t="shared" si="64"/>
        <v>40</v>
      </c>
      <c r="AH71" s="99">
        <f t="shared" si="64"/>
        <v>55</v>
      </c>
      <c r="AI71" s="106">
        <f t="shared" si="64"/>
        <v>20</v>
      </c>
      <c r="AJ71" s="105">
        <f t="shared" si="65"/>
        <v>118.624</v>
      </c>
      <c r="AK71" s="272">
        <f t="shared" si="66"/>
        <v>1.18624</v>
      </c>
      <c r="AL71" s="278">
        <f t="shared" si="67"/>
        <v>0.59311999999999998</v>
      </c>
      <c r="AM71" s="109">
        <v>800</v>
      </c>
      <c r="AN71" s="104">
        <v>34</v>
      </c>
      <c r="AO71" s="110">
        <v>48</v>
      </c>
      <c r="AP71" s="110">
        <v>28</v>
      </c>
      <c r="AQ71" s="282">
        <f t="shared" si="68"/>
        <v>47.944444444444443</v>
      </c>
      <c r="AR71" s="288">
        <f t="shared" si="44"/>
        <v>1975.7713016666671</v>
      </c>
      <c r="AS71" s="93"/>
      <c r="AT71" s="4"/>
    </row>
    <row r="72" spans="1:46">
      <c r="A72" s="72">
        <f t="shared" si="45"/>
        <v>12</v>
      </c>
      <c r="B72" s="15">
        <v>2.4500000000000002</v>
      </c>
      <c r="C72" s="66">
        <f t="shared" si="46"/>
        <v>29.400000000000002</v>
      </c>
      <c r="D72" s="68">
        <v>175</v>
      </c>
      <c r="E72" s="66">
        <f t="shared" si="47"/>
        <v>120</v>
      </c>
      <c r="F72" s="45">
        <f t="shared" si="48"/>
        <v>43.301270189221938</v>
      </c>
      <c r="G72" s="94">
        <f t="shared" si="49"/>
        <v>12</v>
      </c>
      <c r="H72" s="295">
        <f t="shared" si="50"/>
        <v>17.093184000000001</v>
      </c>
      <c r="I72" s="25">
        <f t="shared" si="39"/>
        <v>29.606263151123411</v>
      </c>
      <c r="J72" s="52">
        <f t="shared" si="51"/>
        <v>20</v>
      </c>
      <c r="K72" s="25">
        <f t="shared" si="40"/>
        <v>174.29999999999998</v>
      </c>
      <c r="L72" s="427">
        <f t="shared" si="41"/>
        <v>9</v>
      </c>
      <c r="M72" s="64">
        <f t="shared" si="52"/>
        <v>30</v>
      </c>
      <c r="N72" s="838">
        <f t="shared" si="42"/>
        <v>56.291651245988518</v>
      </c>
      <c r="O72" s="68">
        <f>LOOKUP(N72,'Circuit Breakers'!$B$5:$B$38,'Circuit Breakers'!$C$5:$C$38)</f>
        <v>60</v>
      </c>
      <c r="P72" s="199">
        <f t="shared" si="53"/>
        <v>30</v>
      </c>
      <c r="Q72" s="1056">
        <f t="shared" si="54"/>
        <v>226.58999999999997</v>
      </c>
      <c r="R72" s="1064">
        <f>LOOKUP(Q72,'Circuit Breakers'!$B$5:$B$38,'Circuit Breakers'!$C$5:$C$38)</f>
        <v>250</v>
      </c>
      <c r="S72" s="64">
        <f t="shared" si="55"/>
        <v>30</v>
      </c>
      <c r="T72" s="25">
        <f t="shared" si="56"/>
        <v>227.5</v>
      </c>
      <c r="U72" s="158">
        <f>LOOKUP(T72,'Circuit Breakers'!$B$5:$B$38,'Circuit Breakers'!$C$5:$C$38)</f>
        <v>250</v>
      </c>
      <c r="V72" s="64">
        <f t="shared" si="57"/>
        <v>15</v>
      </c>
      <c r="W72" s="25">
        <f t="shared" si="58"/>
        <v>49.796460717605228</v>
      </c>
      <c r="X72" s="68" t="str">
        <f>LOOKUP(W72,'Wire-Cables Ampacities'!$B$5:$B$35,'Wire-Cables Ampacities'!$C$5:$C$35)</f>
        <v>#8</v>
      </c>
      <c r="Y72" s="64">
        <f t="shared" si="59"/>
        <v>10</v>
      </c>
      <c r="Z72" s="25">
        <f t="shared" si="60"/>
        <v>191.73</v>
      </c>
      <c r="AA72" s="68" t="str">
        <f>LOOKUP(Z72,'Wire-Cables Ampacities'!$B$5:$B$35,'Wire-Cables Ampacities'!$C$5:$C$35)</f>
        <v>#1/0</v>
      </c>
      <c r="AB72" s="64">
        <f t="shared" si="61"/>
        <v>10</v>
      </c>
      <c r="AC72" s="25">
        <f t="shared" si="62"/>
        <v>192.50000000000003</v>
      </c>
      <c r="AD72" s="68" t="str">
        <f>LOOKUP(AC72,'Wire-Cables Ampacities'!$B$5:$B$35,'Wire-Cables Ampacities'!$C$5:$C$35)</f>
        <v>#1/0</v>
      </c>
      <c r="AE72" s="81">
        <f t="shared" si="63"/>
        <v>0.98000000000000009</v>
      </c>
      <c r="AF72" s="56">
        <f t="shared" si="43"/>
        <v>3343.8991600000004</v>
      </c>
      <c r="AG72" s="72">
        <f t="shared" si="64"/>
        <v>40</v>
      </c>
      <c r="AH72" s="15">
        <f t="shared" si="64"/>
        <v>55</v>
      </c>
      <c r="AI72" s="64">
        <f t="shared" si="64"/>
        <v>20</v>
      </c>
      <c r="AJ72" s="56">
        <f t="shared" si="65"/>
        <v>137.98400000000001</v>
      </c>
      <c r="AK72" s="271">
        <f t="shared" si="66"/>
        <v>1.3798400000000002</v>
      </c>
      <c r="AL72" s="277">
        <f t="shared" si="67"/>
        <v>0.68992000000000009</v>
      </c>
      <c r="AM72" s="58">
        <v>1200</v>
      </c>
      <c r="AN72" s="25">
        <v>38</v>
      </c>
      <c r="AO72" s="3">
        <v>70</v>
      </c>
      <c r="AP72" s="3">
        <v>28</v>
      </c>
      <c r="AQ72" s="281">
        <f t="shared" si="68"/>
        <v>71.555555555555557</v>
      </c>
      <c r="AR72" s="287">
        <f t="shared" si="44"/>
        <v>2002.2324933333337</v>
      </c>
      <c r="AS72" s="93"/>
      <c r="AT72" s="4"/>
    </row>
    <row r="73" spans="1:46">
      <c r="A73" s="72">
        <f t="shared" si="45"/>
        <v>12</v>
      </c>
      <c r="B73" s="15">
        <v>2.4500000000000002</v>
      </c>
      <c r="C73" s="66">
        <f t="shared" si="46"/>
        <v>29.400000000000002</v>
      </c>
      <c r="D73" s="68">
        <v>200</v>
      </c>
      <c r="E73" s="66">
        <f t="shared" si="47"/>
        <v>208</v>
      </c>
      <c r="F73" s="45">
        <f t="shared" si="48"/>
        <v>29.145085704283996</v>
      </c>
      <c r="G73" s="94">
        <f t="shared" si="49"/>
        <v>12</v>
      </c>
      <c r="H73" s="295">
        <f t="shared" si="50"/>
        <v>17.093184000000001</v>
      </c>
      <c r="I73" s="25">
        <f t="shared" si="39"/>
        <v>29.606263151123411</v>
      </c>
      <c r="J73" s="52">
        <f t="shared" si="51"/>
        <v>20</v>
      </c>
      <c r="K73" s="25">
        <f t="shared" si="40"/>
        <v>199.2</v>
      </c>
      <c r="L73" s="427">
        <f t="shared" si="41"/>
        <v>10.5</v>
      </c>
      <c r="M73" s="64">
        <f t="shared" si="52"/>
        <v>30</v>
      </c>
      <c r="N73" s="838">
        <f t="shared" si="42"/>
        <v>37.888611415569194</v>
      </c>
      <c r="O73" s="68">
        <f>LOOKUP(N73,'Circuit Breakers'!$B$5:$B$38,'Circuit Breakers'!$C$5:$C$38)</f>
        <v>40</v>
      </c>
      <c r="P73" s="199">
        <f t="shared" si="53"/>
        <v>30</v>
      </c>
      <c r="Q73" s="1056">
        <f t="shared" si="54"/>
        <v>258.95999999999998</v>
      </c>
      <c r="R73" s="1064">
        <f>LOOKUP(Q73,'Circuit Breakers'!$B$5:$B$38,'Circuit Breakers'!$C$5:$C$38)</f>
        <v>300</v>
      </c>
      <c r="S73" s="64">
        <f t="shared" si="55"/>
        <v>30</v>
      </c>
      <c r="T73" s="25">
        <f t="shared" si="56"/>
        <v>260</v>
      </c>
      <c r="U73" s="158">
        <f>LOOKUP(T73,'Circuit Breakers'!$B$5:$B$38,'Circuit Breakers'!$C$5:$C$38)</f>
        <v>300</v>
      </c>
      <c r="V73" s="64">
        <f t="shared" si="57"/>
        <v>15</v>
      </c>
      <c r="W73" s="25">
        <f t="shared" si="58"/>
        <v>33.516848559926594</v>
      </c>
      <c r="X73" s="68" t="str">
        <f>LOOKUP(W73,'Wire-Cables Ampacities'!$B$5:$B$35,'Wire-Cables Ampacities'!$C$5:$C$35)</f>
        <v>#10</v>
      </c>
      <c r="Y73" s="64">
        <f t="shared" si="59"/>
        <v>10</v>
      </c>
      <c r="Z73" s="25">
        <f t="shared" si="60"/>
        <v>219.12</v>
      </c>
      <c r="AA73" s="68" t="str">
        <f>LOOKUP(Z73,'Wire-Cables Ampacities'!$B$5:$B$35,'Wire-Cables Ampacities'!$C$5:$C$35)</f>
        <v>#2/0</v>
      </c>
      <c r="AB73" s="64">
        <f t="shared" si="61"/>
        <v>10</v>
      </c>
      <c r="AC73" s="25">
        <f t="shared" si="62"/>
        <v>220.00000000000003</v>
      </c>
      <c r="AD73" s="68" t="str">
        <f>LOOKUP(AC73,'Wire-Cables Ampacities'!$B$5:$B$35,'Wire-Cables Ampacities'!$C$5:$C$35)</f>
        <v>#2/0</v>
      </c>
      <c r="AE73" s="81">
        <f t="shared" si="63"/>
        <v>1.135</v>
      </c>
      <c r="AF73" s="56">
        <f t="shared" si="43"/>
        <v>3872.7811699999997</v>
      </c>
      <c r="AG73" s="72">
        <f t="shared" si="64"/>
        <v>40</v>
      </c>
      <c r="AH73" s="15">
        <f t="shared" si="64"/>
        <v>55</v>
      </c>
      <c r="AI73" s="64">
        <f t="shared" si="64"/>
        <v>20</v>
      </c>
      <c r="AJ73" s="56">
        <f t="shared" si="65"/>
        <v>159.80799999999996</v>
      </c>
      <c r="AK73" s="271">
        <f t="shared" si="66"/>
        <v>1.5980799999999997</v>
      </c>
      <c r="AL73" s="277">
        <f t="shared" si="67"/>
        <v>0.79903999999999986</v>
      </c>
      <c r="AM73" s="58">
        <v>1200</v>
      </c>
      <c r="AN73" s="25">
        <v>38</v>
      </c>
      <c r="AO73" s="3">
        <v>70</v>
      </c>
      <c r="AP73" s="3">
        <v>28</v>
      </c>
      <c r="AQ73" s="281">
        <f t="shared" si="68"/>
        <v>71.555555555555557</v>
      </c>
      <c r="AR73" s="287">
        <f t="shared" si="44"/>
        <v>2531.1145033333332</v>
      </c>
      <c r="AS73" s="93"/>
      <c r="AT73" s="4"/>
    </row>
    <row r="74" spans="1:46">
      <c r="A74" s="98">
        <f t="shared" si="45"/>
        <v>12</v>
      </c>
      <c r="B74" s="99">
        <v>2.4500000000000002</v>
      </c>
      <c r="C74" s="100">
        <f t="shared" si="46"/>
        <v>29.400000000000002</v>
      </c>
      <c r="D74" s="101">
        <v>250</v>
      </c>
      <c r="E74" s="100">
        <f t="shared" si="47"/>
        <v>208</v>
      </c>
      <c r="F74" s="102">
        <f t="shared" si="48"/>
        <v>36.084391824351613</v>
      </c>
      <c r="G74" s="103">
        <f t="shared" si="49"/>
        <v>12</v>
      </c>
      <c r="H74" s="296">
        <f t="shared" si="50"/>
        <v>17.093184000000001</v>
      </c>
      <c r="I74" s="104">
        <f t="shared" si="39"/>
        <v>29.606263151123411</v>
      </c>
      <c r="J74" s="180">
        <f t="shared" si="51"/>
        <v>20</v>
      </c>
      <c r="K74" s="104">
        <f t="shared" si="40"/>
        <v>249</v>
      </c>
      <c r="L74" s="263">
        <f t="shared" si="41"/>
        <v>13</v>
      </c>
      <c r="M74" s="106">
        <f t="shared" si="52"/>
        <v>30</v>
      </c>
      <c r="N74" s="1060">
        <f t="shared" si="42"/>
        <v>46.909709371657101</v>
      </c>
      <c r="O74" s="101">
        <f>LOOKUP(N74,'Circuit Breakers'!$B$5:$B$38,'Circuit Breakers'!$C$5:$C$38)</f>
        <v>50</v>
      </c>
      <c r="P74" s="262">
        <f t="shared" si="53"/>
        <v>30</v>
      </c>
      <c r="Q74" s="1057">
        <f t="shared" si="54"/>
        <v>323.7</v>
      </c>
      <c r="R74" s="1065">
        <f>LOOKUP(Q74,'Circuit Breakers'!$B$5:$B$38,'Circuit Breakers'!$C$5:$C$38)</f>
        <v>350</v>
      </c>
      <c r="S74" s="106">
        <f t="shared" si="55"/>
        <v>30</v>
      </c>
      <c r="T74" s="104">
        <f t="shared" si="56"/>
        <v>325</v>
      </c>
      <c r="U74" s="477">
        <f>LOOKUP(T74,'Circuit Breakers'!$B$5:$B$38,'Circuit Breakers'!$C$5:$C$38)</f>
        <v>350</v>
      </c>
      <c r="V74" s="106">
        <f t="shared" si="57"/>
        <v>15</v>
      </c>
      <c r="W74" s="104">
        <f t="shared" si="58"/>
        <v>41.49705059800435</v>
      </c>
      <c r="X74" s="101" t="str">
        <f>LOOKUP(W74,'Wire-Cables Ampacities'!$B$5:$B$35,'Wire-Cables Ampacities'!$C$5:$C$35)</f>
        <v>#8</v>
      </c>
      <c r="Y74" s="106">
        <f t="shared" si="59"/>
        <v>10</v>
      </c>
      <c r="Z74" s="104">
        <f t="shared" si="60"/>
        <v>273.90000000000003</v>
      </c>
      <c r="AA74" s="101" t="str">
        <f>LOOKUP(Z74,'Wire-Cables Ampacities'!$B$5:$B$35,'Wire-Cables Ampacities'!$C$5:$C$35)</f>
        <v>#4/0</v>
      </c>
      <c r="AB74" s="106">
        <f t="shared" si="61"/>
        <v>10</v>
      </c>
      <c r="AC74" s="104">
        <f t="shared" si="62"/>
        <v>275</v>
      </c>
      <c r="AD74" s="101" t="str">
        <f>LOOKUP(AC74,'Wire-Cables Ampacities'!$B$5:$B$35,'Wire-Cables Ampacities'!$C$5:$C$35)</f>
        <v>#4/0</v>
      </c>
      <c r="AE74" s="107">
        <f t="shared" si="63"/>
        <v>1.41</v>
      </c>
      <c r="AF74" s="105">
        <f t="shared" si="43"/>
        <v>4811.1202199999998</v>
      </c>
      <c r="AG74" s="98">
        <f t="shared" si="64"/>
        <v>40</v>
      </c>
      <c r="AH74" s="99">
        <f t="shared" si="64"/>
        <v>55</v>
      </c>
      <c r="AI74" s="106">
        <f t="shared" si="64"/>
        <v>20</v>
      </c>
      <c r="AJ74" s="105">
        <f t="shared" si="65"/>
        <v>198.52799999999999</v>
      </c>
      <c r="AK74" s="272">
        <f t="shared" si="66"/>
        <v>1.9852799999999999</v>
      </c>
      <c r="AL74" s="278">
        <f t="shared" si="67"/>
        <v>0.99263999999999997</v>
      </c>
      <c r="AM74" s="109">
        <v>1200</v>
      </c>
      <c r="AN74" s="104">
        <v>38</v>
      </c>
      <c r="AO74" s="110">
        <v>70</v>
      </c>
      <c r="AP74" s="110">
        <v>28</v>
      </c>
      <c r="AQ74" s="282">
        <f t="shared" si="68"/>
        <v>71.555555555555557</v>
      </c>
      <c r="AR74" s="288">
        <f t="shared" si="44"/>
        <v>3469.4535533333328</v>
      </c>
      <c r="AS74" s="93"/>
      <c r="AT74" s="4"/>
    </row>
    <row r="75" spans="1:46">
      <c r="A75" s="72">
        <f t="shared" si="45"/>
        <v>12</v>
      </c>
      <c r="B75" s="15">
        <v>2.4500000000000002</v>
      </c>
      <c r="C75" s="66">
        <f t="shared" si="46"/>
        <v>29.400000000000002</v>
      </c>
      <c r="D75" s="68">
        <v>300</v>
      </c>
      <c r="E75" s="66">
        <f t="shared" si="47"/>
        <v>208</v>
      </c>
      <c r="F75" s="45">
        <f t="shared" si="48"/>
        <v>43.023697944419233</v>
      </c>
      <c r="G75" s="94">
        <f t="shared" si="49"/>
        <v>12</v>
      </c>
      <c r="H75" s="295">
        <f t="shared" si="50"/>
        <v>17.093184000000001</v>
      </c>
      <c r="I75" s="25">
        <f t="shared" si="39"/>
        <v>29.606263151123411</v>
      </c>
      <c r="J75" s="52">
        <f t="shared" si="51"/>
        <v>20</v>
      </c>
      <c r="K75" s="25">
        <f t="shared" si="40"/>
        <v>298.8</v>
      </c>
      <c r="L75" s="157">
        <f t="shared" si="41"/>
        <v>15.5</v>
      </c>
      <c r="M75" s="64">
        <f t="shared" si="52"/>
        <v>30</v>
      </c>
      <c r="N75" s="838">
        <f t="shared" si="42"/>
        <v>55.930807327745008</v>
      </c>
      <c r="O75" s="68">
        <f>LOOKUP(N75,'Circuit Breakers'!$B$5:$B$38,'Circuit Breakers'!$C$5:$C$38)</f>
        <v>60</v>
      </c>
      <c r="P75" s="199">
        <f t="shared" si="53"/>
        <v>30</v>
      </c>
      <c r="Q75" s="1056">
        <f t="shared" si="54"/>
        <v>388.44000000000005</v>
      </c>
      <c r="R75" s="1064">
        <f>LOOKUP(Q75,'Circuit Breakers'!$B$5:$B$38,'Circuit Breakers'!$C$5:$C$38)</f>
        <v>400</v>
      </c>
      <c r="S75" s="64">
        <f t="shared" si="55"/>
        <v>30</v>
      </c>
      <c r="T75" s="25">
        <f t="shared" si="56"/>
        <v>390</v>
      </c>
      <c r="U75" s="158">
        <f>LOOKUP(T75,'Circuit Breakers'!$B$5:$B$38,'Circuit Breakers'!$C$5:$C$38)</f>
        <v>400</v>
      </c>
      <c r="V75" s="64">
        <f t="shared" si="57"/>
        <v>15</v>
      </c>
      <c r="W75" s="25">
        <f t="shared" si="58"/>
        <v>49.477252636082113</v>
      </c>
      <c r="X75" s="68" t="str">
        <f>LOOKUP(W75,'Wire-Cables Ampacities'!$B$5:$B$35,'Wire-Cables Ampacities'!$C$5:$C$35)</f>
        <v>#8</v>
      </c>
      <c r="Y75" s="64">
        <f t="shared" si="59"/>
        <v>10</v>
      </c>
      <c r="Z75" s="25">
        <f t="shared" si="60"/>
        <v>328.68000000000006</v>
      </c>
      <c r="AA75" s="68" t="str">
        <f>LOOKUP(Z75,'Wire-Cables Ampacities'!$B$5:$B$35,'Wire-Cables Ampacities'!$C$5:$C$35)</f>
        <v>250MCM</v>
      </c>
      <c r="AB75" s="64">
        <f t="shared" si="61"/>
        <v>10</v>
      </c>
      <c r="AC75" s="25">
        <f t="shared" si="62"/>
        <v>330</v>
      </c>
      <c r="AD75" s="68" t="str">
        <f>LOOKUP(AC75,'Wire-Cables Ampacities'!$B$5:$B$35,'Wire-Cables Ampacities'!$C$5:$C$35)</f>
        <v>250MCM</v>
      </c>
      <c r="AE75" s="81">
        <f t="shared" si="63"/>
        <v>1.6850000000000003</v>
      </c>
      <c r="AF75" s="56">
        <f t="shared" si="43"/>
        <v>5749.4592700000012</v>
      </c>
      <c r="AG75" s="72">
        <f t="shared" si="64"/>
        <v>40</v>
      </c>
      <c r="AH75" s="15">
        <f t="shared" si="64"/>
        <v>55</v>
      </c>
      <c r="AI75" s="64">
        <f t="shared" si="64"/>
        <v>20</v>
      </c>
      <c r="AJ75" s="56">
        <f t="shared" si="65"/>
        <v>237.24799999999999</v>
      </c>
      <c r="AK75" s="271">
        <f t="shared" si="66"/>
        <v>2.3724799999999999</v>
      </c>
      <c r="AL75" s="277">
        <f t="shared" si="67"/>
        <v>1.18624</v>
      </c>
      <c r="AM75" s="58">
        <v>1200</v>
      </c>
      <c r="AN75" s="25">
        <v>38</v>
      </c>
      <c r="AO75" s="3">
        <v>70</v>
      </c>
      <c r="AP75" s="3">
        <v>28</v>
      </c>
      <c r="AQ75" s="281">
        <f t="shared" si="68"/>
        <v>71.555555555555557</v>
      </c>
      <c r="AR75" s="287">
        <f t="shared" ref="AR75:AR86" si="69">AF75+(1.25*AQ75*(AG75-AH75))</f>
        <v>4407.7926033333342</v>
      </c>
      <c r="AS75" s="93"/>
      <c r="AT75" s="4"/>
    </row>
    <row r="76" spans="1:46">
      <c r="A76" s="72">
        <f t="shared" si="45"/>
        <v>12</v>
      </c>
      <c r="B76" s="15">
        <v>2.4500000000000002</v>
      </c>
      <c r="C76" s="66">
        <f t="shared" si="46"/>
        <v>29.400000000000002</v>
      </c>
      <c r="D76" s="68">
        <v>350</v>
      </c>
      <c r="E76" s="66">
        <f t="shared" si="47"/>
        <v>240</v>
      </c>
      <c r="F76" s="45">
        <f t="shared" si="48"/>
        <v>43.301270189221938</v>
      </c>
      <c r="G76" s="94">
        <f t="shared" si="49"/>
        <v>12</v>
      </c>
      <c r="H76" s="295">
        <f t="shared" si="50"/>
        <v>17.093184000000001</v>
      </c>
      <c r="I76" s="25">
        <f t="shared" si="39"/>
        <v>29.606263151123411</v>
      </c>
      <c r="J76" s="52">
        <f t="shared" si="51"/>
        <v>20</v>
      </c>
      <c r="K76" s="25">
        <f t="shared" si="40"/>
        <v>348.59999999999997</v>
      </c>
      <c r="L76" s="157">
        <f t="shared" si="41"/>
        <v>18</v>
      </c>
      <c r="M76" s="64">
        <f t="shared" si="52"/>
        <v>30</v>
      </c>
      <c r="N76" s="838">
        <f t="shared" si="42"/>
        <v>56.291651245988518</v>
      </c>
      <c r="O76" s="68">
        <f>LOOKUP(N76,'Circuit Breakers'!$B$5:$B$38,'Circuit Breakers'!$C$5:$C$38)</f>
        <v>60</v>
      </c>
      <c r="P76" s="199">
        <f t="shared" si="53"/>
        <v>30</v>
      </c>
      <c r="Q76" s="1056">
        <f t="shared" si="54"/>
        <v>453.17999999999995</v>
      </c>
      <c r="R76" s="1064">
        <f>LOOKUP(Q76,'Circuit Breakers'!$B$5:$B$38,'Circuit Breakers'!$C$5:$C$38)</f>
        <v>500</v>
      </c>
      <c r="S76" s="64">
        <f t="shared" si="55"/>
        <v>30</v>
      </c>
      <c r="T76" s="25">
        <f t="shared" si="56"/>
        <v>455</v>
      </c>
      <c r="U76" s="158">
        <f>LOOKUP(T76,'Circuit Breakers'!$B$5:$B$38,'Circuit Breakers'!$C$5:$C$38)</f>
        <v>500</v>
      </c>
      <c r="V76" s="64">
        <f t="shared" si="57"/>
        <v>15</v>
      </c>
      <c r="W76" s="25">
        <f t="shared" si="58"/>
        <v>49.796460717605228</v>
      </c>
      <c r="X76" s="68" t="str">
        <f>LOOKUP(W76,'Wire-Cables Ampacities'!$B$5:$B$35,'Wire-Cables Ampacities'!$C$5:$C$35)</f>
        <v>#8</v>
      </c>
      <c r="Y76" s="64">
        <f t="shared" si="59"/>
        <v>10</v>
      </c>
      <c r="Z76" s="25">
        <f t="shared" si="60"/>
        <v>383.46</v>
      </c>
      <c r="AA76" s="68" t="str">
        <f>LOOKUP(Z76,'Wire-Cables Ampacities'!$B$5:$B$35,'Wire-Cables Ampacities'!$C$5:$C$35)</f>
        <v>#2/0 2x</v>
      </c>
      <c r="AB76" s="64">
        <f t="shared" si="61"/>
        <v>10</v>
      </c>
      <c r="AC76" s="25">
        <f t="shared" si="62"/>
        <v>385.00000000000006</v>
      </c>
      <c r="AD76" s="68" t="str">
        <f>LOOKUP(AC76,'Wire-Cables Ampacities'!$B$5:$B$35,'Wire-Cables Ampacities'!$C$5:$C$35)</f>
        <v>#2/0 2x</v>
      </c>
      <c r="AE76" s="81">
        <f t="shared" si="63"/>
        <v>1.9600000000000002</v>
      </c>
      <c r="AF76" s="56">
        <f t="shared" si="43"/>
        <v>6687.7983200000008</v>
      </c>
      <c r="AG76" s="72">
        <f t="shared" si="64"/>
        <v>40</v>
      </c>
      <c r="AH76" s="15">
        <f t="shared" si="64"/>
        <v>55</v>
      </c>
      <c r="AI76" s="64">
        <f t="shared" si="64"/>
        <v>20</v>
      </c>
      <c r="AJ76" s="56">
        <f t="shared" si="65"/>
        <v>275.96800000000002</v>
      </c>
      <c r="AK76" s="271">
        <f t="shared" si="66"/>
        <v>2.7596800000000004</v>
      </c>
      <c r="AL76" s="277">
        <f t="shared" si="67"/>
        <v>1.3798400000000002</v>
      </c>
      <c r="AM76" s="58">
        <v>1200</v>
      </c>
      <c r="AN76" s="25">
        <v>38</v>
      </c>
      <c r="AO76" s="3">
        <v>70</v>
      </c>
      <c r="AP76" s="3">
        <v>28</v>
      </c>
      <c r="AQ76" s="281">
        <f t="shared" si="68"/>
        <v>71.555555555555557</v>
      </c>
      <c r="AR76" s="287">
        <f t="shared" si="69"/>
        <v>5346.1316533333338</v>
      </c>
      <c r="AS76" s="93"/>
      <c r="AT76" s="4"/>
    </row>
    <row r="77" spans="1:46">
      <c r="A77" s="98">
        <f t="shared" si="45"/>
        <v>12</v>
      </c>
      <c r="B77" s="99">
        <v>2.4500000000000002</v>
      </c>
      <c r="C77" s="100">
        <f t="shared" si="46"/>
        <v>29.400000000000002</v>
      </c>
      <c r="D77" s="101">
        <v>400</v>
      </c>
      <c r="E77" s="100">
        <f t="shared" si="47"/>
        <v>480</v>
      </c>
      <c r="F77" s="102">
        <f t="shared" si="48"/>
        <v>25.259074277046128</v>
      </c>
      <c r="G77" s="103">
        <f t="shared" si="49"/>
        <v>12</v>
      </c>
      <c r="H77" s="296">
        <f t="shared" si="50"/>
        <v>17.093184000000001</v>
      </c>
      <c r="I77" s="104">
        <f t="shared" si="39"/>
        <v>29.606263151123411</v>
      </c>
      <c r="J77" s="180">
        <f t="shared" si="51"/>
        <v>20</v>
      </c>
      <c r="K77" s="104">
        <f t="shared" si="40"/>
        <v>398.4</v>
      </c>
      <c r="L77" s="263">
        <f t="shared" si="41"/>
        <v>21</v>
      </c>
      <c r="M77" s="106">
        <f t="shared" si="52"/>
        <v>30</v>
      </c>
      <c r="N77" s="1060">
        <f t="shared" si="42"/>
        <v>32.836796560159968</v>
      </c>
      <c r="O77" s="101">
        <f>LOOKUP(N77,'Circuit Breakers'!$B$5:$B$38,'Circuit Breakers'!$C$5:$C$38)</f>
        <v>40</v>
      </c>
      <c r="P77" s="262">
        <f t="shared" si="53"/>
        <v>30</v>
      </c>
      <c r="Q77" s="1057">
        <f t="shared" si="54"/>
        <v>517.91999999999996</v>
      </c>
      <c r="R77" s="1065">
        <f>LOOKUP(Q77,'Circuit Breakers'!$B$5:$B$38,'Circuit Breakers'!$C$5:$C$38)</f>
        <v>600</v>
      </c>
      <c r="S77" s="106">
        <f t="shared" si="55"/>
        <v>30</v>
      </c>
      <c r="T77" s="104">
        <f t="shared" si="56"/>
        <v>520</v>
      </c>
      <c r="U77" s="477">
        <f>LOOKUP(T77,'Circuit Breakers'!$B$5:$B$38,'Circuit Breakers'!$C$5:$C$38)</f>
        <v>600</v>
      </c>
      <c r="V77" s="106">
        <f t="shared" si="57"/>
        <v>15</v>
      </c>
      <c r="W77" s="104">
        <f t="shared" si="58"/>
        <v>29.047935418603046</v>
      </c>
      <c r="X77" s="101" t="str">
        <f>LOOKUP(W77,'Wire-Cables Ampacities'!$B$5:$B$35,'Wire-Cables Ampacities'!$C$5:$C$35)</f>
        <v>#10</v>
      </c>
      <c r="Y77" s="106">
        <f t="shared" si="59"/>
        <v>10</v>
      </c>
      <c r="Z77" s="104">
        <f t="shared" si="60"/>
        <v>438.24</v>
      </c>
      <c r="AA77" s="101" t="str">
        <f>LOOKUP(Z77,'Wire-Cables Ampacities'!$B$5:$B$35,'Wire-Cables Ampacities'!$C$5:$C$35)</f>
        <v>#3/0 2x</v>
      </c>
      <c r="AB77" s="106">
        <f t="shared" si="61"/>
        <v>10</v>
      </c>
      <c r="AC77" s="104">
        <f t="shared" si="62"/>
        <v>440.00000000000006</v>
      </c>
      <c r="AD77" s="101" t="str">
        <f>LOOKUP(AC77,'Wire-Cables Ampacities'!$B$5:$B$35,'Wire-Cables Ampacities'!$C$5:$C$35)</f>
        <v>#3/0 2x</v>
      </c>
      <c r="AE77" s="107">
        <f t="shared" si="63"/>
        <v>2.27</v>
      </c>
      <c r="AF77" s="105">
        <f t="shared" si="43"/>
        <v>7745.5623399999995</v>
      </c>
      <c r="AG77" s="98">
        <f t="shared" si="64"/>
        <v>40</v>
      </c>
      <c r="AH77" s="99">
        <f t="shared" si="64"/>
        <v>55</v>
      </c>
      <c r="AI77" s="106">
        <f t="shared" si="64"/>
        <v>20</v>
      </c>
      <c r="AJ77" s="105">
        <f t="shared" si="65"/>
        <v>319.61599999999993</v>
      </c>
      <c r="AK77" s="272">
        <f t="shared" si="66"/>
        <v>3.1961599999999994</v>
      </c>
      <c r="AL77" s="278">
        <f t="shared" si="67"/>
        <v>1.5980799999999997</v>
      </c>
      <c r="AM77" s="109">
        <v>1200</v>
      </c>
      <c r="AN77" s="104">
        <v>38</v>
      </c>
      <c r="AO77" s="110">
        <v>70</v>
      </c>
      <c r="AP77" s="110">
        <v>28</v>
      </c>
      <c r="AQ77" s="282">
        <f t="shared" si="68"/>
        <v>71.555555555555557</v>
      </c>
      <c r="AR77" s="288">
        <f t="shared" si="69"/>
        <v>6403.8956733333325</v>
      </c>
      <c r="AS77" s="93"/>
      <c r="AT77" s="4"/>
    </row>
    <row r="78" spans="1:46">
      <c r="A78" s="72">
        <f t="shared" si="45"/>
        <v>12</v>
      </c>
      <c r="B78" s="15">
        <v>2.4500000000000002</v>
      </c>
      <c r="C78" s="66">
        <f t="shared" si="46"/>
        <v>29.400000000000002</v>
      </c>
      <c r="D78" s="68">
        <v>450</v>
      </c>
      <c r="E78" s="66">
        <f t="shared" si="47"/>
        <v>480</v>
      </c>
      <c r="F78" s="45">
        <f t="shared" si="48"/>
        <v>27.664700398669567</v>
      </c>
      <c r="G78" s="94">
        <f t="shared" si="49"/>
        <v>12</v>
      </c>
      <c r="H78" s="295">
        <f t="shared" si="50"/>
        <v>17.093184000000001</v>
      </c>
      <c r="I78" s="25">
        <f t="shared" si="39"/>
        <v>29.606263151123411</v>
      </c>
      <c r="J78" s="52">
        <f t="shared" si="51"/>
        <v>20</v>
      </c>
      <c r="K78" s="25">
        <f t="shared" si="40"/>
        <v>448.2</v>
      </c>
      <c r="L78" s="157">
        <f t="shared" si="41"/>
        <v>23</v>
      </c>
      <c r="M78" s="64">
        <f t="shared" si="52"/>
        <v>30</v>
      </c>
      <c r="N78" s="838">
        <f t="shared" si="42"/>
        <v>35.964110518270438</v>
      </c>
      <c r="O78" s="68">
        <f>LOOKUP(N78,'Circuit Breakers'!$B$5:$B$38,'Circuit Breakers'!$C$5:$C$38)</f>
        <v>40</v>
      </c>
      <c r="P78" s="199">
        <f t="shared" si="53"/>
        <v>30</v>
      </c>
      <c r="Q78" s="1056">
        <f t="shared" si="54"/>
        <v>582.66</v>
      </c>
      <c r="R78" s="1064">
        <f>LOOKUP(Q78,'Circuit Breakers'!$B$5:$B$38,'Circuit Breakers'!$C$5:$C$38)</f>
        <v>600</v>
      </c>
      <c r="S78" s="64">
        <f t="shared" si="55"/>
        <v>30</v>
      </c>
      <c r="T78" s="25">
        <f t="shared" si="56"/>
        <v>585</v>
      </c>
      <c r="U78" s="158">
        <f>LOOKUP(T78,'Circuit Breakers'!$B$5:$B$38,'Circuit Breakers'!$C$5:$C$38)</f>
        <v>600</v>
      </c>
      <c r="V78" s="64">
        <f t="shared" si="57"/>
        <v>15</v>
      </c>
      <c r="W78" s="25">
        <f t="shared" si="58"/>
        <v>31.814405458469999</v>
      </c>
      <c r="X78" s="68" t="str">
        <f>LOOKUP(W78,'Wire-Cables Ampacities'!$B$5:$B$35,'Wire-Cables Ampacities'!$C$5:$C$35)</f>
        <v>#10</v>
      </c>
      <c r="Y78" s="64">
        <f t="shared" si="59"/>
        <v>10</v>
      </c>
      <c r="Z78" s="25">
        <f t="shared" si="60"/>
        <v>493.02000000000004</v>
      </c>
      <c r="AA78" s="68" t="str">
        <f>LOOKUP(Z78,'Wire-Cables Ampacities'!$B$5:$B$35,'Wire-Cables Ampacities'!$C$5:$C$35)</f>
        <v>#3/0 2x</v>
      </c>
      <c r="AB78" s="64">
        <f t="shared" si="61"/>
        <v>10</v>
      </c>
      <c r="AC78" s="25">
        <f t="shared" si="62"/>
        <v>495.00000000000006</v>
      </c>
      <c r="AD78" s="68" t="str">
        <f>LOOKUP(AC78,'Wire-Cables Ampacities'!$B$5:$B$35,'Wire-Cables Ampacities'!$C$5:$C$35)</f>
        <v>#3/0 2x</v>
      </c>
      <c r="AE78" s="81">
        <f t="shared" si="63"/>
        <v>2.5099999999999998</v>
      </c>
      <c r="AF78" s="56">
        <f t="shared" si="43"/>
        <v>8564.4764199999991</v>
      </c>
      <c r="AG78" s="72">
        <f t="shared" si="64"/>
        <v>40</v>
      </c>
      <c r="AH78" s="15">
        <f t="shared" si="64"/>
        <v>55</v>
      </c>
      <c r="AI78" s="64">
        <f t="shared" si="64"/>
        <v>20</v>
      </c>
      <c r="AJ78" s="56">
        <f t="shared" si="65"/>
        <v>353.4079999999999</v>
      </c>
      <c r="AK78" s="271">
        <f t="shared" si="66"/>
        <v>3.534079999999999</v>
      </c>
      <c r="AL78" s="277">
        <f t="shared" si="67"/>
        <v>1.7670399999999995</v>
      </c>
      <c r="AM78" s="58">
        <v>1200</v>
      </c>
      <c r="AN78" s="25">
        <v>38</v>
      </c>
      <c r="AO78" s="3">
        <v>70</v>
      </c>
      <c r="AP78" s="3">
        <v>28</v>
      </c>
      <c r="AQ78" s="281">
        <f t="shared" si="68"/>
        <v>71.555555555555557</v>
      </c>
      <c r="AR78" s="287">
        <f t="shared" si="69"/>
        <v>7222.8097533333321</v>
      </c>
      <c r="AS78" s="93"/>
      <c r="AT78" s="4"/>
    </row>
    <row r="79" spans="1:46">
      <c r="A79" s="72">
        <f t="shared" si="45"/>
        <v>12</v>
      </c>
      <c r="B79" s="15">
        <v>2.4500000000000002</v>
      </c>
      <c r="C79" s="66">
        <f t="shared" si="46"/>
        <v>29.400000000000002</v>
      </c>
      <c r="D79" s="68">
        <v>500</v>
      </c>
      <c r="E79" s="66">
        <f t="shared" si="47"/>
        <v>480</v>
      </c>
      <c r="F79" s="45">
        <f t="shared" si="48"/>
        <v>31.273139581104729</v>
      </c>
      <c r="G79" s="94">
        <f t="shared" si="49"/>
        <v>12</v>
      </c>
      <c r="H79" s="295">
        <f t="shared" si="50"/>
        <v>17.093184000000001</v>
      </c>
      <c r="I79" s="25">
        <f t="shared" si="39"/>
        <v>29.606263151123411</v>
      </c>
      <c r="J79" s="52">
        <f t="shared" si="51"/>
        <v>20</v>
      </c>
      <c r="K79" s="25">
        <f t="shared" si="40"/>
        <v>498</v>
      </c>
      <c r="L79" s="157">
        <f t="shared" si="41"/>
        <v>26</v>
      </c>
      <c r="M79" s="64">
        <f t="shared" si="52"/>
        <v>30</v>
      </c>
      <c r="N79" s="838">
        <f t="shared" si="42"/>
        <v>40.655081455436147</v>
      </c>
      <c r="O79" s="68">
        <f>LOOKUP(N79,'Circuit Breakers'!$B$5:$B$38,'Circuit Breakers'!$C$5:$C$38)</f>
        <v>50</v>
      </c>
      <c r="P79" s="199">
        <f t="shared" si="53"/>
        <v>30</v>
      </c>
      <c r="Q79" s="1056">
        <f t="shared" si="54"/>
        <v>647.4</v>
      </c>
      <c r="R79" s="1064">
        <f>LOOKUP(Q79,'Circuit Breakers'!$B$5:$B$38,'Circuit Breakers'!$C$5:$C$38)</f>
        <v>700</v>
      </c>
      <c r="S79" s="64">
        <f t="shared" si="55"/>
        <v>30</v>
      </c>
      <c r="T79" s="25">
        <f t="shared" si="56"/>
        <v>650</v>
      </c>
      <c r="U79" s="158">
        <f>LOOKUP(T79,'Circuit Breakers'!$B$5:$B$38,'Circuit Breakers'!$C$5:$C$38)</f>
        <v>700</v>
      </c>
      <c r="V79" s="64">
        <f t="shared" si="57"/>
        <v>15</v>
      </c>
      <c r="W79" s="25">
        <f t="shared" si="58"/>
        <v>35.964110518270438</v>
      </c>
      <c r="X79" s="68" t="str">
        <f>LOOKUP(W79,'Wire-Cables Ampacities'!$B$5:$B$35,'Wire-Cables Ampacities'!$C$5:$C$35)</f>
        <v>#10</v>
      </c>
      <c r="Y79" s="64">
        <f t="shared" si="59"/>
        <v>10</v>
      </c>
      <c r="Z79" s="25">
        <f t="shared" si="60"/>
        <v>547.80000000000007</v>
      </c>
      <c r="AA79" s="68" t="str">
        <f>LOOKUP(Z79,'Wire-Cables Ampacities'!$B$5:$B$35,'Wire-Cables Ampacities'!$C$5:$C$35)</f>
        <v>#4/0 2x</v>
      </c>
      <c r="AB79" s="64">
        <f t="shared" si="61"/>
        <v>10</v>
      </c>
      <c r="AC79" s="25">
        <f t="shared" si="62"/>
        <v>550</v>
      </c>
      <c r="AD79" s="68" t="str">
        <f>LOOKUP(AC79,'Wire-Cables Ampacities'!$B$5:$B$35,'Wire-Cables Ampacities'!$C$5:$C$35)</f>
        <v>#4/0 2x</v>
      </c>
      <c r="AE79" s="81">
        <f t="shared" si="63"/>
        <v>2.82</v>
      </c>
      <c r="AF79" s="56">
        <f t="shared" si="43"/>
        <v>9622.2404399999996</v>
      </c>
      <c r="AG79" s="72">
        <f t="shared" si="64"/>
        <v>40</v>
      </c>
      <c r="AH79" s="15">
        <f t="shared" si="64"/>
        <v>55</v>
      </c>
      <c r="AI79" s="64">
        <f t="shared" si="64"/>
        <v>20</v>
      </c>
      <c r="AJ79" s="56">
        <f t="shared" si="65"/>
        <v>397.05599999999998</v>
      </c>
      <c r="AK79" s="271">
        <f t="shared" si="66"/>
        <v>3.9705599999999999</v>
      </c>
      <c r="AL79" s="277">
        <f t="shared" si="67"/>
        <v>1.9852799999999999</v>
      </c>
      <c r="AM79" s="58">
        <v>1200</v>
      </c>
      <c r="AN79" s="25">
        <v>38</v>
      </c>
      <c r="AO79" s="3">
        <v>70</v>
      </c>
      <c r="AP79" s="3">
        <v>28</v>
      </c>
      <c r="AQ79" s="281">
        <f t="shared" si="68"/>
        <v>71.555555555555557</v>
      </c>
      <c r="AR79" s="287">
        <f t="shared" si="69"/>
        <v>8280.5737733333335</v>
      </c>
      <c r="AS79" s="93"/>
      <c r="AT79" s="4"/>
    </row>
    <row r="80" spans="1:46">
      <c r="A80" s="98">
        <f t="shared" si="45"/>
        <v>12</v>
      </c>
      <c r="B80" s="99">
        <v>2.4500000000000002</v>
      </c>
      <c r="C80" s="100">
        <f t="shared" si="46"/>
        <v>29.400000000000002</v>
      </c>
      <c r="D80" s="101">
        <v>600</v>
      </c>
      <c r="E80" s="100">
        <f t="shared" si="47"/>
        <v>480</v>
      </c>
      <c r="F80" s="102">
        <f t="shared" si="48"/>
        <v>37.287204885163327</v>
      </c>
      <c r="G80" s="103">
        <f t="shared" si="49"/>
        <v>12</v>
      </c>
      <c r="H80" s="296">
        <f t="shared" si="50"/>
        <v>17.093184000000001</v>
      </c>
      <c r="I80" s="104">
        <f t="shared" si="39"/>
        <v>29.606263151123411</v>
      </c>
      <c r="J80" s="180">
        <f t="shared" si="51"/>
        <v>20</v>
      </c>
      <c r="K80" s="104">
        <f t="shared" si="40"/>
        <v>597.6</v>
      </c>
      <c r="L80" s="263">
        <f t="shared" si="41"/>
        <v>31</v>
      </c>
      <c r="M80" s="106">
        <f t="shared" si="52"/>
        <v>30</v>
      </c>
      <c r="N80" s="1060">
        <f t="shared" si="42"/>
        <v>48.473366350712325</v>
      </c>
      <c r="O80" s="101">
        <f>LOOKUP(N80,'Circuit Breakers'!$B$5:$B$38,'Circuit Breakers'!$C$5:$C$38)</f>
        <v>50</v>
      </c>
      <c r="P80" s="262">
        <f t="shared" si="53"/>
        <v>30</v>
      </c>
      <c r="Q80" s="1057">
        <f t="shared" si="54"/>
        <v>776.88000000000011</v>
      </c>
      <c r="R80" s="1065">
        <f>LOOKUP(Q80,'Circuit Breakers'!$B$5:$B$38,'Circuit Breakers'!$C$5:$C$38)</f>
        <v>800</v>
      </c>
      <c r="S80" s="106">
        <f t="shared" si="55"/>
        <v>30</v>
      </c>
      <c r="T80" s="104">
        <f t="shared" si="56"/>
        <v>780</v>
      </c>
      <c r="U80" s="477">
        <f>LOOKUP(T80,'Circuit Breakers'!$B$5:$B$38,'Circuit Breakers'!$C$5:$C$38)</f>
        <v>800</v>
      </c>
      <c r="V80" s="106">
        <f t="shared" si="57"/>
        <v>15</v>
      </c>
      <c r="W80" s="104">
        <f t="shared" si="58"/>
        <v>42.880285617937822</v>
      </c>
      <c r="X80" s="101" t="str">
        <f>LOOKUP(W80,'Wire-Cables Ampacities'!$B$5:$B$35,'Wire-Cables Ampacities'!$C$5:$C$35)</f>
        <v>#8</v>
      </c>
      <c r="Y80" s="106">
        <f t="shared" si="59"/>
        <v>10</v>
      </c>
      <c r="Z80" s="104">
        <f t="shared" si="60"/>
        <v>657.36000000000013</v>
      </c>
      <c r="AA80" s="101" t="str">
        <f>LOOKUP(Z80,'Wire-Cables Ampacities'!$B$5:$B$35,'Wire-Cables Ampacities'!$C$5:$C$35)</f>
        <v>300MCM 2x</v>
      </c>
      <c r="AB80" s="106">
        <f t="shared" si="61"/>
        <v>10</v>
      </c>
      <c r="AC80" s="104">
        <f t="shared" si="62"/>
        <v>660</v>
      </c>
      <c r="AD80" s="101" t="str">
        <f>LOOKUP(AC80,'Wire-Cables Ampacities'!$B$5:$B$35,'Wire-Cables Ampacities'!$C$5:$C$35)</f>
        <v>300MCM 2x</v>
      </c>
      <c r="AE80" s="107">
        <f t="shared" si="63"/>
        <v>3.3700000000000006</v>
      </c>
      <c r="AF80" s="105">
        <f t="shared" si="43"/>
        <v>11498.918540000002</v>
      </c>
      <c r="AG80" s="98">
        <f t="shared" si="64"/>
        <v>40</v>
      </c>
      <c r="AH80" s="99">
        <f t="shared" si="64"/>
        <v>55</v>
      </c>
      <c r="AI80" s="106">
        <f t="shared" si="64"/>
        <v>20</v>
      </c>
      <c r="AJ80" s="105">
        <f t="shared" si="65"/>
        <v>474.49599999999998</v>
      </c>
      <c r="AK80" s="272">
        <f t="shared" si="66"/>
        <v>4.7449599999999998</v>
      </c>
      <c r="AL80" s="278">
        <f t="shared" si="67"/>
        <v>2.3724799999999999</v>
      </c>
      <c r="AM80" s="109">
        <v>1200</v>
      </c>
      <c r="AN80" s="104">
        <v>38</v>
      </c>
      <c r="AO80" s="110">
        <v>70</v>
      </c>
      <c r="AP80" s="110">
        <v>28</v>
      </c>
      <c r="AQ80" s="282">
        <f t="shared" si="68"/>
        <v>71.555555555555557</v>
      </c>
      <c r="AR80" s="288">
        <f t="shared" si="69"/>
        <v>10157.251873333336</v>
      </c>
      <c r="AS80" s="93"/>
      <c r="AT80" s="4"/>
    </row>
    <row r="81" spans="1:46">
      <c r="A81" s="72">
        <f t="shared" si="45"/>
        <v>12</v>
      </c>
      <c r="B81" s="15">
        <v>2.4500000000000002</v>
      </c>
      <c r="C81" s="66">
        <f t="shared" si="46"/>
        <v>29.400000000000002</v>
      </c>
      <c r="D81" s="68">
        <v>700</v>
      </c>
      <c r="E81" s="66">
        <f t="shared" si="47"/>
        <v>480</v>
      </c>
      <c r="F81" s="45">
        <f t="shared" si="48"/>
        <v>43.301270189221938</v>
      </c>
      <c r="G81" s="94">
        <f t="shared" si="49"/>
        <v>12</v>
      </c>
      <c r="H81" s="295">
        <f t="shared" si="50"/>
        <v>17.093184000000001</v>
      </c>
      <c r="I81" s="25">
        <f t="shared" si="39"/>
        <v>29.606263151123411</v>
      </c>
      <c r="J81" s="52">
        <f t="shared" si="51"/>
        <v>20</v>
      </c>
      <c r="K81" s="25">
        <f t="shared" si="40"/>
        <v>697.19999999999993</v>
      </c>
      <c r="L81" s="157">
        <f t="shared" si="41"/>
        <v>36</v>
      </c>
      <c r="M81" s="64">
        <f t="shared" si="52"/>
        <v>30</v>
      </c>
      <c r="N81" s="838">
        <f t="shared" si="42"/>
        <v>56.291651245988518</v>
      </c>
      <c r="O81" s="68">
        <f>LOOKUP(N81,'Circuit Breakers'!$B$5:$B$38,'Circuit Breakers'!$C$5:$C$38)</f>
        <v>60</v>
      </c>
      <c r="P81" s="199">
        <f t="shared" si="53"/>
        <v>30</v>
      </c>
      <c r="Q81" s="1056">
        <f t="shared" si="54"/>
        <v>906.3599999999999</v>
      </c>
      <c r="R81" s="1064">
        <f>LOOKUP(Q81,'Circuit Breakers'!$B$5:$B$38,'Circuit Breakers'!$C$5:$C$38)</f>
        <v>1000</v>
      </c>
      <c r="S81" s="64">
        <f t="shared" si="55"/>
        <v>30</v>
      </c>
      <c r="T81" s="25">
        <f t="shared" si="56"/>
        <v>910</v>
      </c>
      <c r="U81" s="158">
        <f>LOOKUP(T81,'Circuit Breakers'!$B$5:$B$38,'Circuit Breakers'!$C$5:$C$38)</f>
        <v>1000</v>
      </c>
      <c r="V81" s="64">
        <f t="shared" si="57"/>
        <v>15</v>
      </c>
      <c r="W81" s="25">
        <f t="shared" si="58"/>
        <v>49.796460717605228</v>
      </c>
      <c r="X81" s="68" t="str">
        <f>LOOKUP(W81,'Wire-Cables Ampacities'!$B$5:$B$35,'Wire-Cables Ampacities'!$C$5:$C$35)</f>
        <v>#8</v>
      </c>
      <c r="Y81" s="64">
        <f t="shared" si="59"/>
        <v>10</v>
      </c>
      <c r="Z81" s="25">
        <f t="shared" si="60"/>
        <v>766.92</v>
      </c>
      <c r="AA81" s="68" t="str">
        <f>LOOKUP(Z81,'Wire-Cables Ampacities'!$B$5:$B$35,'Wire-Cables Ampacities'!$C$5:$C$35)</f>
        <v>Buss</v>
      </c>
      <c r="AB81" s="64">
        <f t="shared" si="61"/>
        <v>10</v>
      </c>
      <c r="AC81" s="25">
        <f t="shared" si="62"/>
        <v>770.00000000000011</v>
      </c>
      <c r="AD81" s="68" t="str">
        <f>LOOKUP(AC81,'Wire-Cables Ampacities'!$B$5:$B$35,'Wire-Cables Ampacities'!$C$5:$C$35)</f>
        <v>Buss</v>
      </c>
      <c r="AE81" s="81">
        <f t="shared" si="63"/>
        <v>3.9200000000000004</v>
      </c>
      <c r="AF81" s="56">
        <f t="shared" si="43"/>
        <v>13375.596640000002</v>
      </c>
      <c r="AG81" s="72">
        <f t="shared" si="64"/>
        <v>40</v>
      </c>
      <c r="AH81" s="15">
        <f t="shared" si="64"/>
        <v>55</v>
      </c>
      <c r="AI81" s="64">
        <f t="shared" si="64"/>
        <v>20</v>
      </c>
      <c r="AJ81" s="56">
        <f t="shared" si="65"/>
        <v>551.93600000000004</v>
      </c>
      <c r="AK81" s="271">
        <f t="shared" si="66"/>
        <v>5.5193600000000007</v>
      </c>
      <c r="AL81" s="277">
        <f t="shared" si="67"/>
        <v>2.7596800000000004</v>
      </c>
      <c r="AM81" s="58">
        <v>1200</v>
      </c>
      <c r="AN81" s="25">
        <v>38</v>
      </c>
      <c r="AO81" s="3">
        <v>70</v>
      </c>
      <c r="AP81" s="3">
        <v>28</v>
      </c>
      <c r="AQ81" s="281">
        <f t="shared" si="68"/>
        <v>71.555555555555557</v>
      </c>
      <c r="AR81" s="287">
        <f t="shared" si="69"/>
        <v>12033.929973333336</v>
      </c>
      <c r="AS81" s="93"/>
      <c r="AT81" s="4"/>
    </row>
    <row r="82" spans="1:46">
      <c r="A82" s="72">
        <f t="shared" si="45"/>
        <v>12</v>
      </c>
      <c r="B82" s="15">
        <v>2.4500000000000002</v>
      </c>
      <c r="C82" s="66">
        <f t="shared" si="46"/>
        <v>29.400000000000002</v>
      </c>
      <c r="D82" s="68">
        <v>800</v>
      </c>
      <c r="E82" s="66">
        <f t="shared" si="47"/>
        <v>480</v>
      </c>
      <c r="F82" s="45">
        <f t="shared" si="48"/>
        <v>49.315335493280543</v>
      </c>
      <c r="G82" s="94">
        <f t="shared" si="49"/>
        <v>12</v>
      </c>
      <c r="H82" s="295">
        <f t="shared" si="50"/>
        <v>17.093184000000001</v>
      </c>
      <c r="I82" s="25">
        <f t="shared" si="39"/>
        <v>29.606263151123411</v>
      </c>
      <c r="J82" s="52">
        <f t="shared" si="51"/>
        <v>20</v>
      </c>
      <c r="K82" s="25">
        <f t="shared" si="40"/>
        <v>796.8</v>
      </c>
      <c r="L82" s="157">
        <f t="shared" si="41"/>
        <v>41</v>
      </c>
      <c r="M82" s="64">
        <f t="shared" si="52"/>
        <v>30</v>
      </c>
      <c r="N82" s="838">
        <f t="shared" si="42"/>
        <v>64.109936141264711</v>
      </c>
      <c r="O82" s="68">
        <f>LOOKUP(N82,'Circuit Breakers'!$B$5:$B$38,'Circuit Breakers'!$C$5:$C$38)</f>
        <v>70</v>
      </c>
      <c r="P82" s="199">
        <f t="shared" si="53"/>
        <v>30</v>
      </c>
      <c r="Q82" s="1056">
        <f t="shared" si="54"/>
        <v>1035.8399999999999</v>
      </c>
      <c r="R82" s="1064">
        <f>LOOKUP(Q82,'Circuit Breakers'!$B$5:$B$38,'Circuit Breakers'!$C$5:$C$38)</f>
        <v>1200</v>
      </c>
      <c r="S82" s="64">
        <f t="shared" si="55"/>
        <v>30</v>
      </c>
      <c r="T82" s="25">
        <f t="shared" si="56"/>
        <v>1040</v>
      </c>
      <c r="U82" s="158">
        <f>LOOKUP(T82,'Circuit Breakers'!$B$5:$B$38,'Circuit Breakers'!$C$5:$C$38)</f>
        <v>1200</v>
      </c>
      <c r="V82" s="64">
        <f t="shared" si="57"/>
        <v>15</v>
      </c>
      <c r="W82" s="25">
        <f t="shared" si="58"/>
        <v>56.71263581727262</v>
      </c>
      <c r="X82" s="68" t="str">
        <f>LOOKUP(W82,'Wire-Cables Ampacities'!$B$5:$B$35,'Wire-Cables Ampacities'!$C$5:$C$35)</f>
        <v>#8</v>
      </c>
      <c r="Y82" s="64">
        <f t="shared" si="59"/>
        <v>10</v>
      </c>
      <c r="Z82" s="25">
        <f t="shared" si="60"/>
        <v>876.48</v>
      </c>
      <c r="AA82" s="68" t="str">
        <f>LOOKUP(Z82,'Wire-Cables Ampacities'!$B$5:$B$35,'Wire-Cables Ampacities'!$C$5:$C$35)</f>
        <v>Buss</v>
      </c>
      <c r="AB82" s="64">
        <f t="shared" si="61"/>
        <v>10</v>
      </c>
      <c r="AC82" s="25">
        <f t="shared" si="62"/>
        <v>880.00000000000011</v>
      </c>
      <c r="AD82" s="68" t="str">
        <f>LOOKUP(AC82,'Wire-Cables Ampacities'!$B$5:$B$35,'Wire-Cables Ampacities'!$C$5:$C$35)</f>
        <v>Buss</v>
      </c>
      <c r="AE82" s="81">
        <f t="shared" si="63"/>
        <v>4.47</v>
      </c>
      <c r="AF82" s="56">
        <f t="shared" si="43"/>
        <v>15252.274739999999</v>
      </c>
      <c r="AG82" s="72">
        <f t="shared" si="64"/>
        <v>40</v>
      </c>
      <c r="AH82" s="15">
        <f t="shared" si="64"/>
        <v>55</v>
      </c>
      <c r="AI82" s="64">
        <f t="shared" si="64"/>
        <v>20</v>
      </c>
      <c r="AJ82" s="56">
        <f t="shared" si="65"/>
        <v>629.37599999999998</v>
      </c>
      <c r="AK82" s="271">
        <f t="shared" si="66"/>
        <v>6.2937599999999998</v>
      </c>
      <c r="AL82" s="277">
        <f t="shared" si="67"/>
        <v>3.1468799999999999</v>
      </c>
      <c r="AM82" s="58">
        <v>1200</v>
      </c>
      <c r="AN82" s="25">
        <v>38</v>
      </c>
      <c r="AO82" s="3">
        <v>70</v>
      </c>
      <c r="AP82" s="3">
        <v>28</v>
      </c>
      <c r="AQ82" s="281">
        <f t="shared" si="68"/>
        <v>71.555555555555557</v>
      </c>
      <c r="AR82" s="287">
        <f t="shared" si="69"/>
        <v>13910.608073333333</v>
      </c>
      <c r="AS82" s="93"/>
      <c r="AT82" s="4"/>
    </row>
    <row r="83" spans="1:46">
      <c r="A83" s="98">
        <f t="shared" si="45"/>
        <v>12</v>
      </c>
      <c r="B83" s="99">
        <v>2.4500000000000002</v>
      </c>
      <c r="C83" s="100">
        <f t="shared" si="46"/>
        <v>29.400000000000002</v>
      </c>
      <c r="D83" s="101">
        <v>900</v>
      </c>
      <c r="E83" s="100">
        <f t="shared" si="47"/>
        <v>480</v>
      </c>
      <c r="F83" s="102">
        <f t="shared" si="48"/>
        <v>55.329400797339133</v>
      </c>
      <c r="G83" s="103">
        <f t="shared" si="49"/>
        <v>12</v>
      </c>
      <c r="H83" s="296">
        <f t="shared" si="50"/>
        <v>17.093184000000001</v>
      </c>
      <c r="I83" s="104">
        <f t="shared" si="39"/>
        <v>29.606263151123411</v>
      </c>
      <c r="J83" s="180">
        <f t="shared" si="51"/>
        <v>20</v>
      </c>
      <c r="K83" s="104">
        <f t="shared" si="40"/>
        <v>896.4</v>
      </c>
      <c r="L83" s="263">
        <f t="shared" si="41"/>
        <v>46</v>
      </c>
      <c r="M83" s="106">
        <f t="shared" si="52"/>
        <v>30</v>
      </c>
      <c r="N83" s="1060">
        <f t="shared" si="42"/>
        <v>71.928221036540876</v>
      </c>
      <c r="O83" s="101">
        <f>LOOKUP(N83,'Circuit Breakers'!$B$5:$B$38,'Circuit Breakers'!$C$5:$C$38)</f>
        <v>80</v>
      </c>
      <c r="P83" s="262">
        <f t="shared" si="53"/>
        <v>30</v>
      </c>
      <c r="Q83" s="1057">
        <f t="shared" si="54"/>
        <v>1165.32</v>
      </c>
      <c r="R83" s="1065">
        <f>LOOKUP(Q83,'Circuit Breakers'!$B$5:$B$38,'Circuit Breakers'!$C$5:$C$38)</f>
        <v>1200</v>
      </c>
      <c r="S83" s="106">
        <f t="shared" si="55"/>
        <v>30</v>
      </c>
      <c r="T83" s="104">
        <f t="shared" si="56"/>
        <v>1170</v>
      </c>
      <c r="U83" s="477">
        <f>LOOKUP(T83,'Circuit Breakers'!$B$5:$B$38,'Circuit Breakers'!$C$5:$C$38)</f>
        <v>1200</v>
      </c>
      <c r="V83" s="106">
        <f t="shared" si="57"/>
        <v>15</v>
      </c>
      <c r="W83" s="104">
        <f t="shared" si="58"/>
        <v>63.628810916939997</v>
      </c>
      <c r="X83" s="101" t="str">
        <f>LOOKUP(W83,'Wire-Cables Ampacities'!$B$5:$B$35,'Wire-Cables Ampacities'!$C$5:$C$35)</f>
        <v>#6</v>
      </c>
      <c r="Y83" s="106">
        <f t="shared" si="59"/>
        <v>10</v>
      </c>
      <c r="Z83" s="104">
        <f t="shared" si="60"/>
        <v>986.04000000000008</v>
      </c>
      <c r="AA83" s="101" t="str">
        <f>LOOKUP(Z83,'Wire-Cables Ampacities'!$B$5:$B$35,'Wire-Cables Ampacities'!$C$5:$C$35)</f>
        <v>Buss</v>
      </c>
      <c r="AB83" s="106">
        <f t="shared" si="61"/>
        <v>10</v>
      </c>
      <c r="AC83" s="104">
        <f t="shared" si="62"/>
        <v>990.00000000000011</v>
      </c>
      <c r="AD83" s="101" t="str">
        <f>LOOKUP(AC83,'Wire-Cables Ampacities'!$B$5:$B$35,'Wire-Cables Ampacities'!$C$5:$C$35)</f>
        <v>Buss</v>
      </c>
      <c r="AE83" s="107">
        <f t="shared" si="63"/>
        <v>5.0199999999999996</v>
      </c>
      <c r="AF83" s="105">
        <f t="shared" si="43"/>
        <v>17128.952839999998</v>
      </c>
      <c r="AG83" s="98">
        <f t="shared" si="64"/>
        <v>40</v>
      </c>
      <c r="AH83" s="99">
        <f t="shared" si="64"/>
        <v>55</v>
      </c>
      <c r="AI83" s="106">
        <f t="shared" si="64"/>
        <v>20</v>
      </c>
      <c r="AJ83" s="105">
        <f t="shared" si="65"/>
        <v>706.8159999999998</v>
      </c>
      <c r="AK83" s="272">
        <f t="shared" si="66"/>
        <v>7.068159999999998</v>
      </c>
      <c r="AL83" s="278">
        <f t="shared" si="67"/>
        <v>3.534079999999999</v>
      </c>
      <c r="AM83" s="109">
        <v>1200</v>
      </c>
      <c r="AN83" s="104">
        <v>38</v>
      </c>
      <c r="AO83" s="110">
        <v>70</v>
      </c>
      <c r="AP83" s="110">
        <v>28</v>
      </c>
      <c r="AQ83" s="282">
        <f t="shared" si="68"/>
        <v>71.555555555555557</v>
      </c>
      <c r="AR83" s="288">
        <f t="shared" si="69"/>
        <v>15787.286173333332</v>
      </c>
      <c r="AS83" s="93"/>
      <c r="AT83" s="4"/>
    </row>
    <row r="84" spans="1:46">
      <c r="A84" s="72">
        <f t="shared" si="45"/>
        <v>12</v>
      </c>
      <c r="B84" s="794">
        <v>2.4500000000000002</v>
      </c>
      <c r="C84" s="66">
        <f t="shared" si="46"/>
        <v>29.400000000000002</v>
      </c>
      <c r="D84" s="68">
        <v>1000</v>
      </c>
      <c r="E84" s="66">
        <f t="shared" si="47"/>
        <v>480</v>
      </c>
      <c r="F84" s="45">
        <f t="shared" si="48"/>
        <v>62.546279162209458</v>
      </c>
      <c r="G84" s="94">
        <f t="shared" si="49"/>
        <v>12</v>
      </c>
      <c r="H84" s="295">
        <f t="shared" si="50"/>
        <v>17.093184000000001</v>
      </c>
      <c r="I84" s="25">
        <f t="shared" si="39"/>
        <v>29.606263151123411</v>
      </c>
      <c r="J84" s="52">
        <f t="shared" si="51"/>
        <v>20</v>
      </c>
      <c r="K84" s="25">
        <f t="shared" si="40"/>
        <v>996</v>
      </c>
      <c r="L84" s="157">
        <f t="shared" si="41"/>
        <v>52</v>
      </c>
      <c r="M84" s="64">
        <f t="shared" si="52"/>
        <v>30</v>
      </c>
      <c r="N84" s="838">
        <f t="shared" si="42"/>
        <v>81.310162910872293</v>
      </c>
      <c r="O84" s="68">
        <f>LOOKUP(N84,'Circuit Breakers'!$B$5:$B$38,'Circuit Breakers'!$C$5:$C$38)</f>
        <v>90</v>
      </c>
      <c r="P84" s="199">
        <f t="shared" si="53"/>
        <v>30</v>
      </c>
      <c r="Q84" s="1056">
        <f t="shared" si="54"/>
        <v>1294.8</v>
      </c>
      <c r="R84" s="1064" t="str">
        <f>LOOKUP(Q84,'Circuit Breakers'!$B$5:$B$38,'Circuit Breakers'!$C$5:$C$38)</f>
        <v>Check</v>
      </c>
      <c r="S84" s="64">
        <f t="shared" si="55"/>
        <v>30</v>
      </c>
      <c r="T84" s="25">
        <f t="shared" si="56"/>
        <v>1300</v>
      </c>
      <c r="U84" s="158" t="str">
        <f>LOOKUP(T84,'Circuit Breakers'!$B$5:$B$38,'Circuit Breakers'!$C$5:$C$38)</f>
        <v>Check</v>
      </c>
      <c r="V84" s="64">
        <f t="shared" si="57"/>
        <v>15</v>
      </c>
      <c r="W84" s="25">
        <f t="shared" si="58"/>
        <v>71.928221036540876</v>
      </c>
      <c r="X84" s="68" t="str">
        <f>LOOKUP(W84,'Wire-Cables Ampacities'!$B$5:$B$35,'Wire-Cables Ampacities'!$C$5:$C$35)</f>
        <v>#6</v>
      </c>
      <c r="Y84" s="64">
        <f t="shared" si="59"/>
        <v>10</v>
      </c>
      <c r="Z84" s="25">
        <f t="shared" si="60"/>
        <v>1095.6000000000001</v>
      </c>
      <c r="AA84" s="68" t="str">
        <f>LOOKUP(Z84,'Wire-Cables Ampacities'!$B$5:$B$35,'Wire-Cables Ampacities'!$C$5:$C$35)</f>
        <v>Buss</v>
      </c>
      <c r="AB84" s="64">
        <f t="shared" si="61"/>
        <v>10</v>
      </c>
      <c r="AC84" s="25">
        <f t="shared" si="62"/>
        <v>1100</v>
      </c>
      <c r="AD84" s="68" t="str">
        <f>LOOKUP(AC84,'Wire-Cables Ampacities'!$B$5:$B$35,'Wire-Cables Ampacities'!$C$5:$C$35)</f>
        <v>Buss</v>
      </c>
      <c r="AE84" s="81">
        <f t="shared" si="63"/>
        <v>5.64</v>
      </c>
      <c r="AF84" s="56">
        <f t="shared" si="43"/>
        <v>19244.480879999999</v>
      </c>
      <c r="AG84" s="72">
        <f t="shared" si="64"/>
        <v>40</v>
      </c>
      <c r="AH84" s="15">
        <f t="shared" si="64"/>
        <v>55</v>
      </c>
      <c r="AI84" s="64">
        <f t="shared" si="64"/>
        <v>20</v>
      </c>
      <c r="AJ84" s="56">
        <f t="shared" si="65"/>
        <v>794.11199999999997</v>
      </c>
      <c r="AK84" s="271">
        <f t="shared" si="66"/>
        <v>7.9411199999999997</v>
      </c>
      <c r="AL84" s="277">
        <f t="shared" si="67"/>
        <v>3.9705599999999999</v>
      </c>
      <c r="AM84" s="58">
        <v>1200</v>
      </c>
      <c r="AN84" s="25">
        <v>38</v>
      </c>
      <c r="AO84" s="3">
        <v>70</v>
      </c>
      <c r="AP84" s="3">
        <v>28</v>
      </c>
      <c r="AQ84" s="281">
        <f t="shared" si="68"/>
        <v>71.555555555555557</v>
      </c>
      <c r="AR84" s="287">
        <f t="shared" si="69"/>
        <v>17902.814213333331</v>
      </c>
      <c r="AS84" s="93"/>
      <c r="AT84" s="4"/>
    </row>
    <row r="85" spans="1:46">
      <c r="A85" s="72">
        <f t="shared" si="45"/>
        <v>12</v>
      </c>
      <c r="B85" s="15">
        <v>2.4500000000000002</v>
      </c>
      <c r="C85" s="66">
        <f t="shared" si="46"/>
        <v>29.400000000000002</v>
      </c>
      <c r="D85" s="68">
        <v>1100</v>
      </c>
      <c r="E85" s="66">
        <f t="shared" si="47"/>
        <v>480</v>
      </c>
      <c r="F85" s="45">
        <f t="shared" si="48"/>
        <v>68.560344466268063</v>
      </c>
      <c r="G85" s="94">
        <f t="shared" si="49"/>
        <v>12</v>
      </c>
      <c r="H85" s="295">
        <f t="shared" si="50"/>
        <v>17.093184000000001</v>
      </c>
      <c r="I85" s="25">
        <f t="shared" si="39"/>
        <v>29.606263151123411</v>
      </c>
      <c r="J85" s="52">
        <f t="shared" si="51"/>
        <v>20</v>
      </c>
      <c r="K85" s="25">
        <f t="shared" si="40"/>
        <v>1095.5999999999999</v>
      </c>
      <c r="L85" s="157">
        <f t="shared" si="41"/>
        <v>57</v>
      </c>
      <c r="M85" s="64">
        <f t="shared" si="52"/>
        <v>30</v>
      </c>
      <c r="N85" s="838">
        <f t="shared" si="42"/>
        <v>89.128447806148486</v>
      </c>
      <c r="O85" s="68">
        <f>LOOKUP(N85,'Circuit Breakers'!$B$5:$B$38,'Circuit Breakers'!$C$5:$C$38)</f>
        <v>90</v>
      </c>
      <c r="P85" s="199">
        <f t="shared" si="53"/>
        <v>30</v>
      </c>
      <c r="Q85" s="1056">
        <f t="shared" si="54"/>
        <v>1424.28</v>
      </c>
      <c r="R85" s="1064" t="str">
        <f>LOOKUP(Q85,'Circuit Breakers'!$B$5:$B$38,'Circuit Breakers'!$C$5:$C$38)</f>
        <v>Check</v>
      </c>
      <c r="S85" s="64">
        <f t="shared" si="55"/>
        <v>30</v>
      </c>
      <c r="T85" s="25">
        <f t="shared" si="56"/>
        <v>1430</v>
      </c>
      <c r="U85" s="158" t="str">
        <f>LOOKUP(T85,'Circuit Breakers'!$B$5:$B$38,'Circuit Breakers'!$C$5:$C$38)</f>
        <v>Check</v>
      </c>
      <c r="V85" s="64">
        <f t="shared" si="57"/>
        <v>15</v>
      </c>
      <c r="W85" s="25">
        <f t="shared" si="58"/>
        <v>78.84439613620826</v>
      </c>
      <c r="X85" s="68" t="str">
        <f>LOOKUP(W85,'Wire-Cables Ampacities'!$B$5:$B$35,'Wire-Cables Ampacities'!$C$5:$C$35)</f>
        <v>#6</v>
      </c>
      <c r="Y85" s="64">
        <f t="shared" si="59"/>
        <v>10</v>
      </c>
      <c r="Z85" s="25">
        <f t="shared" si="60"/>
        <v>1205.1600000000001</v>
      </c>
      <c r="AA85" s="68" t="str">
        <f>LOOKUP(Z85,'Wire-Cables Ampacities'!$B$5:$B$35,'Wire-Cables Ampacities'!$C$5:$C$35)</f>
        <v>Buss</v>
      </c>
      <c r="AB85" s="64">
        <f t="shared" si="61"/>
        <v>10</v>
      </c>
      <c r="AC85" s="25">
        <f t="shared" si="62"/>
        <v>1210</v>
      </c>
      <c r="AD85" s="68" t="str">
        <f>LOOKUP(AC85,'Wire-Cables Ampacities'!$B$5:$B$35,'Wire-Cables Ampacities'!$C$5:$C$35)</f>
        <v>Buss</v>
      </c>
      <c r="AE85" s="81">
        <f t="shared" si="63"/>
        <v>6.19</v>
      </c>
      <c r="AF85" s="56">
        <f t="shared" si="43"/>
        <v>21121.15898</v>
      </c>
      <c r="AG85" s="72">
        <f t="shared" si="64"/>
        <v>40</v>
      </c>
      <c r="AH85" s="15">
        <f t="shared" si="64"/>
        <v>55</v>
      </c>
      <c r="AI85" s="64">
        <f t="shared" si="64"/>
        <v>20</v>
      </c>
      <c r="AJ85" s="56">
        <f t="shared" si="65"/>
        <v>871.55200000000002</v>
      </c>
      <c r="AK85" s="271">
        <f t="shared" si="66"/>
        <v>8.7155199999999997</v>
      </c>
      <c r="AL85" s="277">
        <f t="shared" si="67"/>
        <v>4.3577599999999999</v>
      </c>
      <c r="AM85" s="58">
        <v>1200</v>
      </c>
      <c r="AN85" s="25">
        <v>38</v>
      </c>
      <c r="AO85" s="3">
        <v>70</v>
      </c>
      <c r="AP85" s="3">
        <v>28</v>
      </c>
      <c r="AQ85" s="281">
        <f t="shared" si="68"/>
        <v>71.555555555555557</v>
      </c>
      <c r="AR85" s="287">
        <f t="shared" si="69"/>
        <v>19779.492313333332</v>
      </c>
      <c r="AS85" s="93"/>
      <c r="AT85" s="4"/>
    </row>
    <row r="86" spans="1:46" ht="13.5" thickBot="1">
      <c r="A86" s="253">
        <f t="shared" si="45"/>
        <v>12</v>
      </c>
      <c r="B86" s="254">
        <v>2.4500000000000002</v>
      </c>
      <c r="C86" s="258">
        <f t="shared" si="46"/>
        <v>29.400000000000002</v>
      </c>
      <c r="D86" s="259">
        <v>1200</v>
      </c>
      <c r="E86" s="258">
        <f t="shared" si="47"/>
        <v>480</v>
      </c>
      <c r="F86" s="260">
        <f t="shared" si="48"/>
        <v>74.574409770326653</v>
      </c>
      <c r="G86" s="261">
        <f t="shared" si="49"/>
        <v>12</v>
      </c>
      <c r="H86" s="297">
        <f t="shared" si="50"/>
        <v>17.093184000000001</v>
      </c>
      <c r="I86" s="264">
        <f t="shared" si="39"/>
        <v>29.606263151123411</v>
      </c>
      <c r="J86" s="265">
        <f t="shared" si="51"/>
        <v>20</v>
      </c>
      <c r="K86" s="264">
        <f t="shared" si="40"/>
        <v>1195.2</v>
      </c>
      <c r="L86" s="266">
        <f t="shared" si="41"/>
        <v>62</v>
      </c>
      <c r="M86" s="267">
        <f t="shared" si="52"/>
        <v>30</v>
      </c>
      <c r="N86" s="1061">
        <f t="shared" si="42"/>
        <v>96.946732701424651</v>
      </c>
      <c r="O86" s="259">
        <f>LOOKUP(N86,'Circuit Breakers'!$B$5:$B$38,'Circuit Breakers'!$C$5:$C$38)</f>
        <v>100</v>
      </c>
      <c r="P86" s="333">
        <f t="shared" si="53"/>
        <v>30</v>
      </c>
      <c r="Q86" s="1058">
        <f t="shared" si="54"/>
        <v>1553.7600000000002</v>
      </c>
      <c r="R86" s="1066" t="str">
        <f>LOOKUP(Q86,'Circuit Breakers'!$B$5:$B$38,'Circuit Breakers'!$C$5:$C$38)</f>
        <v>Check</v>
      </c>
      <c r="S86" s="267">
        <f t="shared" si="55"/>
        <v>30</v>
      </c>
      <c r="T86" s="264">
        <f t="shared" si="56"/>
        <v>1560</v>
      </c>
      <c r="U86" s="478" t="str">
        <f>LOOKUP(T86,'Circuit Breakers'!$B$5:$B$38,'Circuit Breakers'!$C$5:$C$38)</f>
        <v>Check</v>
      </c>
      <c r="V86" s="267">
        <f t="shared" si="57"/>
        <v>15</v>
      </c>
      <c r="W86" s="264">
        <f t="shared" si="58"/>
        <v>85.760571235875645</v>
      </c>
      <c r="X86" s="259" t="str">
        <f>LOOKUP(W86,'Wire-Cables Ampacities'!$B$5:$B$35,'Wire-Cables Ampacities'!$C$5:$C$35)</f>
        <v>#4</v>
      </c>
      <c r="Y86" s="267">
        <f t="shared" si="59"/>
        <v>10</v>
      </c>
      <c r="Z86" s="264">
        <f t="shared" si="60"/>
        <v>1314.7200000000003</v>
      </c>
      <c r="AA86" s="259" t="str">
        <f>LOOKUP(Z86,'Wire-Cables Ampacities'!$B$5:$B$35,'Wire-Cables Ampacities'!$C$5:$C$35)</f>
        <v>Buss</v>
      </c>
      <c r="AB86" s="267">
        <f t="shared" si="61"/>
        <v>10</v>
      </c>
      <c r="AC86" s="264">
        <f t="shared" si="62"/>
        <v>1320</v>
      </c>
      <c r="AD86" s="259" t="str">
        <f>LOOKUP(AC86,'Wire-Cables Ampacities'!$B$5:$B$35,'Wire-Cables Ampacities'!$C$5:$C$35)</f>
        <v>Buss</v>
      </c>
      <c r="AE86" s="270">
        <f t="shared" si="63"/>
        <v>6.7400000000000011</v>
      </c>
      <c r="AF86" s="268">
        <f t="shared" si="43"/>
        <v>22997.837080000005</v>
      </c>
      <c r="AG86" s="253">
        <f t="shared" si="64"/>
        <v>40</v>
      </c>
      <c r="AH86" s="254">
        <f t="shared" si="64"/>
        <v>55</v>
      </c>
      <c r="AI86" s="267">
        <f t="shared" si="64"/>
        <v>20</v>
      </c>
      <c r="AJ86" s="268">
        <f t="shared" si="65"/>
        <v>948.99199999999996</v>
      </c>
      <c r="AK86" s="273">
        <f t="shared" si="66"/>
        <v>9.4899199999999997</v>
      </c>
      <c r="AL86" s="279">
        <f t="shared" si="67"/>
        <v>4.7449599999999998</v>
      </c>
      <c r="AM86" s="275">
        <v>1200</v>
      </c>
      <c r="AN86" s="264">
        <v>38</v>
      </c>
      <c r="AO86" s="276">
        <v>70</v>
      </c>
      <c r="AP86" s="276">
        <v>28</v>
      </c>
      <c r="AQ86" s="283">
        <f t="shared" si="68"/>
        <v>71.555555555555557</v>
      </c>
      <c r="AR86" s="289">
        <f t="shared" si="69"/>
        <v>21656.170413333337</v>
      </c>
      <c r="AS86" s="93"/>
      <c r="AT86" s="4"/>
    </row>
    <row r="88" spans="1:46" ht="13.5" thickBot="1"/>
    <row r="89" spans="1:46" ht="16.5" thickBot="1">
      <c r="A89" s="95" t="s">
        <v>77</v>
      </c>
      <c r="B89" s="96"/>
      <c r="C89" s="44"/>
      <c r="D89" s="86"/>
      <c r="E89" s="86"/>
      <c r="F89" s="86"/>
      <c r="G89" s="87"/>
      <c r="H89" s="290" t="s">
        <v>102</v>
      </c>
      <c r="I89" s="42"/>
      <c r="J89" s="51"/>
      <c r="K89" s="42"/>
      <c r="L89" s="40"/>
      <c r="M89" s="290" t="s">
        <v>83</v>
      </c>
      <c r="N89" s="42"/>
      <c r="O89" s="327"/>
      <c r="P89" s="44"/>
      <c r="Q89" s="44"/>
      <c r="R89" s="327"/>
      <c r="S89" s="44"/>
      <c r="T89" s="44"/>
      <c r="U89" s="185"/>
      <c r="V89" s="184" t="s">
        <v>84</v>
      </c>
      <c r="W89" s="44"/>
      <c r="X89" s="327"/>
      <c r="Y89" s="44"/>
      <c r="Z89" s="44"/>
      <c r="AA89" s="327"/>
      <c r="AB89" s="44"/>
      <c r="AC89" s="44"/>
      <c r="AD89" s="185"/>
      <c r="AE89" s="291" t="s">
        <v>62</v>
      </c>
      <c r="AF89" s="80"/>
      <c r="AG89" s="290" t="s">
        <v>90</v>
      </c>
      <c r="AH89" s="40"/>
      <c r="AI89" s="292" t="s">
        <v>87</v>
      </c>
      <c r="AJ89" s="90"/>
      <c r="AK89" s="90"/>
      <c r="AL89" s="49"/>
      <c r="AM89" s="189" t="s">
        <v>88</v>
      </c>
      <c r="AN89" s="90"/>
      <c r="AO89" s="90"/>
      <c r="AP89" s="90"/>
      <c r="AQ89" s="90"/>
      <c r="AR89" s="6"/>
      <c r="AS89" s="7"/>
    </row>
    <row r="90" spans="1:46" ht="13.5" thickBot="1">
      <c r="A90" s="97" t="s">
        <v>23</v>
      </c>
      <c r="B90" s="48"/>
      <c r="C90" s="189" t="s">
        <v>76</v>
      </c>
      <c r="D90" s="190"/>
      <c r="E90" s="189" t="s">
        <v>57</v>
      </c>
      <c r="F90" s="191"/>
      <c r="G90" s="192"/>
      <c r="H90" s="76"/>
      <c r="I90" s="90"/>
      <c r="J90" s="175"/>
      <c r="K90" s="90"/>
      <c r="L90" s="49"/>
      <c r="M90" s="47" t="s">
        <v>81</v>
      </c>
      <c r="N90" s="96"/>
      <c r="O90" s="192"/>
      <c r="P90" s="47" t="s">
        <v>82</v>
      </c>
      <c r="Q90" s="96"/>
      <c r="R90" s="192"/>
      <c r="S90" s="47" t="s">
        <v>80</v>
      </c>
      <c r="T90" s="96"/>
      <c r="U90" s="192"/>
      <c r="V90" s="76" t="s">
        <v>78</v>
      </c>
      <c r="W90" s="96"/>
      <c r="X90" s="190"/>
      <c r="Y90" s="76" t="s">
        <v>79</v>
      </c>
      <c r="Z90" s="96"/>
      <c r="AA90" s="190"/>
      <c r="AB90" s="47" t="s">
        <v>80</v>
      </c>
      <c r="AC90" s="96"/>
      <c r="AD90" s="190"/>
      <c r="AE90" s="176"/>
      <c r="AF90" s="177"/>
      <c r="AG90" s="205" t="s">
        <v>94</v>
      </c>
      <c r="AH90" s="179" t="s">
        <v>95</v>
      </c>
      <c r="AI90" s="178"/>
      <c r="AJ90" s="198"/>
      <c r="AK90" s="206" t="s">
        <v>66</v>
      </c>
      <c r="AL90" s="198" t="s">
        <v>66</v>
      </c>
      <c r="AM90" s="47" t="s">
        <v>68</v>
      </c>
      <c r="AN90" s="90"/>
      <c r="AO90" s="90"/>
      <c r="AP90" s="90"/>
      <c r="AQ90" s="49"/>
      <c r="AR90" s="80"/>
      <c r="AS90" s="7"/>
    </row>
    <row r="91" spans="1:46">
      <c r="A91" s="65">
        <v>36</v>
      </c>
      <c r="B91" s="67" t="s">
        <v>92</v>
      </c>
      <c r="C91" s="65" t="s">
        <v>93</v>
      </c>
      <c r="D91" s="67" t="s">
        <v>16</v>
      </c>
      <c r="E91" s="65" t="s">
        <v>54</v>
      </c>
      <c r="F91" s="18" t="s">
        <v>58</v>
      </c>
      <c r="G91" s="1234" t="s">
        <v>55</v>
      </c>
      <c r="H91" s="65" t="s">
        <v>50</v>
      </c>
      <c r="I91" s="18" t="s">
        <v>51</v>
      </c>
      <c r="J91" s="310" t="s">
        <v>56</v>
      </c>
      <c r="K91" s="18" t="s">
        <v>28</v>
      </c>
      <c r="L91" s="156" t="s">
        <v>29</v>
      </c>
      <c r="M91" s="1077">
        <v>30</v>
      </c>
      <c r="N91" s="1078" t="s">
        <v>60</v>
      </c>
      <c r="O91" s="1079" t="s">
        <v>361</v>
      </c>
      <c r="P91" s="1077">
        <v>30</v>
      </c>
      <c r="Q91" s="1078" t="s">
        <v>60</v>
      </c>
      <c r="R91" s="1079" t="s">
        <v>361</v>
      </c>
      <c r="S91" s="1077">
        <v>30</v>
      </c>
      <c r="T91" s="1078"/>
      <c r="U91" s="1079" t="s">
        <v>60</v>
      </c>
      <c r="V91" s="171">
        <v>15</v>
      </c>
      <c r="W91" s="139" t="s">
        <v>60</v>
      </c>
      <c r="X91" s="1173" t="s">
        <v>85</v>
      </c>
      <c r="Y91" s="171">
        <v>10</v>
      </c>
      <c r="Z91" s="139" t="s">
        <v>60</v>
      </c>
      <c r="AA91" s="1173" t="s">
        <v>85</v>
      </c>
      <c r="AB91" s="171">
        <v>10</v>
      </c>
      <c r="AC91" s="139" t="s">
        <v>60</v>
      </c>
      <c r="AD91" s="1131" t="s">
        <v>85</v>
      </c>
      <c r="AE91" s="77"/>
      <c r="AF91" s="204"/>
      <c r="AG91" s="70">
        <v>40</v>
      </c>
      <c r="AH91" s="19">
        <v>55</v>
      </c>
      <c r="AI91" s="337">
        <v>20</v>
      </c>
      <c r="AJ91" s="71" t="s">
        <v>64</v>
      </c>
      <c r="AK91" s="79">
        <v>100</v>
      </c>
      <c r="AL91" s="19">
        <v>200</v>
      </c>
      <c r="AM91" s="284" t="s">
        <v>91</v>
      </c>
      <c r="AN91" s="18" t="s">
        <v>69</v>
      </c>
      <c r="AO91" s="18" t="s">
        <v>70</v>
      </c>
      <c r="AP91" s="18" t="s">
        <v>71</v>
      </c>
      <c r="AQ91" s="19" t="s">
        <v>73</v>
      </c>
      <c r="AR91" s="285" t="s">
        <v>64</v>
      </c>
      <c r="AS91" s="92"/>
    </row>
    <row r="92" spans="1:46" ht="13.5" thickBot="1">
      <c r="A92" s="187" t="s">
        <v>24</v>
      </c>
      <c r="B92" s="188" t="s">
        <v>53</v>
      </c>
      <c r="C92" s="306" t="s">
        <v>53</v>
      </c>
      <c r="D92" s="255" t="s">
        <v>22</v>
      </c>
      <c r="E92" s="187" t="s">
        <v>53</v>
      </c>
      <c r="F92" s="16" t="s">
        <v>22</v>
      </c>
      <c r="G92" s="311">
        <v>12</v>
      </c>
      <c r="H92" s="187" t="s">
        <v>42</v>
      </c>
      <c r="I92" s="16" t="s">
        <v>42</v>
      </c>
      <c r="J92" s="298">
        <v>20</v>
      </c>
      <c r="K92" s="16" t="s">
        <v>43</v>
      </c>
      <c r="L92" s="195" t="s">
        <v>44</v>
      </c>
      <c r="M92" s="298" t="s">
        <v>59</v>
      </c>
      <c r="N92" s="1055" t="s">
        <v>22</v>
      </c>
      <c r="O92" s="188" t="s">
        <v>22</v>
      </c>
      <c r="P92" s="298" t="s">
        <v>59</v>
      </c>
      <c r="Q92" s="1055" t="s">
        <v>22</v>
      </c>
      <c r="R92" s="188" t="s">
        <v>22</v>
      </c>
      <c r="S92" s="299" t="s">
        <v>59</v>
      </c>
      <c r="T92" s="1055" t="s">
        <v>22</v>
      </c>
      <c r="U92" s="188" t="s">
        <v>22</v>
      </c>
      <c r="V92" s="298" t="s">
        <v>59</v>
      </c>
      <c r="W92" s="16" t="s">
        <v>22</v>
      </c>
      <c r="X92" s="188" t="s">
        <v>86</v>
      </c>
      <c r="Y92" s="298" t="s">
        <v>59</v>
      </c>
      <c r="Z92" s="16" t="s">
        <v>22</v>
      </c>
      <c r="AA92" s="188" t="s">
        <v>86</v>
      </c>
      <c r="AB92" s="298" t="s">
        <v>59</v>
      </c>
      <c r="AC92" s="16" t="s">
        <v>22</v>
      </c>
      <c r="AD92" s="188" t="s">
        <v>86</v>
      </c>
      <c r="AE92" s="75" t="s">
        <v>63</v>
      </c>
      <c r="AF92" s="202" t="s">
        <v>67</v>
      </c>
      <c r="AG92" s="75" t="s">
        <v>61</v>
      </c>
      <c r="AH92" s="17" t="s">
        <v>61</v>
      </c>
      <c r="AI92" s="298" t="s">
        <v>59</v>
      </c>
      <c r="AJ92" s="17" t="s">
        <v>65</v>
      </c>
      <c r="AK92" s="207" t="s">
        <v>89</v>
      </c>
      <c r="AL92" s="17" t="s">
        <v>89</v>
      </c>
      <c r="AM92" s="75" t="s">
        <v>72</v>
      </c>
      <c r="AN92" s="16" t="s">
        <v>74</v>
      </c>
      <c r="AO92" s="16" t="s">
        <v>74</v>
      </c>
      <c r="AP92" s="16" t="s">
        <v>74</v>
      </c>
      <c r="AQ92" s="17" t="s">
        <v>75</v>
      </c>
      <c r="AR92" s="200" t="s">
        <v>67</v>
      </c>
      <c r="AS92" s="46"/>
    </row>
    <row r="93" spans="1:46">
      <c r="A93" s="70"/>
      <c r="B93" s="19"/>
      <c r="C93" s="65"/>
      <c r="D93" s="67"/>
      <c r="E93" s="65"/>
      <c r="F93" s="18"/>
      <c r="G93" s="19"/>
      <c r="H93" s="65"/>
      <c r="I93" s="18"/>
      <c r="J93" s="73"/>
      <c r="K93" s="18"/>
      <c r="L93" s="156"/>
      <c r="M93" s="54"/>
      <c r="N93" s="1049"/>
      <c r="O93" s="67"/>
      <c r="P93" s="203"/>
      <c r="Q93" s="1049"/>
      <c r="R93" s="1063"/>
      <c r="S93" s="54"/>
      <c r="T93" s="1059"/>
      <c r="U93" s="67"/>
      <c r="V93" s="54"/>
      <c r="W93" s="269"/>
      <c r="X93" s="156"/>
      <c r="Y93" s="54"/>
      <c r="Z93" s="269"/>
      <c r="AA93" s="156"/>
      <c r="AB93" s="54"/>
      <c r="AC93" s="269"/>
      <c r="AD93" s="156"/>
      <c r="AE93" s="70"/>
      <c r="AF93" s="19"/>
      <c r="AG93" s="70"/>
      <c r="AH93" s="19"/>
      <c r="AI93" s="54"/>
      <c r="AJ93" s="19"/>
      <c r="AK93" s="70"/>
      <c r="AL93" s="197"/>
      <c r="AM93" s="70"/>
      <c r="AN93" s="18"/>
      <c r="AO93" s="18"/>
      <c r="AP93" s="18"/>
      <c r="AQ93" s="19"/>
      <c r="AR93" s="286"/>
      <c r="AS93" s="7"/>
    </row>
    <row r="94" spans="1:46">
      <c r="A94" s="72">
        <f>A$91/2</f>
        <v>18</v>
      </c>
      <c r="B94" s="15">
        <v>2.4500000000000002</v>
      </c>
      <c r="C94" s="66">
        <f>A94*B94</f>
        <v>44.1</v>
      </c>
      <c r="D94" s="68">
        <v>5</v>
      </c>
      <c r="E94" s="66">
        <f>IF(L94*1000/120/SQRT(3)*1.5&lt;65,120,IF(L94*1000/208/SQRT(3)*1.5&lt;65,208,IF(L94*1000/240/SQRT(3)*1.5&lt;65,240,480)))</f>
        <v>120</v>
      </c>
      <c r="F94" s="45">
        <f>L94*1000/E94/SQRT(3)</f>
        <v>2.4056261216234409</v>
      </c>
      <c r="G94" s="94">
        <f>G$92</f>
        <v>12</v>
      </c>
      <c r="H94" s="295">
        <f t="shared" ref="H94:H122" si="70">IF(C94&lt;150,0.428*(1+G94/100)*C94+3,0.428*(1+G94/100)*C94)</f>
        <v>24.139776000000005</v>
      </c>
      <c r="I94" s="25">
        <f t="shared" ref="I94:I122" si="71">SQRT(3)*H94</f>
        <v>41.811318515331806</v>
      </c>
      <c r="J94" s="52">
        <f>J$92</f>
        <v>20</v>
      </c>
      <c r="K94" s="25">
        <f t="shared" ref="K94:K122" si="72">(1+J94/100)*D94*0.83</f>
        <v>4.9799999999999995</v>
      </c>
      <c r="L94" s="427">
        <f t="shared" ref="L94:L122" si="73">IF(CEILING(I94*K94*SQRT(3)/1000,0.25)&lt;10,CEILING(I94*K94*SQRT(3)/1000,0.25),IF(CEILING(I94*K94*SQRT(3)/1000,0.25)&lt;20,CEILING(I94*K94*SQRT(3)/1000,0.5),CEILING(I94*K94*SQRT(3)/1000,1)))</f>
        <v>0.5</v>
      </c>
      <c r="M94" s="55">
        <f>M$91</f>
        <v>30</v>
      </c>
      <c r="N94" s="838">
        <f t="shared" ref="N94:N122" si="74">(1+M94/100)*F94</f>
        <v>3.1273139581104732</v>
      </c>
      <c r="O94" s="68">
        <f>LOOKUP(N94,'Circuit Breakers'!$B$5:$B$38,'Circuit Breakers'!$C$5:$C$38)</f>
        <v>5</v>
      </c>
      <c r="P94" s="199">
        <f t="shared" ref="P94:P122" si="75">P$91</f>
        <v>30</v>
      </c>
      <c r="Q94" s="1056">
        <f>(1+P94/100)*K94</f>
        <v>6.4739999999999993</v>
      </c>
      <c r="R94" s="1064">
        <f>LOOKUP(Q94,'Circuit Breakers'!$B$5:$B$38,'Circuit Breakers'!$C$5:$C$38)</f>
        <v>10</v>
      </c>
      <c r="S94" s="64">
        <f t="shared" ref="S94:S122" si="76">S$91</f>
        <v>30</v>
      </c>
      <c r="T94" s="25">
        <f>(1+S94/100)*D94</f>
        <v>6.5</v>
      </c>
      <c r="U94" s="158">
        <f>LOOKUP(T94,'Circuit Breakers'!$B$5:$B$38,'Circuit Breakers'!$C$5:$C$38)</f>
        <v>10</v>
      </c>
      <c r="V94" s="55">
        <f>V$91</f>
        <v>15</v>
      </c>
      <c r="W94" s="25">
        <f>(1+V94/100)*F94</f>
        <v>2.7664700398669568</v>
      </c>
      <c r="X94" s="68" t="str">
        <f>LOOKUP(W94,'Wire-Cables Ampacities'!$B$5:$B$35,'Wire-Cables Ampacities'!$C$5:$C$35)</f>
        <v>#10</v>
      </c>
      <c r="Y94" s="55">
        <f>Y$91</f>
        <v>10</v>
      </c>
      <c r="Z94" s="25">
        <f>(1+Y94/100)*K94</f>
        <v>5.4779999999999998</v>
      </c>
      <c r="AA94" s="68" t="str">
        <f>LOOKUP(Z94,'Wire-Cables Ampacities'!$B$5:$B$35,'Wire-Cables Ampacities'!$C$5:$C$35)</f>
        <v>#10</v>
      </c>
      <c r="AB94" s="55">
        <f>AB$91</f>
        <v>10</v>
      </c>
      <c r="AC94" s="25">
        <f>(1+AB94/100)*D94</f>
        <v>5.5</v>
      </c>
      <c r="AD94" s="68" t="str">
        <f>LOOKUP(AC94,'Wire-Cables Ampacities'!$B$5:$B$35,'Wire-Cables Ampacities'!$C$5:$C$35)</f>
        <v>#10</v>
      </c>
      <c r="AE94" s="81">
        <f>(2*D94+0.07*L94*1000)/1000</f>
        <v>4.4999999999999998E-2</v>
      </c>
      <c r="AF94" s="56">
        <f t="shared" ref="AF94:AF122" si="77">AE94*3.412142*1000</f>
        <v>153.54638999999997</v>
      </c>
      <c r="AG94" s="72">
        <f>AG$91</f>
        <v>40</v>
      </c>
      <c r="AH94" s="72">
        <f>AH$91</f>
        <v>55</v>
      </c>
      <c r="AI94" s="55">
        <f>AI$91</f>
        <v>20</v>
      </c>
      <c r="AJ94" s="56">
        <f>1760*AE94/(AH94-AG94)*(1+AI94/100)</f>
        <v>6.3360000000000003</v>
      </c>
      <c r="AK94" s="271">
        <f>AJ94/AK$19</f>
        <v>6.336E-2</v>
      </c>
      <c r="AL94" s="277">
        <f>AJ94/AL$19</f>
        <v>3.168E-2</v>
      </c>
      <c r="AM94" s="58">
        <v>450</v>
      </c>
      <c r="AN94" s="25">
        <v>24</v>
      </c>
      <c r="AO94" s="3">
        <v>30</v>
      </c>
      <c r="AP94" s="3">
        <v>16</v>
      </c>
      <c r="AQ94" s="281">
        <f>((2*AO94*AN94)+2*(AO94*AP94)+(AN94*AP94))/144</f>
        <v>19.333333333333332</v>
      </c>
      <c r="AR94" s="287">
        <f t="shared" ref="AR94:AR110" si="78">AF94+(1.25*AQ94*(AG94-AH94))</f>
        <v>-208.95360999999997</v>
      </c>
      <c r="AS94" s="93"/>
      <c r="AT94" s="4"/>
    </row>
    <row r="95" spans="1:46">
      <c r="A95" s="98">
        <f t="shared" ref="A95:A122" si="79">A$91/2</f>
        <v>18</v>
      </c>
      <c r="B95" s="99">
        <v>2.4500000000000002</v>
      </c>
      <c r="C95" s="100">
        <f t="shared" ref="C95:C122" si="80">A95*B95</f>
        <v>44.1</v>
      </c>
      <c r="D95" s="101">
        <v>10</v>
      </c>
      <c r="E95" s="100">
        <f t="shared" ref="E95:E122" si="81">IF(L95*1000/120/SQRT(3)*1.5&lt;65,120,IF(L95*1000/208/SQRT(3)*1.5&lt;65,208,IF(L95*1000/240/SQRT(3)*1.5&lt;65,240,480)))</f>
        <v>120</v>
      </c>
      <c r="F95" s="102">
        <f t="shared" ref="F95:F122" si="82">L95*1000/E95/SQRT(3)</f>
        <v>3.6084391824351614</v>
      </c>
      <c r="G95" s="103">
        <f t="shared" ref="G95:G122" si="83">G$92</f>
        <v>12</v>
      </c>
      <c r="H95" s="296">
        <f t="shared" si="70"/>
        <v>24.139776000000005</v>
      </c>
      <c r="I95" s="104">
        <f t="shared" si="71"/>
        <v>41.811318515331806</v>
      </c>
      <c r="J95" s="180">
        <f t="shared" ref="J95:J122" si="84">J$92</f>
        <v>20</v>
      </c>
      <c r="K95" s="104">
        <f t="shared" si="72"/>
        <v>9.9599999999999991</v>
      </c>
      <c r="L95" s="428">
        <f t="shared" si="73"/>
        <v>0.75</v>
      </c>
      <c r="M95" s="106">
        <f t="shared" ref="M95:M122" si="85">M$91</f>
        <v>30</v>
      </c>
      <c r="N95" s="1060">
        <f t="shared" si="74"/>
        <v>4.6909709371657096</v>
      </c>
      <c r="O95" s="101">
        <f>LOOKUP(N95,'Circuit Breakers'!$B$5:$B$38,'Circuit Breakers'!$C$5:$C$38)</f>
        <v>5</v>
      </c>
      <c r="P95" s="262">
        <f t="shared" si="75"/>
        <v>30</v>
      </c>
      <c r="Q95" s="1057">
        <f t="shared" ref="Q95:Q122" si="86">(1+P95/100)*K95</f>
        <v>12.947999999999999</v>
      </c>
      <c r="R95" s="1065">
        <f>LOOKUP(Q95,'Circuit Breakers'!$B$5:$B$38,'Circuit Breakers'!$C$5:$C$38)</f>
        <v>15</v>
      </c>
      <c r="S95" s="106">
        <f t="shared" si="76"/>
        <v>30</v>
      </c>
      <c r="T95" s="104">
        <f t="shared" ref="T95:T122" si="87">(1+S95/100)*D95</f>
        <v>13</v>
      </c>
      <c r="U95" s="477">
        <f>LOOKUP(T95,'Circuit Breakers'!$B$5:$B$38,'Circuit Breakers'!$C$5:$C$38)</f>
        <v>15</v>
      </c>
      <c r="V95" s="106">
        <f t="shared" ref="V95:V122" si="88">V$91</f>
        <v>15</v>
      </c>
      <c r="W95" s="104">
        <f t="shared" ref="W95:W122" si="89">(1+V95/100)*F95</f>
        <v>4.1497050598004357</v>
      </c>
      <c r="X95" s="101" t="str">
        <f>LOOKUP(W95,'Wire-Cables Ampacities'!$B$5:$B$35,'Wire-Cables Ampacities'!$C$5:$C$35)</f>
        <v>#10</v>
      </c>
      <c r="Y95" s="106">
        <f t="shared" ref="Y95:Y122" si="90">Y$91</f>
        <v>10</v>
      </c>
      <c r="Z95" s="104">
        <f t="shared" ref="Z95:Z122" si="91">(1+Y95/100)*K95</f>
        <v>10.956</v>
      </c>
      <c r="AA95" s="101" t="str">
        <f>LOOKUP(Z95,'Wire-Cables Ampacities'!$B$5:$B$35,'Wire-Cables Ampacities'!$C$5:$C$35)</f>
        <v>#10</v>
      </c>
      <c r="AB95" s="106">
        <f t="shared" ref="AB95:AB122" si="92">AB$91</f>
        <v>10</v>
      </c>
      <c r="AC95" s="104">
        <f t="shared" ref="AC95:AC122" si="93">(1+AB95/100)*D95</f>
        <v>11</v>
      </c>
      <c r="AD95" s="101" t="str">
        <f>LOOKUP(AC95,'Wire-Cables Ampacities'!$B$5:$B$35,'Wire-Cables Ampacities'!$C$5:$C$35)</f>
        <v>#10</v>
      </c>
      <c r="AE95" s="107">
        <f t="shared" ref="AE95:AE122" si="94">(2*D95+0.07*L95*1000)/1000</f>
        <v>7.2499999999999995E-2</v>
      </c>
      <c r="AF95" s="105">
        <f t="shared" si="77"/>
        <v>247.38029499999996</v>
      </c>
      <c r="AG95" s="98">
        <f t="shared" ref="AG95:AI122" si="95">AG$91</f>
        <v>40</v>
      </c>
      <c r="AH95" s="99">
        <f t="shared" si="95"/>
        <v>55</v>
      </c>
      <c r="AI95" s="106">
        <f t="shared" si="95"/>
        <v>20</v>
      </c>
      <c r="AJ95" s="105">
        <f t="shared" ref="AJ95:AJ122" si="96">1760*AE95/(AH95-AG95)*(1+AI95/100)</f>
        <v>10.207999999999998</v>
      </c>
      <c r="AK95" s="272">
        <f t="shared" ref="AK95:AK122" si="97">AJ95/AK$19</f>
        <v>0.10207999999999999</v>
      </c>
      <c r="AL95" s="278">
        <f t="shared" ref="AL95:AL122" si="98">AJ95/AL$19</f>
        <v>5.1039999999999995E-2</v>
      </c>
      <c r="AM95" s="109">
        <v>450</v>
      </c>
      <c r="AN95" s="104">
        <v>24</v>
      </c>
      <c r="AO95" s="110">
        <v>30</v>
      </c>
      <c r="AP95" s="110">
        <v>16</v>
      </c>
      <c r="AQ95" s="282">
        <f t="shared" ref="AQ95:AQ122" si="99">((2*AO95*AN95)+2*(AO95*AP95)+(AN95*AP95))/144</f>
        <v>19.333333333333332</v>
      </c>
      <c r="AR95" s="288">
        <f t="shared" si="78"/>
        <v>-115.11970499999998</v>
      </c>
      <c r="AS95" s="93"/>
      <c r="AT95" s="4"/>
    </row>
    <row r="96" spans="1:46">
      <c r="A96" s="72">
        <f t="shared" si="79"/>
        <v>18</v>
      </c>
      <c r="B96" s="15">
        <v>2.4500000000000002</v>
      </c>
      <c r="C96" s="66">
        <f t="shared" si="80"/>
        <v>44.1</v>
      </c>
      <c r="D96" s="68">
        <v>15</v>
      </c>
      <c r="E96" s="66">
        <f t="shared" si="81"/>
        <v>120</v>
      </c>
      <c r="F96" s="45">
        <f t="shared" si="82"/>
        <v>6.0140653040586018</v>
      </c>
      <c r="G96" s="94">
        <f t="shared" si="83"/>
        <v>12</v>
      </c>
      <c r="H96" s="295">
        <f t="shared" si="70"/>
        <v>24.139776000000005</v>
      </c>
      <c r="I96" s="25">
        <f t="shared" si="71"/>
        <v>41.811318515331806</v>
      </c>
      <c r="J96" s="52">
        <f t="shared" si="84"/>
        <v>20</v>
      </c>
      <c r="K96" s="25">
        <f t="shared" si="72"/>
        <v>14.94</v>
      </c>
      <c r="L96" s="427">
        <f t="shared" si="73"/>
        <v>1.25</v>
      </c>
      <c r="M96" s="64">
        <f t="shared" si="85"/>
        <v>30</v>
      </c>
      <c r="N96" s="838">
        <f t="shared" si="74"/>
        <v>7.8182848952761823</v>
      </c>
      <c r="O96" s="68">
        <f>LOOKUP(N96,'Circuit Breakers'!$B$5:$B$38,'Circuit Breakers'!$C$5:$C$38)</f>
        <v>10</v>
      </c>
      <c r="P96" s="199">
        <f t="shared" si="75"/>
        <v>30</v>
      </c>
      <c r="Q96" s="1056">
        <f t="shared" si="86"/>
        <v>19.422000000000001</v>
      </c>
      <c r="R96" s="1064">
        <f>LOOKUP(Q96,'Circuit Breakers'!$B$5:$B$38,'Circuit Breakers'!$C$5:$C$38)</f>
        <v>20</v>
      </c>
      <c r="S96" s="64">
        <f t="shared" si="76"/>
        <v>30</v>
      </c>
      <c r="T96" s="25">
        <f t="shared" si="87"/>
        <v>19.5</v>
      </c>
      <c r="U96" s="158">
        <f>LOOKUP(T96,'Circuit Breakers'!$B$5:$B$38,'Circuit Breakers'!$C$5:$C$38)</f>
        <v>20</v>
      </c>
      <c r="V96" s="64">
        <f t="shared" si="88"/>
        <v>15</v>
      </c>
      <c r="W96" s="25">
        <f t="shared" si="89"/>
        <v>6.9161750996673916</v>
      </c>
      <c r="X96" s="68" t="str">
        <f>LOOKUP(W96,'Wire-Cables Ampacities'!$B$5:$B$35,'Wire-Cables Ampacities'!$C$5:$C$35)</f>
        <v>#10</v>
      </c>
      <c r="Y96" s="64">
        <f t="shared" si="90"/>
        <v>10</v>
      </c>
      <c r="Z96" s="25">
        <f t="shared" si="91"/>
        <v>16.434000000000001</v>
      </c>
      <c r="AA96" s="68" t="str">
        <f>LOOKUP(Z96,'Wire-Cables Ampacities'!$B$5:$B$35,'Wire-Cables Ampacities'!$C$5:$C$35)</f>
        <v>#10</v>
      </c>
      <c r="AB96" s="64">
        <f t="shared" si="92"/>
        <v>10</v>
      </c>
      <c r="AC96" s="25">
        <f t="shared" si="93"/>
        <v>16.5</v>
      </c>
      <c r="AD96" s="68" t="str">
        <f>LOOKUP(AC96,'Wire-Cables Ampacities'!$B$5:$B$35,'Wire-Cables Ampacities'!$C$5:$C$35)</f>
        <v>#10</v>
      </c>
      <c r="AE96" s="81">
        <f t="shared" si="94"/>
        <v>0.11750000000000002</v>
      </c>
      <c r="AF96" s="56">
        <f t="shared" si="77"/>
        <v>400.92668500000008</v>
      </c>
      <c r="AG96" s="72">
        <f t="shared" si="95"/>
        <v>40</v>
      </c>
      <c r="AH96" s="15">
        <f t="shared" si="95"/>
        <v>55</v>
      </c>
      <c r="AI96" s="64">
        <f t="shared" si="95"/>
        <v>20</v>
      </c>
      <c r="AJ96" s="56">
        <f t="shared" si="96"/>
        <v>16.544</v>
      </c>
      <c r="AK96" s="271">
        <f t="shared" si="97"/>
        <v>0.16544</v>
      </c>
      <c r="AL96" s="277">
        <f t="shared" si="98"/>
        <v>8.2720000000000002E-2</v>
      </c>
      <c r="AM96" s="58">
        <v>600</v>
      </c>
      <c r="AN96" s="25">
        <v>24</v>
      </c>
      <c r="AO96" s="3">
        <v>48</v>
      </c>
      <c r="AP96" s="3">
        <v>16</v>
      </c>
      <c r="AQ96" s="281">
        <f t="shared" si="99"/>
        <v>29.333333333333332</v>
      </c>
      <c r="AR96" s="287">
        <f t="shared" si="78"/>
        <v>-149.07331499999992</v>
      </c>
      <c r="AS96" s="93"/>
      <c r="AT96" s="4"/>
    </row>
    <row r="97" spans="1:46">
      <c r="A97" s="72">
        <f t="shared" si="79"/>
        <v>18</v>
      </c>
      <c r="B97" s="15">
        <v>2.4500000000000002</v>
      </c>
      <c r="C97" s="66">
        <f t="shared" si="80"/>
        <v>44.1</v>
      </c>
      <c r="D97" s="68">
        <v>20</v>
      </c>
      <c r="E97" s="66">
        <f t="shared" si="81"/>
        <v>120</v>
      </c>
      <c r="F97" s="45">
        <f t="shared" si="82"/>
        <v>7.2168783648703227</v>
      </c>
      <c r="G97" s="94">
        <f t="shared" si="83"/>
        <v>12</v>
      </c>
      <c r="H97" s="295">
        <f t="shared" si="70"/>
        <v>24.139776000000005</v>
      </c>
      <c r="I97" s="25">
        <f t="shared" si="71"/>
        <v>41.811318515331806</v>
      </c>
      <c r="J97" s="52">
        <f t="shared" si="84"/>
        <v>20</v>
      </c>
      <c r="K97" s="25">
        <f t="shared" si="72"/>
        <v>19.919999999999998</v>
      </c>
      <c r="L97" s="427">
        <f t="shared" si="73"/>
        <v>1.5</v>
      </c>
      <c r="M97" s="55">
        <f t="shared" si="85"/>
        <v>30</v>
      </c>
      <c r="N97" s="838">
        <f t="shared" si="74"/>
        <v>9.3819418743314191</v>
      </c>
      <c r="O97" s="68">
        <f>LOOKUP(N97,'Circuit Breakers'!$B$5:$B$38,'Circuit Breakers'!$C$5:$C$38)</f>
        <v>10</v>
      </c>
      <c r="P97" s="199">
        <f t="shared" si="75"/>
        <v>30</v>
      </c>
      <c r="Q97" s="1056">
        <f t="shared" si="86"/>
        <v>25.895999999999997</v>
      </c>
      <c r="R97" s="1064">
        <f>LOOKUP(Q97,'Circuit Breakers'!$B$5:$B$38,'Circuit Breakers'!$C$5:$C$38)</f>
        <v>30</v>
      </c>
      <c r="S97" s="64">
        <f t="shared" si="76"/>
        <v>30</v>
      </c>
      <c r="T97" s="25">
        <f t="shared" si="87"/>
        <v>26</v>
      </c>
      <c r="U97" s="158">
        <f>LOOKUP(T97,'Circuit Breakers'!$B$5:$B$38,'Circuit Breakers'!$C$5:$C$38)</f>
        <v>30</v>
      </c>
      <c r="V97" s="64">
        <f t="shared" si="88"/>
        <v>15</v>
      </c>
      <c r="W97" s="25">
        <f t="shared" si="89"/>
        <v>8.2994101196008714</v>
      </c>
      <c r="X97" s="68" t="str">
        <f>LOOKUP(W97,'Wire-Cables Ampacities'!$B$5:$B$35,'Wire-Cables Ampacities'!$C$5:$C$35)</f>
        <v>#10</v>
      </c>
      <c r="Y97" s="64">
        <f t="shared" si="90"/>
        <v>10</v>
      </c>
      <c r="Z97" s="25">
        <f t="shared" si="91"/>
        <v>21.911999999999999</v>
      </c>
      <c r="AA97" s="68" t="str">
        <f>LOOKUP(Z97,'Wire-Cables Ampacities'!$B$5:$B$35,'Wire-Cables Ampacities'!$C$5:$C$35)</f>
        <v>#10</v>
      </c>
      <c r="AB97" s="64">
        <f t="shared" si="92"/>
        <v>10</v>
      </c>
      <c r="AC97" s="25">
        <f t="shared" si="93"/>
        <v>22</v>
      </c>
      <c r="AD97" s="68" t="str">
        <f>LOOKUP(AC97,'Wire-Cables Ampacities'!$B$5:$B$35,'Wire-Cables Ampacities'!$C$5:$C$35)</f>
        <v>#10</v>
      </c>
      <c r="AE97" s="81">
        <f t="shared" si="94"/>
        <v>0.14499999999999999</v>
      </c>
      <c r="AF97" s="56">
        <f t="shared" si="77"/>
        <v>494.76058999999992</v>
      </c>
      <c r="AG97" s="72">
        <f t="shared" si="95"/>
        <v>40</v>
      </c>
      <c r="AH97" s="15">
        <f t="shared" si="95"/>
        <v>55</v>
      </c>
      <c r="AI97" s="64">
        <f t="shared" si="95"/>
        <v>20</v>
      </c>
      <c r="AJ97" s="56">
        <f t="shared" si="96"/>
        <v>20.415999999999997</v>
      </c>
      <c r="AK97" s="271">
        <f t="shared" si="97"/>
        <v>0.20415999999999998</v>
      </c>
      <c r="AL97" s="277">
        <f t="shared" si="98"/>
        <v>0.10207999999999999</v>
      </c>
      <c r="AM97" s="58">
        <v>600</v>
      </c>
      <c r="AN97" s="25">
        <v>24</v>
      </c>
      <c r="AO97" s="3">
        <v>48</v>
      </c>
      <c r="AP97" s="3">
        <v>16</v>
      </c>
      <c r="AQ97" s="281">
        <f t="shared" si="99"/>
        <v>29.333333333333332</v>
      </c>
      <c r="AR97" s="287">
        <f t="shared" si="78"/>
        <v>-55.239410000000078</v>
      </c>
      <c r="AS97" s="93"/>
      <c r="AT97" s="4"/>
    </row>
    <row r="98" spans="1:46">
      <c r="A98" s="98">
        <f t="shared" si="79"/>
        <v>18</v>
      </c>
      <c r="B98" s="99">
        <v>2.4500000000000002</v>
      </c>
      <c r="C98" s="100">
        <f t="shared" si="80"/>
        <v>44.1</v>
      </c>
      <c r="D98" s="101">
        <v>25</v>
      </c>
      <c r="E98" s="100">
        <f t="shared" si="81"/>
        <v>120</v>
      </c>
      <c r="F98" s="102">
        <f t="shared" si="82"/>
        <v>9.6225044864937637</v>
      </c>
      <c r="G98" s="103">
        <f t="shared" si="83"/>
        <v>12</v>
      </c>
      <c r="H98" s="296">
        <f t="shared" si="70"/>
        <v>24.139776000000005</v>
      </c>
      <c r="I98" s="104">
        <f t="shared" si="71"/>
        <v>41.811318515331806</v>
      </c>
      <c r="J98" s="180">
        <f t="shared" si="84"/>
        <v>20</v>
      </c>
      <c r="K98" s="104">
        <f t="shared" si="72"/>
        <v>24.9</v>
      </c>
      <c r="L98" s="428">
        <f t="shared" si="73"/>
        <v>2</v>
      </c>
      <c r="M98" s="106">
        <f t="shared" si="85"/>
        <v>30</v>
      </c>
      <c r="N98" s="1060">
        <f t="shared" si="74"/>
        <v>12.509255832441893</v>
      </c>
      <c r="O98" s="101">
        <f>LOOKUP(N98,'Circuit Breakers'!$B$5:$B$38,'Circuit Breakers'!$C$5:$C$38)</f>
        <v>15</v>
      </c>
      <c r="P98" s="262">
        <f t="shared" si="75"/>
        <v>30</v>
      </c>
      <c r="Q98" s="1057">
        <f t="shared" si="86"/>
        <v>32.369999999999997</v>
      </c>
      <c r="R98" s="1065">
        <f>LOOKUP(Q98,'Circuit Breakers'!$B$5:$B$38,'Circuit Breakers'!$C$5:$C$38)</f>
        <v>40</v>
      </c>
      <c r="S98" s="106">
        <f t="shared" si="76"/>
        <v>30</v>
      </c>
      <c r="T98" s="104">
        <f t="shared" si="87"/>
        <v>32.5</v>
      </c>
      <c r="U98" s="477">
        <f>LOOKUP(T98,'Circuit Breakers'!$B$5:$B$38,'Circuit Breakers'!$C$5:$C$38)</f>
        <v>40</v>
      </c>
      <c r="V98" s="106">
        <f t="shared" si="88"/>
        <v>15</v>
      </c>
      <c r="W98" s="104">
        <f t="shared" si="89"/>
        <v>11.065880159467827</v>
      </c>
      <c r="X98" s="101" t="str">
        <f>LOOKUP(W98,'Wire-Cables Ampacities'!$B$5:$B$35,'Wire-Cables Ampacities'!$C$5:$C$35)</f>
        <v>#10</v>
      </c>
      <c r="Y98" s="106">
        <f t="shared" si="90"/>
        <v>10</v>
      </c>
      <c r="Z98" s="104">
        <f t="shared" si="91"/>
        <v>27.39</v>
      </c>
      <c r="AA98" s="101" t="str">
        <f>LOOKUP(Z98,'Wire-Cables Ampacities'!$B$5:$B$35,'Wire-Cables Ampacities'!$C$5:$C$35)</f>
        <v>#10</v>
      </c>
      <c r="AB98" s="106">
        <f t="shared" si="92"/>
        <v>10</v>
      </c>
      <c r="AC98" s="104">
        <f t="shared" si="93"/>
        <v>27.500000000000004</v>
      </c>
      <c r="AD98" s="101" t="str">
        <f>LOOKUP(AC98,'Wire-Cables Ampacities'!$B$5:$B$35,'Wire-Cables Ampacities'!$C$5:$C$35)</f>
        <v>#10</v>
      </c>
      <c r="AE98" s="107">
        <f t="shared" si="94"/>
        <v>0.19</v>
      </c>
      <c r="AF98" s="105">
        <f t="shared" si="77"/>
        <v>648.30697999999995</v>
      </c>
      <c r="AG98" s="98">
        <f t="shared" si="95"/>
        <v>40</v>
      </c>
      <c r="AH98" s="99">
        <f t="shared" si="95"/>
        <v>55</v>
      </c>
      <c r="AI98" s="106">
        <f t="shared" si="95"/>
        <v>20</v>
      </c>
      <c r="AJ98" s="105">
        <f t="shared" si="96"/>
        <v>26.751999999999999</v>
      </c>
      <c r="AK98" s="272">
        <f t="shared" si="97"/>
        <v>0.26751999999999998</v>
      </c>
      <c r="AL98" s="278">
        <f t="shared" si="98"/>
        <v>0.13375999999999999</v>
      </c>
      <c r="AM98" s="109">
        <v>600</v>
      </c>
      <c r="AN98" s="104">
        <v>24</v>
      </c>
      <c r="AO98" s="110">
        <v>48</v>
      </c>
      <c r="AP98" s="110">
        <v>16</v>
      </c>
      <c r="AQ98" s="282">
        <f t="shared" si="99"/>
        <v>29.333333333333332</v>
      </c>
      <c r="AR98" s="288">
        <f t="shared" si="78"/>
        <v>98.306979999999953</v>
      </c>
      <c r="AS98" s="93"/>
      <c r="AT98" s="4"/>
    </row>
    <row r="99" spans="1:46">
      <c r="A99" s="72">
        <f t="shared" si="79"/>
        <v>18</v>
      </c>
      <c r="B99" s="15">
        <v>2.4500000000000002</v>
      </c>
      <c r="C99" s="66">
        <f t="shared" si="80"/>
        <v>44.1</v>
      </c>
      <c r="D99" s="68">
        <v>30</v>
      </c>
      <c r="E99" s="66">
        <f t="shared" si="81"/>
        <v>120</v>
      </c>
      <c r="F99" s="45">
        <f t="shared" si="82"/>
        <v>10.825317547305485</v>
      </c>
      <c r="G99" s="94">
        <f t="shared" si="83"/>
        <v>12</v>
      </c>
      <c r="H99" s="295">
        <f t="shared" si="70"/>
        <v>24.139776000000005</v>
      </c>
      <c r="I99" s="25">
        <f t="shared" si="71"/>
        <v>41.811318515331806</v>
      </c>
      <c r="J99" s="52">
        <f t="shared" si="84"/>
        <v>20</v>
      </c>
      <c r="K99" s="25">
        <f t="shared" si="72"/>
        <v>29.88</v>
      </c>
      <c r="L99" s="427">
        <f t="shared" si="73"/>
        <v>2.25</v>
      </c>
      <c r="M99" s="64">
        <f t="shared" si="85"/>
        <v>30</v>
      </c>
      <c r="N99" s="838">
        <f t="shared" si="74"/>
        <v>14.07291281149713</v>
      </c>
      <c r="O99" s="68">
        <f>LOOKUP(N99,'Circuit Breakers'!$B$5:$B$38,'Circuit Breakers'!$C$5:$C$38)</f>
        <v>15</v>
      </c>
      <c r="P99" s="199">
        <f t="shared" si="75"/>
        <v>30</v>
      </c>
      <c r="Q99" s="1056">
        <f t="shared" si="86"/>
        <v>38.844000000000001</v>
      </c>
      <c r="R99" s="1064">
        <f>LOOKUP(Q99,'Circuit Breakers'!$B$5:$B$38,'Circuit Breakers'!$C$5:$C$38)</f>
        <v>40</v>
      </c>
      <c r="S99" s="64">
        <f t="shared" si="76"/>
        <v>30</v>
      </c>
      <c r="T99" s="25">
        <f t="shared" si="87"/>
        <v>39</v>
      </c>
      <c r="U99" s="158">
        <f>LOOKUP(T99,'Circuit Breakers'!$B$5:$B$38,'Circuit Breakers'!$C$5:$C$38)</f>
        <v>40</v>
      </c>
      <c r="V99" s="64">
        <f t="shared" si="88"/>
        <v>15</v>
      </c>
      <c r="W99" s="25">
        <f t="shared" si="89"/>
        <v>12.449115179401307</v>
      </c>
      <c r="X99" s="68" t="str">
        <f>LOOKUP(W99,'Wire-Cables Ampacities'!$B$5:$B$35,'Wire-Cables Ampacities'!$C$5:$C$35)</f>
        <v>#10</v>
      </c>
      <c r="Y99" s="64">
        <f t="shared" si="90"/>
        <v>10</v>
      </c>
      <c r="Z99" s="25">
        <f t="shared" si="91"/>
        <v>32.868000000000002</v>
      </c>
      <c r="AA99" s="68" t="str">
        <f>LOOKUP(Z99,'Wire-Cables Ampacities'!$B$5:$B$35,'Wire-Cables Ampacities'!$C$5:$C$35)</f>
        <v>#10</v>
      </c>
      <c r="AB99" s="64">
        <f t="shared" si="92"/>
        <v>10</v>
      </c>
      <c r="AC99" s="25">
        <f t="shared" si="93"/>
        <v>33</v>
      </c>
      <c r="AD99" s="68" t="str">
        <f>LOOKUP(AC99,'Wire-Cables Ampacities'!$B$5:$B$35,'Wire-Cables Ampacities'!$C$5:$C$35)</f>
        <v>#10</v>
      </c>
      <c r="AE99" s="81">
        <f t="shared" si="94"/>
        <v>0.21750000000000003</v>
      </c>
      <c r="AF99" s="56">
        <f t="shared" si="77"/>
        <v>742.14088500000014</v>
      </c>
      <c r="AG99" s="72">
        <f t="shared" si="95"/>
        <v>40</v>
      </c>
      <c r="AH99" s="15">
        <f t="shared" si="95"/>
        <v>55</v>
      </c>
      <c r="AI99" s="64">
        <f t="shared" si="95"/>
        <v>20</v>
      </c>
      <c r="AJ99" s="56">
        <f t="shared" si="96"/>
        <v>30.624000000000002</v>
      </c>
      <c r="AK99" s="271">
        <f t="shared" si="97"/>
        <v>0.30624000000000001</v>
      </c>
      <c r="AL99" s="277">
        <f t="shared" si="98"/>
        <v>0.15312000000000001</v>
      </c>
      <c r="AM99" s="58">
        <v>600</v>
      </c>
      <c r="AN99" s="25">
        <v>24</v>
      </c>
      <c r="AO99" s="3">
        <v>48</v>
      </c>
      <c r="AP99" s="3">
        <v>16</v>
      </c>
      <c r="AQ99" s="281">
        <f t="shared" si="99"/>
        <v>29.333333333333332</v>
      </c>
      <c r="AR99" s="287">
        <f t="shared" si="78"/>
        <v>192.14088500000014</v>
      </c>
      <c r="AS99" s="93"/>
      <c r="AT99" s="4"/>
    </row>
    <row r="100" spans="1:46">
      <c r="A100" s="72">
        <f t="shared" si="79"/>
        <v>18</v>
      </c>
      <c r="B100" s="15">
        <v>2.4500000000000002</v>
      </c>
      <c r="C100" s="66">
        <f t="shared" si="80"/>
        <v>44.1</v>
      </c>
      <c r="D100" s="68">
        <v>35</v>
      </c>
      <c r="E100" s="66">
        <f t="shared" si="81"/>
        <v>120</v>
      </c>
      <c r="F100" s="45">
        <f t="shared" si="82"/>
        <v>13.230943668928925</v>
      </c>
      <c r="G100" s="94">
        <f t="shared" si="83"/>
        <v>12</v>
      </c>
      <c r="H100" s="295">
        <f t="shared" si="70"/>
        <v>24.139776000000005</v>
      </c>
      <c r="I100" s="25">
        <f t="shared" si="71"/>
        <v>41.811318515331806</v>
      </c>
      <c r="J100" s="52">
        <f t="shared" si="84"/>
        <v>20</v>
      </c>
      <c r="K100" s="25">
        <f t="shared" si="72"/>
        <v>34.86</v>
      </c>
      <c r="L100" s="427">
        <f t="shared" si="73"/>
        <v>2.75</v>
      </c>
      <c r="M100" s="64">
        <f t="shared" si="85"/>
        <v>30</v>
      </c>
      <c r="N100" s="838">
        <f t="shared" si="74"/>
        <v>17.200226769607603</v>
      </c>
      <c r="O100" s="68">
        <f>LOOKUP(N100,'Circuit Breakers'!$B$5:$B$38,'Circuit Breakers'!$C$5:$C$38)</f>
        <v>20</v>
      </c>
      <c r="P100" s="199">
        <f t="shared" si="75"/>
        <v>30</v>
      </c>
      <c r="Q100" s="1056">
        <f t="shared" si="86"/>
        <v>45.317999999999998</v>
      </c>
      <c r="R100" s="1064">
        <f>LOOKUP(Q100,'Circuit Breakers'!$B$5:$B$38,'Circuit Breakers'!$C$5:$C$38)</f>
        <v>50</v>
      </c>
      <c r="S100" s="64">
        <f t="shared" si="76"/>
        <v>30</v>
      </c>
      <c r="T100" s="25">
        <f t="shared" si="87"/>
        <v>45.5</v>
      </c>
      <c r="U100" s="158">
        <f>LOOKUP(T100,'Circuit Breakers'!$B$5:$B$38,'Circuit Breakers'!$C$5:$C$38)</f>
        <v>50</v>
      </c>
      <c r="V100" s="64">
        <f t="shared" si="88"/>
        <v>15</v>
      </c>
      <c r="W100" s="25">
        <f t="shared" si="89"/>
        <v>15.215585219268261</v>
      </c>
      <c r="X100" s="68" t="str">
        <f>LOOKUP(W100,'Wire-Cables Ampacities'!$B$5:$B$35,'Wire-Cables Ampacities'!$C$5:$C$35)</f>
        <v>#10</v>
      </c>
      <c r="Y100" s="64">
        <f t="shared" si="90"/>
        <v>10</v>
      </c>
      <c r="Z100" s="25">
        <f t="shared" si="91"/>
        <v>38.346000000000004</v>
      </c>
      <c r="AA100" s="68" t="str">
        <f>LOOKUP(Z100,'Wire-Cables Ampacities'!$B$5:$B$35,'Wire-Cables Ampacities'!$C$5:$C$35)</f>
        <v>#10</v>
      </c>
      <c r="AB100" s="64">
        <f t="shared" si="92"/>
        <v>10</v>
      </c>
      <c r="AC100" s="25">
        <f t="shared" si="93"/>
        <v>38.5</v>
      </c>
      <c r="AD100" s="68" t="str">
        <f>LOOKUP(AC100,'Wire-Cables Ampacities'!$B$5:$B$35,'Wire-Cables Ampacities'!$C$5:$C$35)</f>
        <v>#10</v>
      </c>
      <c r="AE100" s="81">
        <f t="shared" si="94"/>
        <v>0.26250000000000001</v>
      </c>
      <c r="AF100" s="56">
        <f t="shared" si="77"/>
        <v>895.687275</v>
      </c>
      <c r="AG100" s="72">
        <f t="shared" si="95"/>
        <v>40</v>
      </c>
      <c r="AH100" s="15">
        <f t="shared" si="95"/>
        <v>55</v>
      </c>
      <c r="AI100" s="64">
        <f t="shared" si="95"/>
        <v>20</v>
      </c>
      <c r="AJ100" s="56">
        <f t="shared" si="96"/>
        <v>36.96</v>
      </c>
      <c r="AK100" s="271">
        <f t="shared" si="97"/>
        <v>0.36959999999999998</v>
      </c>
      <c r="AL100" s="277">
        <f t="shared" si="98"/>
        <v>0.18479999999999999</v>
      </c>
      <c r="AM100" s="58">
        <v>600</v>
      </c>
      <c r="AN100" s="25">
        <v>24</v>
      </c>
      <c r="AO100" s="3">
        <v>48</v>
      </c>
      <c r="AP100" s="3">
        <v>16</v>
      </c>
      <c r="AQ100" s="281">
        <f t="shared" si="99"/>
        <v>29.333333333333332</v>
      </c>
      <c r="AR100" s="287">
        <f t="shared" si="78"/>
        <v>345.687275</v>
      </c>
      <c r="AS100" s="93"/>
      <c r="AT100" s="4"/>
    </row>
    <row r="101" spans="1:46">
      <c r="A101" s="98">
        <f t="shared" si="79"/>
        <v>18</v>
      </c>
      <c r="B101" s="99">
        <v>2.4500000000000002</v>
      </c>
      <c r="C101" s="100">
        <f t="shared" si="80"/>
        <v>44.1</v>
      </c>
      <c r="D101" s="101">
        <v>40</v>
      </c>
      <c r="E101" s="100">
        <f t="shared" si="81"/>
        <v>120</v>
      </c>
      <c r="F101" s="102">
        <f t="shared" si="82"/>
        <v>14.433756729740645</v>
      </c>
      <c r="G101" s="103">
        <f t="shared" si="83"/>
        <v>12</v>
      </c>
      <c r="H101" s="296">
        <f t="shared" si="70"/>
        <v>24.139776000000005</v>
      </c>
      <c r="I101" s="104">
        <f t="shared" si="71"/>
        <v>41.811318515331806</v>
      </c>
      <c r="J101" s="180">
        <f t="shared" si="84"/>
        <v>20</v>
      </c>
      <c r="K101" s="104">
        <f t="shared" si="72"/>
        <v>39.839999999999996</v>
      </c>
      <c r="L101" s="428">
        <f t="shared" si="73"/>
        <v>3</v>
      </c>
      <c r="M101" s="106">
        <f t="shared" si="85"/>
        <v>30</v>
      </c>
      <c r="N101" s="1060">
        <f t="shared" si="74"/>
        <v>18.763883748662838</v>
      </c>
      <c r="O101" s="101">
        <f>LOOKUP(N101,'Circuit Breakers'!$B$5:$B$38,'Circuit Breakers'!$C$5:$C$38)</f>
        <v>20</v>
      </c>
      <c r="P101" s="262">
        <f t="shared" si="75"/>
        <v>30</v>
      </c>
      <c r="Q101" s="1057">
        <f t="shared" si="86"/>
        <v>51.791999999999994</v>
      </c>
      <c r="R101" s="1065">
        <f>LOOKUP(Q101,'Circuit Breakers'!$B$5:$B$38,'Circuit Breakers'!$C$5:$C$38)</f>
        <v>60</v>
      </c>
      <c r="S101" s="106">
        <f t="shared" si="76"/>
        <v>30</v>
      </c>
      <c r="T101" s="104">
        <f t="shared" si="87"/>
        <v>52</v>
      </c>
      <c r="U101" s="477">
        <f>LOOKUP(T101,'Circuit Breakers'!$B$5:$B$38,'Circuit Breakers'!$C$5:$C$38)</f>
        <v>60</v>
      </c>
      <c r="V101" s="106">
        <f t="shared" si="88"/>
        <v>15</v>
      </c>
      <c r="W101" s="104">
        <f t="shared" si="89"/>
        <v>16.598820239201743</v>
      </c>
      <c r="X101" s="101" t="str">
        <f>LOOKUP(W101,'Wire-Cables Ampacities'!$B$5:$B$35,'Wire-Cables Ampacities'!$C$5:$C$35)</f>
        <v>#10</v>
      </c>
      <c r="Y101" s="106">
        <f t="shared" si="90"/>
        <v>10</v>
      </c>
      <c r="Z101" s="104">
        <f t="shared" si="91"/>
        <v>43.823999999999998</v>
      </c>
      <c r="AA101" s="101" t="str">
        <f>LOOKUP(Z101,'Wire-Cables Ampacities'!$B$5:$B$35,'Wire-Cables Ampacities'!$C$5:$C$35)</f>
        <v>#8</v>
      </c>
      <c r="AB101" s="106">
        <f t="shared" si="92"/>
        <v>10</v>
      </c>
      <c r="AC101" s="104">
        <f t="shared" si="93"/>
        <v>44</v>
      </c>
      <c r="AD101" s="101" t="str">
        <f>LOOKUP(AC101,'Wire-Cables Ampacities'!$B$5:$B$35,'Wire-Cables Ampacities'!$C$5:$C$35)</f>
        <v>#8</v>
      </c>
      <c r="AE101" s="107">
        <f t="shared" si="94"/>
        <v>0.28999999999999998</v>
      </c>
      <c r="AF101" s="105">
        <f t="shared" si="77"/>
        <v>989.52117999999984</v>
      </c>
      <c r="AG101" s="98">
        <f t="shared" si="95"/>
        <v>40</v>
      </c>
      <c r="AH101" s="99">
        <f t="shared" si="95"/>
        <v>55</v>
      </c>
      <c r="AI101" s="106">
        <f t="shared" si="95"/>
        <v>20</v>
      </c>
      <c r="AJ101" s="105">
        <f t="shared" si="96"/>
        <v>40.831999999999994</v>
      </c>
      <c r="AK101" s="272">
        <f t="shared" si="97"/>
        <v>0.40831999999999996</v>
      </c>
      <c r="AL101" s="278">
        <f t="shared" si="98"/>
        <v>0.20415999999999998</v>
      </c>
      <c r="AM101" s="109">
        <v>600</v>
      </c>
      <c r="AN101" s="104">
        <v>24</v>
      </c>
      <c r="AO101" s="110">
        <v>48</v>
      </c>
      <c r="AP101" s="110">
        <v>16</v>
      </c>
      <c r="AQ101" s="282">
        <f t="shared" si="99"/>
        <v>29.333333333333332</v>
      </c>
      <c r="AR101" s="288">
        <f t="shared" si="78"/>
        <v>439.52117999999984</v>
      </c>
      <c r="AS101" s="93"/>
      <c r="AT101" s="4"/>
    </row>
    <row r="102" spans="1:46">
      <c r="A102" s="72">
        <f t="shared" si="79"/>
        <v>18</v>
      </c>
      <c r="B102" s="15">
        <v>2.4500000000000002</v>
      </c>
      <c r="C102" s="66">
        <f t="shared" si="80"/>
        <v>44.1</v>
      </c>
      <c r="D102" s="68">
        <v>50</v>
      </c>
      <c r="E102" s="66">
        <f t="shared" si="81"/>
        <v>120</v>
      </c>
      <c r="F102" s="45">
        <f t="shared" si="82"/>
        <v>18.042195912175806</v>
      </c>
      <c r="G102" s="94">
        <f t="shared" si="83"/>
        <v>12</v>
      </c>
      <c r="H102" s="295">
        <f t="shared" si="70"/>
        <v>24.139776000000005</v>
      </c>
      <c r="I102" s="25">
        <f t="shared" si="71"/>
        <v>41.811318515331806</v>
      </c>
      <c r="J102" s="52">
        <f t="shared" si="84"/>
        <v>20</v>
      </c>
      <c r="K102" s="25">
        <f t="shared" si="72"/>
        <v>49.8</v>
      </c>
      <c r="L102" s="427">
        <f t="shared" si="73"/>
        <v>3.75</v>
      </c>
      <c r="M102" s="64">
        <f t="shared" si="85"/>
        <v>30</v>
      </c>
      <c r="N102" s="838">
        <f t="shared" si="74"/>
        <v>23.45485468582855</v>
      </c>
      <c r="O102" s="68">
        <f>LOOKUP(N102,'Circuit Breakers'!$B$5:$B$38,'Circuit Breakers'!$C$5:$C$38)</f>
        <v>25</v>
      </c>
      <c r="P102" s="199">
        <f t="shared" si="75"/>
        <v>30</v>
      </c>
      <c r="Q102" s="1056">
        <f t="shared" si="86"/>
        <v>64.739999999999995</v>
      </c>
      <c r="R102" s="1064">
        <f>LOOKUP(Q102,'Circuit Breakers'!$B$5:$B$38,'Circuit Breakers'!$C$5:$C$38)</f>
        <v>70</v>
      </c>
      <c r="S102" s="64">
        <f t="shared" si="76"/>
        <v>30</v>
      </c>
      <c r="T102" s="25">
        <f t="shared" si="87"/>
        <v>65</v>
      </c>
      <c r="U102" s="158">
        <f>LOOKUP(T102,'Circuit Breakers'!$B$5:$B$38,'Circuit Breakers'!$C$5:$C$38)</f>
        <v>70</v>
      </c>
      <c r="V102" s="64">
        <f t="shared" si="88"/>
        <v>15</v>
      </c>
      <c r="W102" s="25">
        <f t="shared" si="89"/>
        <v>20.748525299002175</v>
      </c>
      <c r="X102" s="68" t="str">
        <f>LOOKUP(W102,'Wire-Cables Ampacities'!$B$5:$B$35,'Wire-Cables Ampacities'!$C$5:$C$35)</f>
        <v>#10</v>
      </c>
      <c r="Y102" s="64">
        <f t="shared" si="90"/>
        <v>10</v>
      </c>
      <c r="Z102" s="25">
        <f t="shared" si="91"/>
        <v>54.78</v>
      </c>
      <c r="AA102" s="68" t="str">
        <f>LOOKUP(Z102,'Wire-Cables Ampacities'!$B$5:$B$35,'Wire-Cables Ampacities'!$C$5:$C$35)</f>
        <v>#8</v>
      </c>
      <c r="AB102" s="64">
        <f t="shared" si="92"/>
        <v>10</v>
      </c>
      <c r="AC102" s="25">
        <f t="shared" si="93"/>
        <v>55.000000000000007</v>
      </c>
      <c r="AD102" s="68" t="str">
        <f>LOOKUP(AC102,'Wire-Cables Ampacities'!$B$5:$B$35,'Wire-Cables Ampacities'!$C$5:$C$35)</f>
        <v>#8</v>
      </c>
      <c r="AE102" s="81">
        <f t="shared" si="94"/>
        <v>0.36249999999999999</v>
      </c>
      <c r="AF102" s="56">
        <f t="shared" si="77"/>
        <v>1236.9014749999999</v>
      </c>
      <c r="AG102" s="72">
        <f t="shared" si="95"/>
        <v>40</v>
      </c>
      <c r="AH102" s="15">
        <f t="shared" si="95"/>
        <v>55</v>
      </c>
      <c r="AI102" s="64">
        <f t="shared" si="95"/>
        <v>20</v>
      </c>
      <c r="AJ102" s="56">
        <f t="shared" si="96"/>
        <v>51.04</v>
      </c>
      <c r="AK102" s="271">
        <f t="shared" si="97"/>
        <v>0.51039999999999996</v>
      </c>
      <c r="AL102" s="277">
        <f t="shared" si="98"/>
        <v>0.25519999999999998</v>
      </c>
      <c r="AM102" s="58">
        <v>800</v>
      </c>
      <c r="AN102" s="25">
        <v>34</v>
      </c>
      <c r="AO102" s="3">
        <v>48</v>
      </c>
      <c r="AP102" s="3">
        <v>28</v>
      </c>
      <c r="AQ102" s="281">
        <f t="shared" si="99"/>
        <v>47.944444444444443</v>
      </c>
      <c r="AR102" s="287">
        <f t="shared" si="78"/>
        <v>337.94314166666652</v>
      </c>
      <c r="AS102" s="93"/>
      <c r="AT102" s="4"/>
    </row>
    <row r="103" spans="1:46">
      <c r="A103" s="72">
        <f t="shared" si="79"/>
        <v>18</v>
      </c>
      <c r="B103" s="15">
        <v>2.4500000000000002</v>
      </c>
      <c r="C103" s="66">
        <f t="shared" si="80"/>
        <v>44.1</v>
      </c>
      <c r="D103" s="68">
        <v>60</v>
      </c>
      <c r="E103" s="66">
        <f t="shared" si="81"/>
        <v>120</v>
      </c>
      <c r="F103" s="45">
        <f t="shared" si="82"/>
        <v>21.650635094610969</v>
      </c>
      <c r="G103" s="94">
        <f t="shared" si="83"/>
        <v>12</v>
      </c>
      <c r="H103" s="295">
        <f t="shared" si="70"/>
        <v>24.139776000000005</v>
      </c>
      <c r="I103" s="25">
        <f t="shared" si="71"/>
        <v>41.811318515331806</v>
      </c>
      <c r="J103" s="52">
        <f t="shared" si="84"/>
        <v>20</v>
      </c>
      <c r="K103" s="25">
        <f t="shared" si="72"/>
        <v>59.76</v>
      </c>
      <c r="L103" s="427">
        <f t="shared" si="73"/>
        <v>4.5</v>
      </c>
      <c r="M103" s="64">
        <f t="shared" si="85"/>
        <v>30</v>
      </c>
      <c r="N103" s="838">
        <f t="shared" si="74"/>
        <v>28.145825622994259</v>
      </c>
      <c r="O103" s="68">
        <f>LOOKUP(N103,'Circuit Breakers'!$B$5:$B$38,'Circuit Breakers'!$C$5:$C$38)</f>
        <v>30</v>
      </c>
      <c r="P103" s="199">
        <f t="shared" si="75"/>
        <v>30</v>
      </c>
      <c r="Q103" s="1056">
        <f t="shared" si="86"/>
        <v>77.688000000000002</v>
      </c>
      <c r="R103" s="1064">
        <f>LOOKUP(Q103,'Circuit Breakers'!$B$5:$B$38,'Circuit Breakers'!$C$5:$C$38)</f>
        <v>80</v>
      </c>
      <c r="S103" s="64">
        <f t="shared" si="76"/>
        <v>30</v>
      </c>
      <c r="T103" s="25">
        <f t="shared" si="87"/>
        <v>78</v>
      </c>
      <c r="U103" s="158">
        <f>LOOKUP(T103,'Circuit Breakers'!$B$5:$B$38,'Circuit Breakers'!$C$5:$C$38)</f>
        <v>80</v>
      </c>
      <c r="V103" s="64">
        <f t="shared" si="88"/>
        <v>15</v>
      </c>
      <c r="W103" s="25">
        <f t="shared" si="89"/>
        <v>24.898230358802614</v>
      </c>
      <c r="X103" s="68" t="str">
        <f>LOOKUP(W103,'Wire-Cables Ampacities'!$B$5:$B$35,'Wire-Cables Ampacities'!$C$5:$C$35)</f>
        <v>#10</v>
      </c>
      <c r="Y103" s="64">
        <f t="shared" si="90"/>
        <v>10</v>
      </c>
      <c r="Z103" s="25">
        <f t="shared" si="91"/>
        <v>65.736000000000004</v>
      </c>
      <c r="AA103" s="68" t="str">
        <f>LOOKUP(Z103,'Wire-Cables Ampacities'!$B$5:$B$35,'Wire-Cables Ampacities'!$C$5:$C$35)</f>
        <v>#6</v>
      </c>
      <c r="AB103" s="64">
        <f t="shared" si="92"/>
        <v>10</v>
      </c>
      <c r="AC103" s="25">
        <f t="shared" si="93"/>
        <v>66</v>
      </c>
      <c r="AD103" s="68" t="str">
        <f>LOOKUP(AC103,'Wire-Cables Ampacities'!$B$5:$B$35,'Wire-Cables Ampacities'!$C$5:$C$35)</f>
        <v>#6</v>
      </c>
      <c r="AE103" s="81">
        <f t="shared" si="94"/>
        <v>0.43500000000000005</v>
      </c>
      <c r="AF103" s="56">
        <f t="shared" si="77"/>
        <v>1484.2817700000003</v>
      </c>
      <c r="AG103" s="72">
        <f t="shared" si="95"/>
        <v>40</v>
      </c>
      <c r="AH103" s="15">
        <f t="shared" si="95"/>
        <v>55</v>
      </c>
      <c r="AI103" s="64">
        <f t="shared" si="95"/>
        <v>20</v>
      </c>
      <c r="AJ103" s="56">
        <f t="shared" si="96"/>
        <v>61.248000000000005</v>
      </c>
      <c r="AK103" s="271">
        <f t="shared" si="97"/>
        <v>0.61248000000000002</v>
      </c>
      <c r="AL103" s="277">
        <f t="shared" si="98"/>
        <v>0.30624000000000001</v>
      </c>
      <c r="AM103" s="58">
        <v>800</v>
      </c>
      <c r="AN103" s="25">
        <v>34</v>
      </c>
      <c r="AO103" s="3">
        <v>48</v>
      </c>
      <c r="AP103" s="3">
        <v>28</v>
      </c>
      <c r="AQ103" s="281">
        <f t="shared" si="99"/>
        <v>47.944444444444443</v>
      </c>
      <c r="AR103" s="287">
        <f t="shared" si="78"/>
        <v>585.32343666666691</v>
      </c>
      <c r="AS103" s="93"/>
      <c r="AT103" s="4"/>
    </row>
    <row r="104" spans="1:46">
      <c r="A104" s="98">
        <f t="shared" si="79"/>
        <v>18</v>
      </c>
      <c r="B104" s="99">
        <v>2.4500000000000002</v>
      </c>
      <c r="C104" s="100">
        <f t="shared" si="80"/>
        <v>44.1</v>
      </c>
      <c r="D104" s="101">
        <v>75</v>
      </c>
      <c r="E104" s="100">
        <f t="shared" si="81"/>
        <v>120</v>
      </c>
      <c r="F104" s="102">
        <f t="shared" si="82"/>
        <v>26.461887337857849</v>
      </c>
      <c r="G104" s="103">
        <f t="shared" si="83"/>
        <v>12</v>
      </c>
      <c r="H104" s="296">
        <f t="shared" si="70"/>
        <v>24.139776000000005</v>
      </c>
      <c r="I104" s="104">
        <f t="shared" si="71"/>
        <v>41.811318515331806</v>
      </c>
      <c r="J104" s="180">
        <f t="shared" si="84"/>
        <v>20</v>
      </c>
      <c r="K104" s="104">
        <f t="shared" si="72"/>
        <v>74.7</v>
      </c>
      <c r="L104" s="428">
        <f t="shared" si="73"/>
        <v>5.5</v>
      </c>
      <c r="M104" s="106">
        <f t="shared" si="85"/>
        <v>30</v>
      </c>
      <c r="N104" s="1060">
        <f t="shared" si="74"/>
        <v>34.400453539215206</v>
      </c>
      <c r="O104" s="101">
        <f>LOOKUP(N104,'Circuit Breakers'!$B$5:$B$38,'Circuit Breakers'!$C$5:$C$38)</f>
        <v>40</v>
      </c>
      <c r="P104" s="262">
        <f t="shared" si="75"/>
        <v>30</v>
      </c>
      <c r="Q104" s="1057">
        <f t="shared" si="86"/>
        <v>97.110000000000014</v>
      </c>
      <c r="R104" s="1065">
        <f>LOOKUP(Q104,'Circuit Breakers'!$B$5:$B$38,'Circuit Breakers'!$C$5:$C$38)</f>
        <v>100</v>
      </c>
      <c r="S104" s="106">
        <f t="shared" si="76"/>
        <v>30</v>
      </c>
      <c r="T104" s="104">
        <f t="shared" si="87"/>
        <v>97.5</v>
      </c>
      <c r="U104" s="477">
        <f>LOOKUP(T104,'Circuit Breakers'!$B$5:$B$38,'Circuit Breakers'!$C$5:$C$38)</f>
        <v>100</v>
      </c>
      <c r="V104" s="106">
        <f t="shared" si="88"/>
        <v>15</v>
      </c>
      <c r="W104" s="104">
        <f t="shared" si="89"/>
        <v>30.431170438536522</v>
      </c>
      <c r="X104" s="101" t="str">
        <f>LOOKUP(W104,'Wire-Cables Ampacities'!$B$5:$B$35,'Wire-Cables Ampacities'!$C$5:$C$35)</f>
        <v>#10</v>
      </c>
      <c r="Y104" s="106">
        <f t="shared" si="90"/>
        <v>10</v>
      </c>
      <c r="Z104" s="104">
        <f t="shared" si="91"/>
        <v>82.170000000000016</v>
      </c>
      <c r="AA104" s="101" t="str">
        <f>LOOKUP(Z104,'Wire-Cables Ampacities'!$B$5:$B$35,'Wire-Cables Ampacities'!$C$5:$C$35)</f>
        <v>#4</v>
      </c>
      <c r="AB104" s="106">
        <f t="shared" si="92"/>
        <v>10</v>
      </c>
      <c r="AC104" s="104">
        <f t="shared" si="93"/>
        <v>82.5</v>
      </c>
      <c r="AD104" s="101" t="str">
        <f>LOOKUP(AC104,'Wire-Cables Ampacities'!$B$5:$B$35,'Wire-Cables Ampacities'!$C$5:$C$35)</f>
        <v>#4</v>
      </c>
      <c r="AE104" s="107">
        <f t="shared" si="94"/>
        <v>0.53500000000000003</v>
      </c>
      <c r="AF104" s="105">
        <f t="shared" si="77"/>
        <v>1825.4959699999999</v>
      </c>
      <c r="AG104" s="98">
        <f t="shared" si="95"/>
        <v>40</v>
      </c>
      <c r="AH104" s="99">
        <f t="shared" si="95"/>
        <v>55</v>
      </c>
      <c r="AI104" s="106">
        <f t="shared" si="95"/>
        <v>20</v>
      </c>
      <c r="AJ104" s="105">
        <f t="shared" si="96"/>
        <v>75.328000000000003</v>
      </c>
      <c r="AK104" s="272">
        <f t="shared" si="97"/>
        <v>0.75328000000000006</v>
      </c>
      <c r="AL104" s="278">
        <f t="shared" si="98"/>
        <v>0.37664000000000003</v>
      </c>
      <c r="AM104" s="109">
        <v>800</v>
      </c>
      <c r="AN104" s="104">
        <v>34</v>
      </c>
      <c r="AO104" s="110">
        <v>48</v>
      </c>
      <c r="AP104" s="110">
        <v>28</v>
      </c>
      <c r="AQ104" s="282">
        <f t="shared" si="99"/>
        <v>47.944444444444443</v>
      </c>
      <c r="AR104" s="288">
        <f t="shared" si="78"/>
        <v>926.53763666666657</v>
      </c>
      <c r="AS104" s="93"/>
      <c r="AT104" s="4"/>
    </row>
    <row r="105" spans="1:46">
      <c r="A105" s="72">
        <f t="shared" si="79"/>
        <v>18</v>
      </c>
      <c r="B105" s="15">
        <v>2.4500000000000002</v>
      </c>
      <c r="C105" s="66">
        <f t="shared" si="80"/>
        <v>44.1</v>
      </c>
      <c r="D105" s="68">
        <v>100</v>
      </c>
      <c r="E105" s="66">
        <f t="shared" si="81"/>
        <v>120</v>
      </c>
      <c r="F105" s="45">
        <f t="shared" si="82"/>
        <v>34.881578763539892</v>
      </c>
      <c r="G105" s="94">
        <f t="shared" si="83"/>
        <v>12</v>
      </c>
      <c r="H105" s="295">
        <f t="shared" si="70"/>
        <v>24.139776000000005</v>
      </c>
      <c r="I105" s="25">
        <f t="shared" si="71"/>
        <v>41.811318515331806</v>
      </c>
      <c r="J105" s="52">
        <f t="shared" si="84"/>
        <v>20</v>
      </c>
      <c r="K105" s="25">
        <f t="shared" si="72"/>
        <v>99.6</v>
      </c>
      <c r="L105" s="427">
        <f t="shared" si="73"/>
        <v>7.25</v>
      </c>
      <c r="M105" s="64">
        <f t="shared" si="85"/>
        <v>30</v>
      </c>
      <c r="N105" s="838">
        <f t="shared" si="74"/>
        <v>45.346052392601862</v>
      </c>
      <c r="O105" s="68">
        <f>LOOKUP(N105,'Circuit Breakers'!$B$5:$B$38,'Circuit Breakers'!$C$5:$C$38)</f>
        <v>50</v>
      </c>
      <c r="P105" s="199">
        <f t="shared" si="75"/>
        <v>30</v>
      </c>
      <c r="Q105" s="1056">
        <f t="shared" si="86"/>
        <v>129.47999999999999</v>
      </c>
      <c r="R105" s="1064">
        <f>LOOKUP(Q105,'Circuit Breakers'!$B$5:$B$38,'Circuit Breakers'!$C$5:$C$38)</f>
        <v>150</v>
      </c>
      <c r="S105" s="64">
        <f t="shared" si="76"/>
        <v>30</v>
      </c>
      <c r="T105" s="25">
        <f t="shared" si="87"/>
        <v>130</v>
      </c>
      <c r="U105" s="158">
        <f>LOOKUP(T105,'Circuit Breakers'!$B$5:$B$38,'Circuit Breakers'!$C$5:$C$38)</f>
        <v>150</v>
      </c>
      <c r="V105" s="64">
        <f t="shared" si="88"/>
        <v>15</v>
      </c>
      <c r="W105" s="25">
        <f t="shared" si="89"/>
        <v>40.11381557807087</v>
      </c>
      <c r="X105" s="68" t="str">
        <f>LOOKUP(W105,'Wire-Cables Ampacities'!$B$5:$B$35,'Wire-Cables Ampacities'!$C$5:$C$35)</f>
        <v>#10</v>
      </c>
      <c r="Y105" s="64">
        <f t="shared" si="90"/>
        <v>10</v>
      </c>
      <c r="Z105" s="25">
        <f t="shared" si="91"/>
        <v>109.56</v>
      </c>
      <c r="AA105" s="68" t="str">
        <f>LOOKUP(Z105,'Wire-Cables Ampacities'!$B$5:$B$35,'Wire-Cables Ampacities'!$C$5:$C$35)</f>
        <v>#3</v>
      </c>
      <c r="AB105" s="64">
        <f t="shared" si="92"/>
        <v>10</v>
      </c>
      <c r="AC105" s="25">
        <f t="shared" si="93"/>
        <v>110.00000000000001</v>
      </c>
      <c r="AD105" s="68" t="str">
        <f>LOOKUP(AC105,'Wire-Cables Ampacities'!$B$5:$B$35,'Wire-Cables Ampacities'!$C$5:$C$35)</f>
        <v>#3</v>
      </c>
      <c r="AE105" s="81">
        <f t="shared" si="94"/>
        <v>0.70750000000000002</v>
      </c>
      <c r="AF105" s="56">
        <f t="shared" si="77"/>
        <v>2414.0904650000002</v>
      </c>
      <c r="AG105" s="72">
        <f t="shared" si="95"/>
        <v>40</v>
      </c>
      <c r="AH105" s="15">
        <f t="shared" si="95"/>
        <v>55</v>
      </c>
      <c r="AI105" s="64">
        <f t="shared" si="95"/>
        <v>20</v>
      </c>
      <c r="AJ105" s="56">
        <f t="shared" si="96"/>
        <v>99.616</v>
      </c>
      <c r="AK105" s="271">
        <f t="shared" si="97"/>
        <v>0.99616000000000005</v>
      </c>
      <c r="AL105" s="277">
        <f t="shared" si="98"/>
        <v>0.49808000000000002</v>
      </c>
      <c r="AM105" s="58">
        <v>800</v>
      </c>
      <c r="AN105" s="25">
        <v>34</v>
      </c>
      <c r="AO105" s="3">
        <v>48</v>
      </c>
      <c r="AP105" s="3">
        <v>28</v>
      </c>
      <c r="AQ105" s="281">
        <f t="shared" si="99"/>
        <v>47.944444444444443</v>
      </c>
      <c r="AR105" s="287">
        <f t="shared" si="78"/>
        <v>1515.1321316666667</v>
      </c>
      <c r="AS105" s="93"/>
      <c r="AT105" s="4"/>
    </row>
    <row r="106" spans="1:46">
      <c r="A106" s="72">
        <f t="shared" si="79"/>
        <v>18</v>
      </c>
      <c r="B106" s="15">
        <v>2.4500000000000002</v>
      </c>
      <c r="C106" s="66">
        <f t="shared" si="80"/>
        <v>44.1</v>
      </c>
      <c r="D106" s="68">
        <v>125</v>
      </c>
      <c r="E106" s="66">
        <f t="shared" si="81"/>
        <v>208</v>
      </c>
      <c r="F106" s="45">
        <f t="shared" si="82"/>
        <v>25.675432644250186</v>
      </c>
      <c r="G106" s="94">
        <f t="shared" si="83"/>
        <v>12</v>
      </c>
      <c r="H106" s="295">
        <f t="shared" si="70"/>
        <v>24.139776000000005</v>
      </c>
      <c r="I106" s="25">
        <f t="shared" si="71"/>
        <v>41.811318515331806</v>
      </c>
      <c r="J106" s="52">
        <f t="shared" si="84"/>
        <v>20</v>
      </c>
      <c r="K106" s="25">
        <f t="shared" si="72"/>
        <v>124.5</v>
      </c>
      <c r="L106" s="427">
        <f t="shared" si="73"/>
        <v>9.25</v>
      </c>
      <c r="M106" s="64">
        <f t="shared" si="85"/>
        <v>30</v>
      </c>
      <c r="N106" s="838">
        <f t="shared" si="74"/>
        <v>33.378062437525244</v>
      </c>
      <c r="O106" s="68">
        <f>LOOKUP(N106,'Circuit Breakers'!$B$5:$B$38,'Circuit Breakers'!$C$5:$C$38)</f>
        <v>40</v>
      </c>
      <c r="P106" s="199">
        <f t="shared" si="75"/>
        <v>30</v>
      </c>
      <c r="Q106" s="1056">
        <f t="shared" si="86"/>
        <v>161.85</v>
      </c>
      <c r="R106" s="1064">
        <f>LOOKUP(Q106,'Circuit Breakers'!$B$5:$B$38,'Circuit Breakers'!$C$5:$C$38)</f>
        <v>175</v>
      </c>
      <c r="S106" s="64">
        <f t="shared" si="76"/>
        <v>30</v>
      </c>
      <c r="T106" s="25">
        <f t="shared" si="87"/>
        <v>162.5</v>
      </c>
      <c r="U106" s="158">
        <f>LOOKUP(T106,'Circuit Breakers'!$B$5:$B$38,'Circuit Breakers'!$C$5:$C$38)</f>
        <v>175</v>
      </c>
      <c r="V106" s="64">
        <f t="shared" si="88"/>
        <v>15</v>
      </c>
      <c r="W106" s="25">
        <f t="shared" si="89"/>
        <v>29.526747540887712</v>
      </c>
      <c r="X106" s="68" t="str">
        <f>LOOKUP(W106,'Wire-Cables Ampacities'!$B$5:$B$35,'Wire-Cables Ampacities'!$C$5:$C$35)</f>
        <v>#10</v>
      </c>
      <c r="Y106" s="64">
        <f t="shared" si="90"/>
        <v>10</v>
      </c>
      <c r="Z106" s="25">
        <f t="shared" si="91"/>
        <v>136.95000000000002</v>
      </c>
      <c r="AA106" s="68" t="str">
        <f>LOOKUP(Z106,'Wire-Cables Ampacities'!$B$5:$B$35,'Wire-Cables Ampacities'!$C$5:$C$35)</f>
        <v>#2</v>
      </c>
      <c r="AB106" s="64">
        <f t="shared" si="92"/>
        <v>10</v>
      </c>
      <c r="AC106" s="25">
        <f t="shared" si="93"/>
        <v>137.5</v>
      </c>
      <c r="AD106" s="68" t="str">
        <f>LOOKUP(AC106,'Wire-Cables Ampacities'!$B$5:$B$35,'Wire-Cables Ampacities'!$C$5:$C$35)</f>
        <v>#2</v>
      </c>
      <c r="AE106" s="81">
        <f t="shared" si="94"/>
        <v>0.89750000000000008</v>
      </c>
      <c r="AF106" s="56">
        <f t="shared" si="77"/>
        <v>3062.3974450000001</v>
      </c>
      <c r="AG106" s="72">
        <f t="shared" si="95"/>
        <v>40</v>
      </c>
      <c r="AH106" s="15">
        <f t="shared" si="95"/>
        <v>55</v>
      </c>
      <c r="AI106" s="64">
        <f t="shared" si="95"/>
        <v>20</v>
      </c>
      <c r="AJ106" s="56">
        <f t="shared" si="96"/>
        <v>126.36799999999999</v>
      </c>
      <c r="AK106" s="271">
        <f t="shared" si="97"/>
        <v>1.2636799999999999</v>
      </c>
      <c r="AL106" s="277">
        <f t="shared" si="98"/>
        <v>0.63183999999999996</v>
      </c>
      <c r="AM106" s="58">
        <v>800</v>
      </c>
      <c r="AN106" s="25">
        <v>34</v>
      </c>
      <c r="AO106" s="3">
        <v>48</v>
      </c>
      <c r="AP106" s="3">
        <v>28</v>
      </c>
      <c r="AQ106" s="281">
        <f t="shared" si="99"/>
        <v>47.944444444444443</v>
      </c>
      <c r="AR106" s="287">
        <f t="shared" si="78"/>
        <v>2163.4391116666666</v>
      </c>
      <c r="AS106" s="93"/>
      <c r="AT106" s="4"/>
    </row>
    <row r="107" spans="1:46">
      <c r="A107" s="98">
        <f t="shared" si="79"/>
        <v>18</v>
      </c>
      <c r="B107" s="99">
        <v>2.4500000000000002</v>
      </c>
      <c r="C107" s="100">
        <f t="shared" si="80"/>
        <v>44.1</v>
      </c>
      <c r="D107" s="101">
        <v>150</v>
      </c>
      <c r="E107" s="100">
        <f t="shared" si="81"/>
        <v>208</v>
      </c>
      <c r="F107" s="102">
        <f t="shared" si="82"/>
        <v>30.53294692829752</v>
      </c>
      <c r="G107" s="103">
        <f t="shared" si="83"/>
        <v>12</v>
      </c>
      <c r="H107" s="296">
        <f t="shared" si="70"/>
        <v>24.139776000000005</v>
      </c>
      <c r="I107" s="104">
        <f t="shared" si="71"/>
        <v>41.811318515331806</v>
      </c>
      <c r="J107" s="180">
        <f t="shared" si="84"/>
        <v>20</v>
      </c>
      <c r="K107" s="104">
        <f t="shared" si="72"/>
        <v>149.4</v>
      </c>
      <c r="L107" s="263">
        <f t="shared" si="73"/>
        <v>11</v>
      </c>
      <c r="M107" s="106">
        <f t="shared" si="85"/>
        <v>30</v>
      </c>
      <c r="N107" s="1060">
        <f t="shared" si="74"/>
        <v>39.692831006786776</v>
      </c>
      <c r="O107" s="101">
        <f>LOOKUP(N107,'Circuit Breakers'!$B$5:$B$38,'Circuit Breakers'!$C$5:$C$38)</f>
        <v>40</v>
      </c>
      <c r="P107" s="262">
        <f t="shared" si="75"/>
        <v>30</v>
      </c>
      <c r="Q107" s="1057">
        <f t="shared" si="86"/>
        <v>194.22000000000003</v>
      </c>
      <c r="R107" s="1065">
        <f>LOOKUP(Q107,'Circuit Breakers'!$B$5:$B$38,'Circuit Breakers'!$C$5:$C$38)</f>
        <v>200</v>
      </c>
      <c r="S107" s="106">
        <f t="shared" si="76"/>
        <v>30</v>
      </c>
      <c r="T107" s="104">
        <f t="shared" si="87"/>
        <v>195</v>
      </c>
      <c r="U107" s="477">
        <f>LOOKUP(T107,'Circuit Breakers'!$B$5:$B$38,'Circuit Breakers'!$C$5:$C$38)</f>
        <v>200</v>
      </c>
      <c r="V107" s="106">
        <f t="shared" si="88"/>
        <v>15</v>
      </c>
      <c r="W107" s="104">
        <f t="shared" si="89"/>
        <v>35.112888967542148</v>
      </c>
      <c r="X107" s="101" t="str">
        <f>LOOKUP(W107,'Wire-Cables Ampacities'!$B$5:$B$35,'Wire-Cables Ampacities'!$C$5:$C$35)</f>
        <v>#10</v>
      </c>
      <c r="Y107" s="106">
        <f t="shared" si="90"/>
        <v>10</v>
      </c>
      <c r="Z107" s="104">
        <f t="shared" si="91"/>
        <v>164.34000000000003</v>
      </c>
      <c r="AA107" s="101" t="str">
        <f>LOOKUP(Z107,'Wire-Cables Ampacities'!$B$5:$B$35,'Wire-Cables Ampacities'!$C$5:$C$35)</f>
        <v>#1</v>
      </c>
      <c r="AB107" s="106">
        <f t="shared" si="92"/>
        <v>10</v>
      </c>
      <c r="AC107" s="104">
        <f t="shared" si="93"/>
        <v>165</v>
      </c>
      <c r="AD107" s="101" t="str">
        <f>LOOKUP(AC107,'Wire-Cables Ampacities'!$B$5:$B$35,'Wire-Cables Ampacities'!$C$5:$C$35)</f>
        <v>#1</v>
      </c>
      <c r="AE107" s="107">
        <f t="shared" si="94"/>
        <v>1.07</v>
      </c>
      <c r="AF107" s="105">
        <f t="shared" si="77"/>
        <v>3650.9919399999999</v>
      </c>
      <c r="AG107" s="98">
        <f t="shared" si="95"/>
        <v>40</v>
      </c>
      <c r="AH107" s="99">
        <f t="shared" si="95"/>
        <v>55</v>
      </c>
      <c r="AI107" s="106">
        <f t="shared" si="95"/>
        <v>20</v>
      </c>
      <c r="AJ107" s="105">
        <f t="shared" si="96"/>
        <v>150.65600000000001</v>
      </c>
      <c r="AK107" s="272">
        <f t="shared" si="97"/>
        <v>1.5065600000000001</v>
      </c>
      <c r="AL107" s="278">
        <f t="shared" si="98"/>
        <v>0.75328000000000006</v>
      </c>
      <c r="AM107" s="109">
        <v>800</v>
      </c>
      <c r="AN107" s="104">
        <v>34</v>
      </c>
      <c r="AO107" s="110">
        <v>48</v>
      </c>
      <c r="AP107" s="110">
        <v>28</v>
      </c>
      <c r="AQ107" s="282">
        <f t="shared" si="99"/>
        <v>47.944444444444443</v>
      </c>
      <c r="AR107" s="288">
        <f t="shared" si="78"/>
        <v>2752.0336066666664</v>
      </c>
      <c r="AS107" s="93"/>
      <c r="AT107" s="4"/>
    </row>
    <row r="108" spans="1:46">
      <c r="A108" s="72">
        <f t="shared" si="79"/>
        <v>18</v>
      </c>
      <c r="B108" s="15">
        <v>2.4500000000000002</v>
      </c>
      <c r="C108" s="66">
        <f t="shared" si="80"/>
        <v>44.1</v>
      </c>
      <c r="D108" s="68">
        <v>175</v>
      </c>
      <c r="E108" s="66">
        <f t="shared" si="81"/>
        <v>208</v>
      </c>
      <c r="F108" s="45">
        <f t="shared" si="82"/>
        <v>36.084391824351613</v>
      </c>
      <c r="G108" s="94">
        <f t="shared" si="83"/>
        <v>12</v>
      </c>
      <c r="H108" s="295">
        <f t="shared" si="70"/>
        <v>24.139776000000005</v>
      </c>
      <c r="I108" s="25">
        <f t="shared" si="71"/>
        <v>41.811318515331806</v>
      </c>
      <c r="J108" s="52">
        <f t="shared" si="84"/>
        <v>20</v>
      </c>
      <c r="K108" s="25">
        <f t="shared" si="72"/>
        <v>174.29999999999998</v>
      </c>
      <c r="L108" s="157">
        <f t="shared" si="73"/>
        <v>13</v>
      </c>
      <c r="M108" s="64">
        <f t="shared" si="85"/>
        <v>30</v>
      </c>
      <c r="N108" s="838">
        <f t="shared" si="74"/>
        <v>46.909709371657101</v>
      </c>
      <c r="O108" s="68">
        <f>LOOKUP(N108,'Circuit Breakers'!$B$5:$B$38,'Circuit Breakers'!$C$5:$C$38)</f>
        <v>50</v>
      </c>
      <c r="P108" s="199">
        <f t="shared" si="75"/>
        <v>30</v>
      </c>
      <c r="Q108" s="1056">
        <f t="shared" si="86"/>
        <v>226.58999999999997</v>
      </c>
      <c r="R108" s="1064">
        <f>LOOKUP(Q108,'Circuit Breakers'!$B$5:$B$38,'Circuit Breakers'!$C$5:$C$38)</f>
        <v>250</v>
      </c>
      <c r="S108" s="64">
        <f t="shared" si="76"/>
        <v>30</v>
      </c>
      <c r="T108" s="25">
        <f t="shared" si="87"/>
        <v>227.5</v>
      </c>
      <c r="U108" s="158">
        <f>LOOKUP(T108,'Circuit Breakers'!$B$5:$B$38,'Circuit Breakers'!$C$5:$C$38)</f>
        <v>250</v>
      </c>
      <c r="V108" s="64">
        <f t="shared" si="88"/>
        <v>15</v>
      </c>
      <c r="W108" s="25">
        <f t="shared" si="89"/>
        <v>41.49705059800435</v>
      </c>
      <c r="X108" s="68" t="str">
        <f>LOOKUP(W108,'Wire-Cables Ampacities'!$B$5:$B$35,'Wire-Cables Ampacities'!$C$5:$C$35)</f>
        <v>#8</v>
      </c>
      <c r="Y108" s="64">
        <f t="shared" si="90"/>
        <v>10</v>
      </c>
      <c r="Z108" s="25">
        <f t="shared" si="91"/>
        <v>191.73</v>
      </c>
      <c r="AA108" s="68" t="str">
        <f>LOOKUP(Z108,'Wire-Cables Ampacities'!$B$5:$B$35,'Wire-Cables Ampacities'!$C$5:$C$35)</f>
        <v>#1/0</v>
      </c>
      <c r="AB108" s="64">
        <f t="shared" si="92"/>
        <v>10</v>
      </c>
      <c r="AC108" s="25">
        <f t="shared" si="93"/>
        <v>192.50000000000003</v>
      </c>
      <c r="AD108" s="68" t="str">
        <f>LOOKUP(AC108,'Wire-Cables Ampacities'!$B$5:$B$35,'Wire-Cables Ampacities'!$C$5:$C$35)</f>
        <v>#1/0</v>
      </c>
      <c r="AE108" s="81">
        <f t="shared" si="94"/>
        <v>1.26</v>
      </c>
      <c r="AF108" s="56">
        <f t="shared" si="77"/>
        <v>4299.2989200000002</v>
      </c>
      <c r="AG108" s="72">
        <f t="shared" si="95"/>
        <v>40</v>
      </c>
      <c r="AH108" s="15">
        <f t="shared" si="95"/>
        <v>55</v>
      </c>
      <c r="AI108" s="64">
        <f t="shared" si="95"/>
        <v>20</v>
      </c>
      <c r="AJ108" s="56">
        <f t="shared" si="96"/>
        <v>177.40799999999999</v>
      </c>
      <c r="AK108" s="271">
        <f t="shared" si="97"/>
        <v>1.7740799999999999</v>
      </c>
      <c r="AL108" s="277">
        <f t="shared" si="98"/>
        <v>0.88703999999999994</v>
      </c>
      <c r="AM108" s="58">
        <v>1200</v>
      </c>
      <c r="AN108" s="25">
        <v>38</v>
      </c>
      <c r="AO108" s="3">
        <v>70</v>
      </c>
      <c r="AP108" s="3">
        <v>28</v>
      </c>
      <c r="AQ108" s="281">
        <f t="shared" si="99"/>
        <v>71.555555555555557</v>
      </c>
      <c r="AR108" s="287">
        <f t="shared" si="78"/>
        <v>2957.6322533333332</v>
      </c>
      <c r="AS108" s="93"/>
      <c r="AT108" s="4"/>
    </row>
    <row r="109" spans="1:46">
      <c r="A109" s="72">
        <f t="shared" si="79"/>
        <v>18</v>
      </c>
      <c r="B109" s="15">
        <v>2.4500000000000002</v>
      </c>
      <c r="C109" s="66">
        <f t="shared" si="80"/>
        <v>44.1</v>
      </c>
      <c r="D109" s="68">
        <v>200</v>
      </c>
      <c r="E109" s="66">
        <f t="shared" si="81"/>
        <v>208</v>
      </c>
      <c r="F109" s="45">
        <f t="shared" si="82"/>
        <v>40.247975496392186</v>
      </c>
      <c r="G109" s="94">
        <f t="shared" si="83"/>
        <v>12</v>
      </c>
      <c r="H109" s="295">
        <f t="shared" si="70"/>
        <v>24.139776000000005</v>
      </c>
      <c r="I109" s="25">
        <f t="shared" si="71"/>
        <v>41.811318515331806</v>
      </c>
      <c r="J109" s="52">
        <f t="shared" si="84"/>
        <v>20</v>
      </c>
      <c r="K109" s="25">
        <f t="shared" si="72"/>
        <v>199.2</v>
      </c>
      <c r="L109" s="157">
        <f t="shared" si="73"/>
        <v>14.5</v>
      </c>
      <c r="M109" s="64">
        <f t="shared" si="85"/>
        <v>30</v>
      </c>
      <c r="N109" s="838">
        <f t="shared" si="74"/>
        <v>52.322368145309845</v>
      </c>
      <c r="O109" s="68">
        <f>LOOKUP(N109,'Circuit Breakers'!$B$5:$B$38,'Circuit Breakers'!$C$5:$C$38)</f>
        <v>60</v>
      </c>
      <c r="P109" s="199">
        <f t="shared" si="75"/>
        <v>30</v>
      </c>
      <c r="Q109" s="1056">
        <f t="shared" si="86"/>
        <v>258.95999999999998</v>
      </c>
      <c r="R109" s="1064">
        <f>LOOKUP(Q109,'Circuit Breakers'!$B$5:$B$38,'Circuit Breakers'!$C$5:$C$38)</f>
        <v>300</v>
      </c>
      <c r="S109" s="64">
        <f t="shared" si="76"/>
        <v>30</v>
      </c>
      <c r="T109" s="25">
        <f t="shared" si="87"/>
        <v>260</v>
      </c>
      <c r="U109" s="158">
        <f>LOOKUP(T109,'Circuit Breakers'!$B$5:$B$38,'Circuit Breakers'!$C$5:$C$38)</f>
        <v>300</v>
      </c>
      <c r="V109" s="64">
        <f t="shared" si="88"/>
        <v>15</v>
      </c>
      <c r="W109" s="25">
        <f t="shared" si="89"/>
        <v>46.285171820851012</v>
      </c>
      <c r="X109" s="68" t="str">
        <f>LOOKUP(W109,'Wire-Cables Ampacities'!$B$5:$B$35,'Wire-Cables Ampacities'!$C$5:$C$35)</f>
        <v>#8</v>
      </c>
      <c r="Y109" s="64">
        <f t="shared" si="90"/>
        <v>10</v>
      </c>
      <c r="Z109" s="25">
        <f t="shared" si="91"/>
        <v>219.12</v>
      </c>
      <c r="AA109" s="68" t="str">
        <f>LOOKUP(Z109,'Wire-Cables Ampacities'!$B$5:$B$35,'Wire-Cables Ampacities'!$C$5:$C$35)</f>
        <v>#2/0</v>
      </c>
      <c r="AB109" s="64">
        <f t="shared" si="92"/>
        <v>10</v>
      </c>
      <c r="AC109" s="25">
        <f t="shared" si="93"/>
        <v>220.00000000000003</v>
      </c>
      <c r="AD109" s="68" t="str">
        <f>LOOKUP(AC109,'Wire-Cables Ampacities'!$B$5:$B$35,'Wire-Cables Ampacities'!$C$5:$C$35)</f>
        <v>#2/0</v>
      </c>
      <c r="AE109" s="81">
        <f t="shared" si="94"/>
        <v>1.415</v>
      </c>
      <c r="AF109" s="56">
        <f t="shared" si="77"/>
        <v>4828.1809300000004</v>
      </c>
      <c r="AG109" s="72">
        <f t="shared" si="95"/>
        <v>40</v>
      </c>
      <c r="AH109" s="15">
        <f t="shared" si="95"/>
        <v>55</v>
      </c>
      <c r="AI109" s="64">
        <f t="shared" si="95"/>
        <v>20</v>
      </c>
      <c r="AJ109" s="56">
        <f t="shared" si="96"/>
        <v>199.232</v>
      </c>
      <c r="AK109" s="271">
        <f t="shared" si="97"/>
        <v>1.9923200000000001</v>
      </c>
      <c r="AL109" s="277">
        <f t="shared" si="98"/>
        <v>0.99616000000000005</v>
      </c>
      <c r="AM109" s="58">
        <v>1200</v>
      </c>
      <c r="AN109" s="25">
        <v>38</v>
      </c>
      <c r="AO109" s="3">
        <v>70</v>
      </c>
      <c r="AP109" s="3">
        <v>28</v>
      </c>
      <c r="AQ109" s="281">
        <f t="shared" si="99"/>
        <v>71.555555555555557</v>
      </c>
      <c r="AR109" s="287">
        <f t="shared" si="78"/>
        <v>3486.5142633333335</v>
      </c>
      <c r="AS109" s="93"/>
      <c r="AT109" s="4"/>
    </row>
    <row r="110" spans="1:46">
      <c r="A110" s="98">
        <f t="shared" si="79"/>
        <v>18</v>
      </c>
      <c r="B110" s="99">
        <v>2.4500000000000002</v>
      </c>
      <c r="C110" s="100">
        <f t="shared" si="80"/>
        <v>44.1</v>
      </c>
      <c r="D110" s="101">
        <v>250</v>
      </c>
      <c r="E110" s="100">
        <f t="shared" si="81"/>
        <v>480</v>
      </c>
      <c r="F110" s="102">
        <f t="shared" si="82"/>
        <v>22.252041625016826</v>
      </c>
      <c r="G110" s="103">
        <f t="shared" si="83"/>
        <v>12</v>
      </c>
      <c r="H110" s="296">
        <f t="shared" si="70"/>
        <v>24.139776000000005</v>
      </c>
      <c r="I110" s="104">
        <f t="shared" si="71"/>
        <v>41.811318515331806</v>
      </c>
      <c r="J110" s="180">
        <f t="shared" si="84"/>
        <v>20</v>
      </c>
      <c r="K110" s="104">
        <f t="shared" si="72"/>
        <v>249</v>
      </c>
      <c r="L110" s="263">
        <f t="shared" si="73"/>
        <v>18.5</v>
      </c>
      <c r="M110" s="106">
        <f t="shared" si="85"/>
        <v>30</v>
      </c>
      <c r="N110" s="1060">
        <f t="shared" si="74"/>
        <v>28.927654112521875</v>
      </c>
      <c r="O110" s="101">
        <f>LOOKUP(N110,'Circuit Breakers'!$B$5:$B$38,'Circuit Breakers'!$C$5:$C$38)</f>
        <v>30</v>
      </c>
      <c r="P110" s="262">
        <f t="shared" si="75"/>
        <v>30</v>
      </c>
      <c r="Q110" s="1057">
        <f t="shared" si="86"/>
        <v>323.7</v>
      </c>
      <c r="R110" s="1065">
        <f>LOOKUP(Q110,'Circuit Breakers'!$B$5:$B$38,'Circuit Breakers'!$C$5:$C$38)</f>
        <v>350</v>
      </c>
      <c r="S110" s="106">
        <f t="shared" si="76"/>
        <v>30</v>
      </c>
      <c r="T110" s="104">
        <f t="shared" si="87"/>
        <v>325</v>
      </c>
      <c r="U110" s="477">
        <f>LOOKUP(T110,'Circuit Breakers'!$B$5:$B$38,'Circuit Breakers'!$C$5:$C$38)</f>
        <v>350</v>
      </c>
      <c r="V110" s="106">
        <f t="shared" si="88"/>
        <v>15</v>
      </c>
      <c r="W110" s="104">
        <f t="shared" si="89"/>
        <v>25.589847868769347</v>
      </c>
      <c r="X110" s="101" t="str">
        <f>LOOKUP(W110,'Wire-Cables Ampacities'!$B$5:$B$35,'Wire-Cables Ampacities'!$C$5:$C$35)</f>
        <v>#10</v>
      </c>
      <c r="Y110" s="106">
        <f t="shared" si="90"/>
        <v>10</v>
      </c>
      <c r="Z110" s="104">
        <f t="shared" si="91"/>
        <v>273.90000000000003</v>
      </c>
      <c r="AA110" s="101" t="str">
        <f>LOOKUP(Z110,'Wire-Cables Ampacities'!$B$5:$B$35,'Wire-Cables Ampacities'!$C$5:$C$35)</f>
        <v>#4/0</v>
      </c>
      <c r="AB110" s="106">
        <f t="shared" si="92"/>
        <v>10</v>
      </c>
      <c r="AC110" s="104">
        <f t="shared" si="93"/>
        <v>275</v>
      </c>
      <c r="AD110" s="101" t="str">
        <f>LOOKUP(AC110,'Wire-Cables Ampacities'!$B$5:$B$35,'Wire-Cables Ampacities'!$C$5:$C$35)</f>
        <v>#4/0</v>
      </c>
      <c r="AE110" s="107">
        <f t="shared" si="94"/>
        <v>1.7950000000000002</v>
      </c>
      <c r="AF110" s="105">
        <f t="shared" si="77"/>
        <v>6124.7948900000001</v>
      </c>
      <c r="AG110" s="98">
        <f t="shared" si="95"/>
        <v>40</v>
      </c>
      <c r="AH110" s="99">
        <f t="shared" si="95"/>
        <v>55</v>
      </c>
      <c r="AI110" s="106">
        <f t="shared" si="95"/>
        <v>20</v>
      </c>
      <c r="AJ110" s="105">
        <f t="shared" si="96"/>
        <v>252.73599999999999</v>
      </c>
      <c r="AK110" s="272">
        <f t="shared" si="97"/>
        <v>2.5273599999999998</v>
      </c>
      <c r="AL110" s="278">
        <f t="shared" si="98"/>
        <v>1.2636799999999999</v>
      </c>
      <c r="AM110" s="109">
        <v>1200</v>
      </c>
      <c r="AN110" s="104">
        <v>38</v>
      </c>
      <c r="AO110" s="110">
        <v>70</v>
      </c>
      <c r="AP110" s="110">
        <v>28</v>
      </c>
      <c r="AQ110" s="282">
        <f t="shared" si="99"/>
        <v>71.555555555555557</v>
      </c>
      <c r="AR110" s="288">
        <f t="shared" si="78"/>
        <v>4783.1282233333332</v>
      </c>
      <c r="AS110" s="93"/>
      <c r="AT110" s="4"/>
    </row>
    <row r="111" spans="1:46">
      <c r="A111" s="72">
        <f t="shared" si="79"/>
        <v>18</v>
      </c>
      <c r="B111" s="15">
        <v>2.4500000000000002</v>
      </c>
      <c r="C111" s="66">
        <f t="shared" si="80"/>
        <v>44.1</v>
      </c>
      <c r="D111" s="68">
        <v>300</v>
      </c>
      <c r="E111" s="66">
        <f t="shared" si="81"/>
        <v>480</v>
      </c>
      <c r="F111" s="45">
        <f t="shared" si="82"/>
        <v>26.461887337857849</v>
      </c>
      <c r="G111" s="94">
        <f t="shared" si="83"/>
        <v>12</v>
      </c>
      <c r="H111" s="295">
        <f t="shared" si="70"/>
        <v>24.139776000000005</v>
      </c>
      <c r="I111" s="25">
        <f t="shared" si="71"/>
        <v>41.811318515331806</v>
      </c>
      <c r="J111" s="52">
        <f t="shared" si="84"/>
        <v>20</v>
      </c>
      <c r="K111" s="25">
        <f t="shared" si="72"/>
        <v>298.8</v>
      </c>
      <c r="L111" s="157">
        <f t="shared" si="73"/>
        <v>22</v>
      </c>
      <c r="M111" s="64">
        <f t="shared" si="85"/>
        <v>30</v>
      </c>
      <c r="N111" s="838">
        <f t="shared" si="74"/>
        <v>34.400453539215206</v>
      </c>
      <c r="O111" s="68">
        <f>LOOKUP(N111,'Circuit Breakers'!$B$5:$B$38,'Circuit Breakers'!$C$5:$C$38)</f>
        <v>40</v>
      </c>
      <c r="P111" s="199">
        <f t="shared" si="75"/>
        <v>30</v>
      </c>
      <c r="Q111" s="1056">
        <f t="shared" si="86"/>
        <v>388.44000000000005</v>
      </c>
      <c r="R111" s="1064">
        <f>LOOKUP(Q111,'Circuit Breakers'!$B$5:$B$38,'Circuit Breakers'!$C$5:$C$38)</f>
        <v>400</v>
      </c>
      <c r="S111" s="64">
        <f t="shared" si="76"/>
        <v>30</v>
      </c>
      <c r="T111" s="25">
        <f t="shared" si="87"/>
        <v>390</v>
      </c>
      <c r="U111" s="158">
        <f>LOOKUP(T111,'Circuit Breakers'!$B$5:$B$38,'Circuit Breakers'!$C$5:$C$38)</f>
        <v>400</v>
      </c>
      <c r="V111" s="64">
        <f t="shared" si="88"/>
        <v>15</v>
      </c>
      <c r="W111" s="25">
        <f t="shared" si="89"/>
        <v>30.431170438536522</v>
      </c>
      <c r="X111" s="68" t="str">
        <f>LOOKUP(W111,'Wire-Cables Ampacities'!$B$5:$B$35,'Wire-Cables Ampacities'!$C$5:$C$35)</f>
        <v>#10</v>
      </c>
      <c r="Y111" s="64">
        <f t="shared" si="90"/>
        <v>10</v>
      </c>
      <c r="Z111" s="25">
        <f t="shared" si="91"/>
        <v>328.68000000000006</v>
      </c>
      <c r="AA111" s="68" t="str">
        <f>LOOKUP(Z111,'Wire-Cables Ampacities'!$B$5:$B$35,'Wire-Cables Ampacities'!$C$5:$C$35)</f>
        <v>250MCM</v>
      </c>
      <c r="AB111" s="64">
        <f t="shared" si="92"/>
        <v>10</v>
      </c>
      <c r="AC111" s="25">
        <f t="shared" si="93"/>
        <v>330</v>
      </c>
      <c r="AD111" s="68" t="str">
        <f>LOOKUP(AC111,'Wire-Cables Ampacities'!$B$5:$B$35,'Wire-Cables Ampacities'!$C$5:$C$35)</f>
        <v>250MCM</v>
      </c>
      <c r="AE111" s="81">
        <f t="shared" si="94"/>
        <v>2.14</v>
      </c>
      <c r="AF111" s="56">
        <f t="shared" si="77"/>
        <v>7301.9838799999998</v>
      </c>
      <c r="AG111" s="72">
        <f t="shared" si="95"/>
        <v>40</v>
      </c>
      <c r="AH111" s="15">
        <f t="shared" si="95"/>
        <v>55</v>
      </c>
      <c r="AI111" s="64">
        <f t="shared" si="95"/>
        <v>20</v>
      </c>
      <c r="AJ111" s="56">
        <f t="shared" si="96"/>
        <v>301.31200000000001</v>
      </c>
      <c r="AK111" s="271">
        <f t="shared" si="97"/>
        <v>3.0131200000000002</v>
      </c>
      <c r="AL111" s="277">
        <f t="shared" si="98"/>
        <v>1.5065600000000001</v>
      </c>
      <c r="AM111" s="58">
        <v>1200</v>
      </c>
      <c r="AN111" s="25">
        <v>38</v>
      </c>
      <c r="AO111" s="3">
        <v>70</v>
      </c>
      <c r="AP111" s="3">
        <v>28</v>
      </c>
      <c r="AQ111" s="281">
        <f t="shared" si="99"/>
        <v>71.555555555555557</v>
      </c>
      <c r="AR111" s="287">
        <f t="shared" ref="AR111:AR122" si="100">AF111+(1.25*AQ111*(AG111-AH111))</f>
        <v>5960.3172133333328</v>
      </c>
      <c r="AS111" s="93"/>
      <c r="AT111" s="4"/>
    </row>
    <row r="112" spans="1:46">
      <c r="A112" s="72">
        <f t="shared" si="79"/>
        <v>18</v>
      </c>
      <c r="B112" s="15">
        <v>2.4500000000000002</v>
      </c>
      <c r="C112" s="66">
        <f t="shared" si="80"/>
        <v>44.1</v>
      </c>
      <c r="D112" s="68">
        <v>350</v>
      </c>
      <c r="E112" s="66">
        <f t="shared" si="81"/>
        <v>480</v>
      </c>
      <c r="F112" s="45">
        <f t="shared" si="82"/>
        <v>31.273139581104729</v>
      </c>
      <c r="G112" s="94">
        <f t="shared" si="83"/>
        <v>12</v>
      </c>
      <c r="H112" s="295">
        <f t="shared" si="70"/>
        <v>24.139776000000005</v>
      </c>
      <c r="I112" s="25">
        <f t="shared" si="71"/>
        <v>41.811318515331806</v>
      </c>
      <c r="J112" s="52">
        <f t="shared" si="84"/>
        <v>20</v>
      </c>
      <c r="K112" s="25">
        <f t="shared" si="72"/>
        <v>348.59999999999997</v>
      </c>
      <c r="L112" s="157">
        <f t="shared" si="73"/>
        <v>26</v>
      </c>
      <c r="M112" s="64">
        <f t="shared" si="85"/>
        <v>30</v>
      </c>
      <c r="N112" s="838">
        <f t="shared" si="74"/>
        <v>40.655081455436147</v>
      </c>
      <c r="O112" s="68">
        <f>LOOKUP(N112,'Circuit Breakers'!$B$5:$B$38,'Circuit Breakers'!$C$5:$C$38)</f>
        <v>50</v>
      </c>
      <c r="P112" s="199">
        <f t="shared" si="75"/>
        <v>30</v>
      </c>
      <c r="Q112" s="1056">
        <f t="shared" si="86"/>
        <v>453.17999999999995</v>
      </c>
      <c r="R112" s="1064">
        <f>LOOKUP(Q112,'Circuit Breakers'!$B$5:$B$38,'Circuit Breakers'!$C$5:$C$38)</f>
        <v>500</v>
      </c>
      <c r="S112" s="64">
        <f t="shared" si="76"/>
        <v>30</v>
      </c>
      <c r="T112" s="25">
        <f t="shared" si="87"/>
        <v>455</v>
      </c>
      <c r="U112" s="158">
        <f>LOOKUP(T112,'Circuit Breakers'!$B$5:$B$38,'Circuit Breakers'!$C$5:$C$38)</f>
        <v>500</v>
      </c>
      <c r="V112" s="64">
        <f t="shared" si="88"/>
        <v>15</v>
      </c>
      <c r="W112" s="25">
        <f t="shared" si="89"/>
        <v>35.964110518270438</v>
      </c>
      <c r="X112" s="68" t="str">
        <f>LOOKUP(W112,'Wire-Cables Ampacities'!$B$5:$B$35,'Wire-Cables Ampacities'!$C$5:$C$35)</f>
        <v>#10</v>
      </c>
      <c r="Y112" s="64">
        <f t="shared" si="90"/>
        <v>10</v>
      </c>
      <c r="Z112" s="25">
        <f t="shared" si="91"/>
        <v>383.46</v>
      </c>
      <c r="AA112" s="68" t="str">
        <f>LOOKUP(Z112,'Wire-Cables Ampacities'!$B$5:$B$35,'Wire-Cables Ampacities'!$C$5:$C$35)</f>
        <v>#2/0 2x</v>
      </c>
      <c r="AB112" s="64">
        <f t="shared" si="92"/>
        <v>10</v>
      </c>
      <c r="AC112" s="25">
        <f t="shared" si="93"/>
        <v>385.00000000000006</v>
      </c>
      <c r="AD112" s="68" t="str">
        <f>LOOKUP(AC112,'Wire-Cables Ampacities'!$B$5:$B$35,'Wire-Cables Ampacities'!$C$5:$C$35)</f>
        <v>#2/0 2x</v>
      </c>
      <c r="AE112" s="81">
        <f t="shared" si="94"/>
        <v>2.52</v>
      </c>
      <c r="AF112" s="56">
        <f t="shared" si="77"/>
        <v>8598.5978400000004</v>
      </c>
      <c r="AG112" s="72">
        <f t="shared" si="95"/>
        <v>40</v>
      </c>
      <c r="AH112" s="15">
        <f t="shared" si="95"/>
        <v>55</v>
      </c>
      <c r="AI112" s="64">
        <f t="shared" si="95"/>
        <v>20</v>
      </c>
      <c r="AJ112" s="56">
        <f t="shared" si="96"/>
        <v>354.81599999999997</v>
      </c>
      <c r="AK112" s="271">
        <f t="shared" si="97"/>
        <v>3.5481599999999998</v>
      </c>
      <c r="AL112" s="277">
        <f t="shared" si="98"/>
        <v>1.7740799999999999</v>
      </c>
      <c r="AM112" s="58">
        <v>1200</v>
      </c>
      <c r="AN112" s="25">
        <v>38</v>
      </c>
      <c r="AO112" s="3">
        <v>70</v>
      </c>
      <c r="AP112" s="3">
        <v>28</v>
      </c>
      <c r="AQ112" s="281">
        <f t="shared" si="99"/>
        <v>71.555555555555557</v>
      </c>
      <c r="AR112" s="287">
        <f t="shared" si="100"/>
        <v>7256.9311733333334</v>
      </c>
      <c r="AS112" s="93"/>
      <c r="AT112" s="4"/>
    </row>
    <row r="113" spans="1:46">
      <c r="A113" s="98">
        <f t="shared" si="79"/>
        <v>18</v>
      </c>
      <c r="B113" s="99">
        <v>2.4500000000000002</v>
      </c>
      <c r="C113" s="100">
        <f t="shared" si="80"/>
        <v>44.1</v>
      </c>
      <c r="D113" s="101">
        <v>400</v>
      </c>
      <c r="E113" s="100">
        <f t="shared" si="81"/>
        <v>480</v>
      </c>
      <c r="F113" s="102">
        <f t="shared" si="82"/>
        <v>34.881578763539892</v>
      </c>
      <c r="G113" s="103">
        <f t="shared" si="83"/>
        <v>12</v>
      </c>
      <c r="H113" s="296">
        <f t="shared" si="70"/>
        <v>24.139776000000005</v>
      </c>
      <c r="I113" s="104">
        <f t="shared" si="71"/>
        <v>41.811318515331806</v>
      </c>
      <c r="J113" s="180">
        <f t="shared" si="84"/>
        <v>20</v>
      </c>
      <c r="K113" s="104">
        <f t="shared" si="72"/>
        <v>398.4</v>
      </c>
      <c r="L113" s="263">
        <f t="shared" si="73"/>
        <v>29</v>
      </c>
      <c r="M113" s="106">
        <f t="shared" si="85"/>
        <v>30</v>
      </c>
      <c r="N113" s="1060">
        <f t="shared" si="74"/>
        <v>45.346052392601862</v>
      </c>
      <c r="O113" s="101">
        <f>LOOKUP(N113,'Circuit Breakers'!$B$5:$B$38,'Circuit Breakers'!$C$5:$C$38)</f>
        <v>50</v>
      </c>
      <c r="P113" s="262">
        <f t="shared" si="75"/>
        <v>30</v>
      </c>
      <c r="Q113" s="1057">
        <f t="shared" si="86"/>
        <v>517.91999999999996</v>
      </c>
      <c r="R113" s="1065">
        <f>LOOKUP(Q113,'Circuit Breakers'!$B$5:$B$38,'Circuit Breakers'!$C$5:$C$38)</f>
        <v>600</v>
      </c>
      <c r="S113" s="106">
        <f t="shared" si="76"/>
        <v>30</v>
      </c>
      <c r="T113" s="104">
        <f t="shared" si="87"/>
        <v>520</v>
      </c>
      <c r="U113" s="477">
        <f>LOOKUP(T113,'Circuit Breakers'!$B$5:$B$38,'Circuit Breakers'!$C$5:$C$38)</f>
        <v>600</v>
      </c>
      <c r="V113" s="106">
        <f t="shared" si="88"/>
        <v>15</v>
      </c>
      <c r="W113" s="104">
        <f t="shared" si="89"/>
        <v>40.11381557807087</v>
      </c>
      <c r="X113" s="101" t="str">
        <f>LOOKUP(W113,'Wire-Cables Ampacities'!$B$5:$B$35,'Wire-Cables Ampacities'!$C$5:$C$35)</f>
        <v>#10</v>
      </c>
      <c r="Y113" s="106">
        <f t="shared" si="90"/>
        <v>10</v>
      </c>
      <c r="Z113" s="104">
        <f t="shared" si="91"/>
        <v>438.24</v>
      </c>
      <c r="AA113" s="101" t="str">
        <f>LOOKUP(Z113,'Wire-Cables Ampacities'!$B$5:$B$35,'Wire-Cables Ampacities'!$C$5:$C$35)</f>
        <v>#3/0 2x</v>
      </c>
      <c r="AB113" s="106">
        <f t="shared" si="92"/>
        <v>10</v>
      </c>
      <c r="AC113" s="104">
        <f t="shared" si="93"/>
        <v>440.00000000000006</v>
      </c>
      <c r="AD113" s="101" t="str">
        <f>LOOKUP(AC113,'Wire-Cables Ampacities'!$B$5:$B$35,'Wire-Cables Ampacities'!$C$5:$C$35)</f>
        <v>#3/0 2x</v>
      </c>
      <c r="AE113" s="107">
        <f t="shared" si="94"/>
        <v>2.83</v>
      </c>
      <c r="AF113" s="105">
        <f t="shared" si="77"/>
        <v>9656.3618600000009</v>
      </c>
      <c r="AG113" s="98">
        <f t="shared" si="95"/>
        <v>40</v>
      </c>
      <c r="AH113" s="99">
        <f t="shared" si="95"/>
        <v>55</v>
      </c>
      <c r="AI113" s="106">
        <f t="shared" si="95"/>
        <v>20</v>
      </c>
      <c r="AJ113" s="105">
        <f t="shared" si="96"/>
        <v>398.464</v>
      </c>
      <c r="AK113" s="272">
        <f t="shared" si="97"/>
        <v>3.9846400000000002</v>
      </c>
      <c r="AL113" s="278">
        <f t="shared" si="98"/>
        <v>1.9923200000000001</v>
      </c>
      <c r="AM113" s="109">
        <v>1200</v>
      </c>
      <c r="AN113" s="104">
        <v>38</v>
      </c>
      <c r="AO113" s="110">
        <v>70</v>
      </c>
      <c r="AP113" s="110">
        <v>28</v>
      </c>
      <c r="AQ113" s="282">
        <f t="shared" si="99"/>
        <v>71.555555555555557</v>
      </c>
      <c r="AR113" s="288">
        <f t="shared" si="100"/>
        <v>8314.6951933333348</v>
      </c>
      <c r="AS113" s="93"/>
      <c r="AT113" s="4"/>
    </row>
    <row r="114" spans="1:46">
      <c r="A114" s="72">
        <f t="shared" si="79"/>
        <v>18</v>
      </c>
      <c r="B114" s="15">
        <v>2.4500000000000002</v>
      </c>
      <c r="C114" s="66">
        <f t="shared" si="80"/>
        <v>44.1</v>
      </c>
      <c r="D114" s="68">
        <v>450</v>
      </c>
      <c r="E114" s="66">
        <f t="shared" si="81"/>
        <v>480</v>
      </c>
      <c r="F114" s="45">
        <f t="shared" si="82"/>
        <v>39.692831006786776</v>
      </c>
      <c r="G114" s="94">
        <f t="shared" si="83"/>
        <v>12</v>
      </c>
      <c r="H114" s="295">
        <f t="shared" si="70"/>
        <v>24.139776000000005</v>
      </c>
      <c r="I114" s="25">
        <f t="shared" si="71"/>
        <v>41.811318515331806</v>
      </c>
      <c r="J114" s="52">
        <f t="shared" si="84"/>
        <v>20</v>
      </c>
      <c r="K114" s="25">
        <f t="shared" si="72"/>
        <v>448.2</v>
      </c>
      <c r="L114" s="157">
        <f t="shared" si="73"/>
        <v>33</v>
      </c>
      <c r="M114" s="64">
        <f t="shared" si="85"/>
        <v>30</v>
      </c>
      <c r="N114" s="838">
        <f t="shared" si="74"/>
        <v>51.60068030882281</v>
      </c>
      <c r="O114" s="68">
        <f>LOOKUP(N114,'Circuit Breakers'!$B$5:$B$38,'Circuit Breakers'!$C$5:$C$38)</f>
        <v>60</v>
      </c>
      <c r="P114" s="199">
        <f t="shared" si="75"/>
        <v>30</v>
      </c>
      <c r="Q114" s="1056">
        <f t="shared" si="86"/>
        <v>582.66</v>
      </c>
      <c r="R114" s="1064">
        <f>LOOKUP(Q114,'Circuit Breakers'!$B$5:$B$38,'Circuit Breakers'!$C$5:$C$38)</f>
        <v>600</v>
      </c>
      <c r="S114" s="64">
        <f t="shared" si="76"/>
        <v>30</v>
      </c>
      <c r="T114" s="25">
        <f t="shared" si="87"/>
        <v>585</v>
      </c>
      <c r="U114" s="158">
        <f>LOOKUP(T114,'Circuit Breakers'!$B$5:$B$38,'Circuit Breakers'!$C$5:$C$38)</f>
        <v>600</v>
      </c>
      <c r="V114" s="64">
        <f t="shared" si="88"/>
        <v>15</v>
      </c>
      <c r="W114" s="25">
        <f t="shared" si="89"/>
        <v>45.646755657804789</v>
      </c>
      <c r="X114" s="68" t="str">
        <f>LOOKUP(W114,'Wire-Cables Ampacities'!$B$5:$B$35,'Wire-Cables Ampacities'!$C$5:$C$35)</f>
        <v>#8</v>
      </c>
      <c r="Y114" s="64">
        <f t="shared" si="90"/>
        <v>10</v>
      </c>
      <c r="Z114" s="25">
        <f t="shared" si="91"/>
        <v>493.02000000000004</v>
      </c>
      <c r="AA114" s="68" t="str">
        <f>LOOKUP(Z114,'Wire-Cables Ampacities'!$B$5:$B$35,'Wire-Cables Ampacities'!$C$5:$C$35)</f>
        <v>#3/0 2x</v>
      </c>
      <c r="AB114" s="64">
        <f t="shared" si="92"/>
        <v>10</v>
      </c>
      <c r="AC114" s="25">
        <f t="shared" si="93"/>
        <v>495.00000000000006</v>
      </c>
      <c r="AD114" s="68" t="str">
        <f>LOOKUP(AC114,'Wire-Cables Ampacities'!$B$5:$B$35,'Wire-Cables Ampacities'!$C$5:$C$35)</f>
        <v>#3/0 2x</v>
      </c>
      <c r="AE114" s="81">
        <f t="shared" si="94"/>
        <v>3.21</v>
      </c>
      <c r="AF114" s="56">
        <f t="shared" si="77"/>
        <v>10952.97582</v>
      </c>
      <c r="AG114" s="72">
        <f t="shared" si="95"/>
        <v>40</v>
      </c>
      <c r="AH114" s="15">
        <f t="shared" si="95"/>
        <v>55</v>
      </c>
      <c r="AI114" s="64">
        <f t="shared" si="95"/>
        <v>20</v>
      </c>
      <c r="AJ114" s="56">
        <f t="shared" si="96"/>
        <v>451.96800000000002</v>
      </c>
      <c r="AK114" s="271">
        <f t="shared" si="97"/>
        <v>4.5196800000000001</v>
      </c>
      <c r="AL114" s="277">
        <f t="shared" si="98"/>
        <v>2.2598400000000001</v>
      </c>
      <c r="AM114" s="58">
        <v>1200</v>
      </c>
      <c r="AN114" s="25">
        <v>38</v>
      </c>
      <c r="AO114" s="3">
        <v>70</v>
      </c>
      <c r="AP114" s="3">
        <v>28</v>
      </c>
      <c r="AQ114" s="281">
        <f t="shared" si="99"/>
        <v>71.555555555555557</v>
      </c>
      <c r="AR114" s="287">
        <f t="shared" si="100"/>
        <v>9611.3091533333336</v>
      </c>
      <c r="AS114" s="93"/>
      <c r="AT114" s="4"/>
    </row>
    <row r="115" spans="1:46">
      <c r="A115" s="72">
        <f t="shared" si="79"/>
        <v>18</v>
      </c>
      <c r="B115" s="15">
        <v>2.4500000000000002</v>
      </c>
      <c r="C115" s="66">
        <f t="shared" si="80"/>
        <v>44.1</v>
      </c>
      <c r="D115" s="68">
        <v>500</v>
      </c>
      <c r="E115" s="66">
        <f t="shared" si="81"/>
        <v>480</v>
      </c>
      <c r="F115" s="45">
        <f t="shared" si="82"/>
        <v>44.504083250033652</v>
      </c>
      <c r="G115" s="94">
        <f t="shared" si="83"/>
        <v>12</v>
      </c>
      <c r="H115" s="295">
        <f t="shared" si="70"/>
        <v>24.139776000000005</v>
      </c>
      <c r="I115" s="25">
        <f t="shared" si="71"/>
        <v>41.811318515331806</v>
      </c>
      <c r="J115" s="52">
        <f t="shared" si="84"/>
        <v>20</v>
      </c>
      <c r="K115" s="25">
        <f t="shared" si="72"/>
        <v>498</v>
      </c>
      <c r="L115" s="157">
        <f t="shared" si="73"/>
        <v>37</v>
      </c>
      <c r="M115" s="64">
        <f t="shared" si="85"/>
        <v>30</v>
      </c>
      <c r="N115" s="838">
        <f t="shared" si="74"/>
        <v>57.85530822504375</v>
      </c>
      <c r="O115" s="68">
        <f>LOOKUP(N115,'Circuit Breakers'!$B$5:$B$38,'Circuit Breakers'!$C$5:$C$38)</f>
        <v>60</v>
      </c>
      <c r="P115" s="199">
        <f t="shared" si="75"/>
        <v>30</v>
      </c>
      <c r="Q115" s="1056">
        <f t="shared" si="86"/>
        <v>647.4</v>
      </c>
      <c r="R115" s="1064">
        <f>LOOKUP(Q115,'Circuit Breakers'!$B$5:$B$38,'Circuit Breakers'!$C$5:$C$38)</f>
        <v>700</v>
      </c>
      <c r="S115" s="64">
        <f t="shared" si="76"/>
        <v>30</v>
      </c>
      <c r="T115" s="25">
        <f t="shared" si="87"/>
        <v>650</v>
      </c>
      <c r="U115" s="158">
        <f>LOOKUP(T115,'Circuit Breakers'!$B$5:$B$38,'Circuit Breakers'!$C$5:$C$38)</f>
        <v>700</v>
      </c>
      <c r="V115" s="64">
        <f t="shared" si="88"/>
        <v>15</v>
      </c>
      <c r="W115" s="25">
        <f t="shared" si="89"/>
        <v>51.179695737538694</v>
      </c>
      <c r="X115" s="68" t="str">
        <f>LOOKUP(W115,'Wire-Cables Ampacities'!$B$5:$B$35,'Wire-Cables Ampacities'!$C$5:$C$35)</f>
        <v>#8</v>
      </c>
      <c r="Y115" s="64">
        <f t="shared" si="90"/>
        <v>10</v>
      </c>
      <c r="Z115" s="25">
        <f t="shared" si="91"/>
        <v>547.80000000000007</v>
      </c>
      <c r="AA115" s="68" t="str">
        <f>LOOKUP(Z115,'Wire-Cables Ampacities'!$B$5:$B$35,'Wire-Cables Ampacities'!$C$5:$C$35)</f>
        <v>#4/0 2x</v>
      </c>
      <c r="AB115" s="64">
        <f t="shared" si="92"/>
        <v>10</v>
      </c>
      <c r="AC115" s="25">
        <f t="shared" si="93"/>
        <v>550</v>
      </c>
      <c r="AD115" s="68" t="str">
        <f>LOOKUP(AC115,'Wire-Cables Ampacities'!$B$5:$B$35,'Wire-Cables Ampacities'!$C$5:$C$35)</f>
        <v>#4/0 2x</v>
      </c>
      <c r="AE115" s="81">
        <f t="shared" si="94"/>
        <v>3.5900000000000003</v>
      </c>
      <c r="AF115" s="56">
        <f t="shared" si="77"/>
        <v>12249.58978</v>
      </c>
      <c r="AG115" s="72">
        <f t="shared" si="95"/>
        <v>40</v>
      </c>
      <c r="AH115" s="15">
        <f t="shared" si="95"/>
        <v>55</v>
      </c>
      <c r="AI115" s="64">
        <f t="shared" si="95"/>
        <v>20</v>
      </c>
      <c r="AJ115" s="56">
        <f t="shared" si="96"/>
        <v>505.47199999999998</v>
      </c>
      <c r="AK115" s="271">
        <f t="shared" si="97"/>
        <v>5.0547199999999997</v>
      </c>
      <c r="AL115" s="277">
        <f t="shared" si="98"/>
        <v>2.5273599999999998</v>
      </c>
      <c r="AM115" s="58">
        <v>1200</v>
      </c>
      <c r="AN115" s="25">
        <v>38</v>
      </c>
      <c r="AO115" s="3">
        <v>70</v>
      </c>
      <c r="AP115" s="3">
        <v>28</v>
      </c>
      <c r="AQ115" s="281">
        <f t="shared" si="99"/>
        <v>71.555555555555557</v>
      </c>
      <c r="AR115" s="287">
        <f t="shared" si="100"/>
        <v>10907.923113333334</v>
      </c>
      <c r="AS115" s="93"/>
      <c r="AT115" s="4"/>
    </row>
    <row r="116" spans="1:46">
      <c r="A116" s="98">
        <f t="shared" si="79"/>
        <v>18</v>
      </c>
      <c r="B116" s="99">
        <v>2.4500000000000002</v>
      </c>
      <c r="C116" s="100">
        <f t="shared" si="80"/>
        <v>44.1</v>
      </c>
      <c r="D116" s="101">
        <v>600</v>
      </c>
      <c r="E116" s="100">
        <f t="shared" si="81"/>
        <v>480</v>
      </c>
      <c r="F116" s="102">
        <f t="shared" si="82"/>
        <v>52.923774675715698</v>
      </c>
      <c r="G116" s="103">
        <f t="shared" si="83"/>
        <v>12</v>
      </c>
      <c r="H116" s="296">
        <f t="shared" si="70"/>
        <v>24.139776000000005</v>
      </c>
      <c r="I116" s="104">
        <f t="shared" si="71"/>
        <v>41.811318515331806</v>
      </c>
      <c r="J116" s="180">
        <f t="shared" si="84"/>
        <v>20</v>
      </c>
      <c r="K116" s="104">
        <f t="shared" si="72"/>
        <v>597.6</v>
      </c>
      <c r="L116" s="263">
        <f t="shared" si="73"/>
        <v>44</v>
      </c>
      <c r="M116" s="106">
        <f t="shared" si="85"/>
        <v>30</v>
      </c>
      <c r="N116" s="1060">
        <f t="shared" si="74"/>
        <v>68.800907078430413</v>
      </c>
      <c r="O116" s="101">
        <f>LOOKUP(N116,'Circuit Breakers'!$B$5:$B$38,'Circuit Breakers'!$C$5:$C$38)</f>
        <v>70</v>
      </c>
      <c r="P116" s="262">
        <f t="shared" si="75"/>
        <v>30</v>
      </c>
      <c r="Q116" s="1057">
        <f t="shared" si="86"/>
        <v>776.88000000000011</v>
      </c>
      <c r="R116" s="1065">
        <f>LOOKUP(Q116,'Circuit Breakers'!$B$5:$B$38,'Circuit Breakers'!$C$5:$C$38)</f>
        <v>800</v>
      </c>
      <c r="S116" s="106">
        <f t="shared" si="76"/>
        <v>30</v>
      </c>
      <c r="T116" s="104">
        <f t="shared" si="87"/>
        <v>780</v>
      </c>
      <c r="U116" s="477">
        <f>LOOKUP(T116,'Circuit Breakers'!$B$5:$B$38,'Circuit Breakers'!$C$5:$C$38)</f>
        <v>800</v>
      </c>
      <c r="V116" s="106">
        <f t="shared" si="88"/>
        <v>15</v>
      </c>
      <c r="W116" s="104">
        <f t="shared" si="89"/>
        <v>60.862340877073045</v>
      </c>
      <c r="X116" s="101" t="str">
        <f>LOOKUP(W116,'Wire-Cables Ampacities'!$B$5:$B$35,'Wire-Cables Ampacities'!$C$5:$C$35)</f>
        <v>#6</v>
      </c>
      <c r="Y116" s="106">
        <f t="shared" si="90"/>
        <v>10</v>
      </c>
      <c r="Z116" s="104">
        <f t="shared" si="91"/>
        <v>657.36000000000013</v>
      </c>
      <c r="AA116" s="101" t="str">
        <f>LOOKUP(Z116,'Wire-Cables Ampacities'!$B$5:$B$35,'Wire-Cables Ampacities'!$C$5:$C$35)</f>
        <v>300MCM 2x</v>
      </c>
      <c r="AB116" s="106">
        <f t="shared" si="92"/>
        <v>10</v>
      </c>
      <c r="AC116" s="104">
        <f t="shared" si="93"/>
        <v>660</v>
      </c>
      <c r="AD116" s="101" t="str">
        <f>LOOKUP(AC116,'Wire-Cables Ampacities'!$B$5:$B$35,'Wire-Cables Ampacities'!$C$5:$C$35)</f>
        <v>300MCM 2x</v>
      </c>
      <c r="AE116" s="107">
        <f t="shared" si="94"/>
        <v>4.28</v>
      </c>
      <c r="AF116" s="105">
        <f t="shared" si="77"/>
        <v>14603.96776</v>
      </c>
      <c r="AG116" s="98">
        <f t="shared" si="95"/>
        <v>40</v>
      </c>
      <c r="AH116" s="99">
        <f t="shared" si="95"/>
        <v>55</v>
      </c>
      <c r="AI116" s="106">
        <f t="shared" si="95"/>
        <v>20</v>
      </c>
      <c r="AJ116" s="105">
        <f t="shared" si="96"/>
        <v>602.62400000000002</v>
      </c>
      <c r="AK116" s="272">
        <f t="shared" si="97"/>
        <v>6.0262400000000005</v>
      </c>
      <c r="AL116" s="278">
        <f t="shared" si="98"/>
        <v>3.0131200000000002</v>
      </c>
      <c r="AM116" s="109">
        <v>1200</v>
      </c>
      <c r="AN116" s="104">
        <v>38</v>
      </c>
      <c r="AO116" s="110">
        <v>70</v>
      </c>
      <c r="AP116" s="110">
        <v>28</v>
      </c>
      <c r="AQ116" s="282">
        <f t="shared" si="99"/>
        <v>71.555555555555557</v>
      </c>
      <c r="AR116" s="288">
        <f t="shared" si="100"/>
        <v>13262.301093333333</v>
      </c>
      <c r="AS116" s="93"/>
      <c r="AT116" s="4"/>
    </row>
    <row r="117" spans="1:46">
      <c r="A117" s="72">
        <f t="shared" si="79"/>
        <v>18</v>
      </c>
      <c r="B117" s="15">
        <v>2.4500000000000002</v>
      </c>
      <c r="C117" s="66">
        <f t="shared" si="80"/>
        <v>44.1</v>
      </c>
      <c r="D117" s="68">
        <v>700</v>
      </c>
      <c r="E117" s="66">
        <f t="shared" si="81"/>
        <v>480</v>
      </c>
      <c r="F117" s="45">
        <f t="shared" si="82"/>
        <v>61.343466101397738</v>
      </c>
      <c r="G117" s="94">
        <f t="shared" si="83"/>
        <v>12</v>
      </c>
      <c r="H117" s="295">
        <f t="shared" si="70"/>
        <v>24.139776000000005</v>
      </c>
      <c r="I117" s="25">
        <f t="shared" si="71"/>
        <v>41.811318515331806</v>
      </c>
      <c r="J117" s="52">
        <f t="shared" si="84"/>
        <v>20</v>
      </c>
      <c r="K117" s="25">
        <f t="shared" si="72"/>
        <v>697.19999999999993</v>
      </c>
      <c r="L117" s="157">
        <f t="shared" si="73"/>
        <v>51</v>
      </c>
      <c r="M117" s="64">
        <f t="shared" si="85"/>
        <v>30</v>
      </c>
      <c r="N117" s="838">
        <f t="shared" si="74"/>
        <v>79.746505931817055</v>
      </c>
      <c r="O117" s="68">
        <f>LOOKUP(N117,'Circuit Breakers'!$B$5:$B$38,'Circuit Breakers'!$C$5:$C$38)</f>
        <v>80</v>
      </c>
      <c r="P117" s="199">
        <f t="shared" si="75"/>
        <v>30</v>
      </c>
      <c r="Q117" s="1056">
        <f t="shared" si="86"/>
        <v>906.3599999999999</v>
      </c>
      <c r="R117" s="1064">
        <f>LOOKUP(Q117,'Circuit Breakers'!$B$5:$B$38,'Circuit Breakers'!$C$5:$C$38)</f>
        <v>1000</v>
      </c>
      <c r="S117" s="64">
        <f t="shared" si="76"/>
        <v>30</v>
      </c>
      <c r="T117" s="25">
        <f t="shared" si="87"/>
        <v>910</v>
      </c>
      <c r="U117" s="158">
        <f>LOOKUP(T117,'Circuit Breakers'!$B$5:$B$38,'Circuit Breakers'!$C$5:$C$38)</f>
        <v>1000</v>
      </c>
      <c r="V117" s="64">
        <f t="shared" si="88"/>
        <v>15</v>
      </c>
      <c r="W117" s="25">
        <f t="shared" si="89"/>
        <v>70.544986016607396</v>
      </c>
      <c r="X117" s="68" t="str">
        <f>LOOKUP(W117,'Wire-Cables Ampacities'!$B$5:$B$35,'Wire-Cables Ampacities'!$C$5:$C$35)</f>
        <v>#6</v>
      </c>
      <c r="Y117" s="64">
        <f t="shared" si="90"/>
        <v>10</v>
      </c>
      <c r="Z117" s="25">
        <f t="shared" si="91"/>
        <v>766.92</v>
      </c>
      <c r="AA117" s="68" t="str">
        <f>LOOKUP(Z117,'Wire-Cables Ampacities'!$B$5:$B$35,'Wire-Cables Ampacities'!$C$5:$C$35)</f>
        <v>Buss</v>
      </c>
      <c r="AB117" s="64">
        <f t="shared" si="92"/>
        <v>10</v>
      </c>
      <c r="AC117" s="25">
        <f t="shared" si="93"/>
        <v>770.00000000000011</v>
      </c>
      <c r="AD117" s="68" t="str">
        <f>LOOKUP(AC117,'Wire-Cables Ampacities'!$B$5:$B$35,'Wire-Cables Ampacities'!$C$5:$C$35)</f>
        <v>Buss</v>
      </c>
      <c r="AE117" s="81">
        <f t="shared" si="94"/>
        <v>4.97</v>
      </c>
      <c r="AF117" s="56">
        <f t="shared" si="77"/>
        <v>16958.345739999997</v>
      </c>
      <c r="AG117" s="72">
        <f t="shared" si="95"/>
        <v>40</v>
      </c>
      <c r="AH117" s="15">
        <f t="shared" si="95"/>
        <v>55</v>
      </c>
      <c r="AI117" s="64">
        <f t="shared" si="95"/>
        <v>20</v>
      </c>
      <c r="AJ117" s="56">
        <f t="shared" si="96"/>
        <v>699.77599999999995</v>
      </c>
      <c r="AK117" s="271">
        <f t="shared" si="97"/>
        <v>6.9977599999999995</v>
      </c>
      <c r="AL117" s="277">
        <f t="shared" si="98"/>
        <v>3.4988799999999998</v>
      </c>
      <c r="AM117" s="58">
        <v>1200</v>
      </c>
      <c r="AN117" s="25">
        <v>38</v>
      </c>
      <c r="AO117" s="3">
        <v>70</v>
      </c>
      <c r="AP117" s="3">
        <v>28</v>
      </c>
      <c r="AQ117" s="281">
        <f t="shared" si="99"/>
        <v>71.555555555555557</v>
      </c>
      <c r="AR117" s="287">
        <f t="shared" si="100"/>
        <v>15616.679073333331</v>
      </c>
      <c r="AS117" s="93"/>
      <c r="AT117" s="4"/>
    </row>
    <row r="118" spans="1:46">
      <c r="A118" s="72">
        <f t="shared" si="79"/>
        <v>18</v>
      </c>
      <c r="B118" s="15">
        <v>2.4500000000000002</v>
      </c>
      <c r="C118" s="66">
        <f t="shared" si="80"/>
        <v>44.1</v>
      </c>
      <c r="D118" s="68">
        <v>800</v>
      </c>
      <c r="E118" s="66">
        <f t="shared" si="81"/>
        <v>480</v>
      </c>
      <c r="F118" s="45">
        <f t="shared" si="82"/>
        <v>69.763157527079784</v>
      </c>
      <c r="G118" s="94">
        <f t="shared" si="83"/>
        <v>12</v>
      </c>
      <c r="H118" s="295">
        <f t="shared" si="70"/>
        <v>24.139776000000005</v>
      </c>
      <c r="I118" s="25">
        <f t="shared" si="71"/>
        <v>41.811318515331806</v>
      </c>
      <c r="J118" s="52">
        <f t="shared" si="84"/>
        <v>20</v>
      </c>
      <c r="K118" s="25">
        <f t="shared" si="72"/>
        <v>796.8</v>
      </c>
      <c r="L118" s="157">
        <f t="shared" si="73"/>
        <v>58</v>
      </c>
      <c r="M118" s="64">
        <f t="shared" si="85"/>
        <v>30</v>
      </c>
      <c r="N118" s="838">
        <f t="shared" si="74"/>
        <v>90.692104785203725</v>
      </c>
      <c r="O118" s="68">
        <f>LOOKUP(N118,'Circuit Breakers'!$B$5:$B$38,'Circuit Breakers'!$C$5:$C$38)</f>
        <v>100</v>
      </c>
      <c r="P118" s="199">
        <f t="shared" si="75"/>
        <v>30</v>
      </c>
      <c r="Q118" s="1056">
        <f t="shared" si="86"/>
        <v>1035.8399999999999</v>
      </c>
      <c r="R118" s="1064">
        <f>LOOKUP(Q118,'Circuit Breakers'!$B$5:$B$38,'Circuit Breakers'!$C$5:$C$38)</f>
        <v>1200</v>
      </c>
      <c r="S118" s="64">
        <f t="shared" si="76"/>
        <v>30</v>
      </c>
      <c r="T118" s="25">
        <f t="shared" si="87"/>
        <v>1040</v>
      </c>
      <c r="U118" s="158">
        <f>LOOKUP(T118,'Circuit Breakers'!$B$5:$B$38,'Circuit Breakers'!$C$5:$C$38)</f>
        <v>1200</v>
      </c>
      <c r="V118" s="64">
        <f t="shared" si="88"/>
        <v>15</v>
      </c>
      <c r="W118" s="25">
        <f t="shared" si="89"/>
        <v>80.22763115614174</v>
      </c>
      <c r="X118" s="68" t="str">
        <f>LOOKUP(W118,'Wire-Cables Ampacities'!$B$5:$B$35,'Wire-Cables Ampacities'!$C$5:$C$35)</f>
        <v>#6</v>
      </c>
      <c r="Y118" s="64">
        <f t="shared" si="90"/>
        <v>10</v>
      </c>
      <c r="Z118" s="25">
        <f t="shared" si="91"/>
        <v>876.48</v>
      </c>
      <c r="AA118" s="68" t="str">
        <f>LOOKUP(Z118,'Wire-Cables Ampacities'!$B$5:$B$35,'Wire-Cables Ampacities'!$C$5:$C$35)</f>
        <v>Buss</v>
      </c>
      <c r="AB118" s="64">
        <f t="shared" si="92"/>
        <v>10</v>
      </c>
      <c r="AC118" s="25">
        <f t="shared" si="93"/>
        <v>880.00000000000011</v>
      </c>
      <c r="AD118" s="68" t="str">
        <f>LOOKUP(AC118,'Wire-Cables Ampacities'!$B$5:$B$35,'Wire-Cables Ampacities'!$C$5:$C$35)</f>
        <v>Buss</v>
      </c>
      <c r="AE118" s="81">
        <f t="shared" si="94"/>
        <v>5.66</v>
      </c>
      <c r="AF118" s="56">
        <f t="shared" si="77"/>
        <v>19312.723720000002</v>
      </c>
      <c r="AG118" s="72">
        <f t="shared" si="95"/>
        <v>40</v>
      </c>
      <c r="AH118" s="15">
        <f t="shared" si="95"/>
        <v>55</v>
      </c>
      <c r="AI118" s="64">
        <f t="shared" si="95"/>
        <v>20</v>
      </c>
      <c r="AJ118" s="56">
        <f t="shared" si="96"/>
        <v>796.928</v>
      </c>
      <c r="AK118" s="271">
        <f t="shared" si="97"/>
        <v>7.9692800000000004</v>
      </c>
      <c r="AL118" s="277">
        <f t="shared" si="98"/>
        <v>3.9846400000000002</v>
      </c>
      <c r="AM118" s="58">
        <v>1200</v>
      </c>
      <c r="AN118" s="25">
        <v>38</v>
      </c>
      <c r="AO118" s="3">
        <v>70</v>
      </c>
      <c r="AP118" s="3">
        <v>28</v>
      </c>
      <c r="AQ118" s="281">
        <f t="shared" si="99"/>
        <v>71.555555555555557</v>
      </c>
      <c r="AR118" s="287">
        <f t="shared" si="100"/>
        <v>17971.057053333334</v>
      </c>
      <c r="AS118" s="93"/>
      <c r="AT118" s="4"/>
    </row>
    <row r="119" spans="1:46">
      <c r="A119" s="98">
        <f t="shared" si="79"/>
        <v>18</v>
      </c>
      <c r="B119" s="99">
        <v>2.4500000000000002</v>
      </c>
      <c r="C119" s="100">
        <f t="shared" si="80"/>
        <v>44.1</v>
      </c>
      <c r="D119" s="101">
        <v>900</v>
      </c>
      <c r="E119" s="100">
        <f t="shared" si="81"/>
        <v>480</v>
      </c>
      <c r="F119" s="102">
        <f t="shared" si="82"/>
        <v>78.182848952761816</v>
      </c>
      <c r="G119" s="103">
        <f t="shared" si="83"/>
        <v>12</v>
      </c>
      <c r="H119" s="296">
        <f t="shared" si="70"/>
        <v>24.139776000000005</v>
      </c>
      <c r="I119" s="104">
        <f t="shared" si="71"/>
        <v>41.811318515331806</v>
      </c>
      <c r="J119" s="180">
        <f t="shared" si="84"/>
        <v>20</v>
      </c>
      <c r="K119" s="104">
        <f t="shared" si="72"/>
        <v>896.4</v>
      </c>
      <c r="L119" s="263">
        <f t="shared" si="73"/>
        <v>65</v>
      </c>
      <c r="M119" s="106">
        <f t="shared" si="85"/>
        <v>30</v>
      </c>
      <c r="N119" s="1060">
        <f t="shared" si="74"/>
        <v>101.63770363859037</v>
      </c>
      <c r="O119" s="101">
        <f>LOOKUP(N119,'Circuit Breakers'!$B$5:$B$38,'Circuit Breakers'!$C$5:$C$38)</f>
        <v>110</v>
      </c>
      <c r="P119" s="262">
        <f t="shared" si="75"/>
        <v>30</v>
      </c>
      <c r="Q119" s="1057">
        <f t="shared" si="86"/>
        <v>1165.32</v>
      </c>
      <c r="R119" s="1065">
        <f>LOOKUP(Q119,'Circuit Breakers'!$B$5:$B$38,'Circuit Breakers'!$C$5:$C$38)</f>
        <v>1200</v>
      </c>
      <c r="S119" s="106">
        <f t="shared" si="76"/>
        <v>30</v>
      </c>
      <c r="T119" s="104">
        <f t="shared" si="87"/>
        <v>1170</v>
      </c>
      <c r="U119" s="477">
        <f>LOOKUP(T119,'Circuit Breakers'!$B$5:$B$38,'Circuit Breakers'!$C$5:$C$38)</f>
        <v>1200</v>
      </c>
      <c r="V119" s="106">
        <f t="shared" si="88"/>
        <v>15</v>
      </c>
      <c r="W119" s="104">
        <f t="shared" si="89"/>
        <v>89.910276295676084</v>
      </c>
      <c r="X119" s="101" t="str">
        <f>LOOKUP(W119,'Wire-Cables Ampacities'!$B$5:$B$35,'Wire-Cables Ampacities'!$C$5:$C$35)</f>
        <v>#4</v>
      </c>
      <c r="Y119" s="106">
        <f t="shared" si="90"/>
        <v>10</v>
      </c>
      <c r="Z119" s="104">
        <f t="shared" si="91"/>
        <v>986.04000000000008</v>
      </c>
      <c r="AA119" s="101" t="str">
        <f>LOOKUP(Z119,'Wire-Cables Ampacities'!$B$5:$B$35,'Wire-Cables Ampacities'!$C$5:$C$35)</f>
        <v>Buss</v>
      </c>
      <c r="AB119" s="106">
        <f t="shared" si="92"/>
        <v>10</v>
      </c>
      <c r="AC119" s="104">
        <f t="shared" si="93"/>
        <v>990.00000000000011</v>
      </c>
      <c r="AD119" s="101" t="str">
        <f>LOOKUP(AC119,'Wire-Cables Ampacities'!$B$5:$B$35,'Wire-Cables Ampacities'!$C$5:$C$35)</f>
        <v>Buss</v>
      </c>
      <c r="AE119" s="107">
        <f t="shared" si="94"/>
        <v>6.3500000000000005</v>
      </c>
      <c r="AF119" s="105">
        <f t="shared" si="77"/>
        <v>21667.101699999999</v>
      </c>
      <c r="AG119" s="98">
        <f t="shared" si="95"/>
        <v>40</v>
      </c>
      <c r="AH119" s="99">
        <f t="shared" si="95"/>
        <v>55</v>
      </c>
      <c r="AI119" s="106">
        <f t="shared" si="95"/>
        <v>20</v>
      </c>
      <c r="AJ119" s="105">
        <f t="shared" si="96"/>
        <v>894.08000000000015</v>
      </c>
      <c r="AK119" s="272">
        <f t="shared" si="97"/>
        <v>8.9408000000000012</v>
      </c>
      <c r="AL119" s="278">
        <f t="shared" si="98"/>
        <v>4.4704000000000006</v>
      </c>
      <c r="AM119" s="109">
        <v>1200</v>
      </c>
      <c r="AN119" s="104">
        <v>38</v>
      </c>
      <c r="AO119" s="110">
        <v>70</v>
      </c>
      <c r="AP119" s="110">
        <v>28</v>
      </c>
      <c r="AQ119" s="282">
        <f t="shared" si="99"/>
        <v>71.555555555555557</v>
      </c>
      <c r="AR119" s="288">
        <f t="shared" si="100"/>
        <v>20325.435033333331</v>
      </c>
      <c r="AS119" s="93"/>
      <c r="AT119" s="4"/>
    </row>
    <row r="120" spans="1:46">
      <c r="A120" s="72">
        <f t="shared" si="79"/>
        <v>18</v>
      </c>
      <c r="B120" s="794">
        <v>2.4500000000000002</v>
      </c>
      <c r="C120" s="66">
        <f t="shared" si="80"/>
        <v>44.1</v>
      </c>
      <c r="D120" s="68">
        <v>1000</v>
      </c>
      <c r="E120" s="66">
        <f t="shared" si="81"/>
        <v>480</v>
      </c>
      <c r="F120" s="45">
        <f t="shared" si="82"/>
        <v>87.805353439255597</v>
      </c>
      <c r="G120" s="94">
        <f t="shared" si="83"/>
        <v>12</v>
      </c>
      <c r="H120" s="295">
        <f t="shared" si="70"/>
        <v>24.139776000000005</v>
      </c>
      <c r="I120" s="25">
        <f t="shared" si="71"/>
        <v>41.811318515331806</v>
      </c>
      <c r="J120" s="52">
        <f t="shared" si="84"/>
        <v>20</v>
      </c>
      <c r="K120" s="25">
        <f t="shared" si="72"/>
        <v>996</v>
      </c>
      <c r="L120" s="157">
        <f t="shared" si="73"/>
        <v>73</v>
      </c>
      <c r="M120" s="64">
        <f t="shared" si="85"/>
        <v>30</v>
      </c>
      <c r="N120" s="838">
        <f t="shared" si="74"/>
        <v>114.14695947103228</v>
      </c>
      <c r="O120" s="68">
        <f>LOOKUP(N120,'Circuit Breakers'!$B$5:$B$38,'Circuit Breakers'!$C$5:$C$38)</f>
        <v>125</v>
      </c>
      <c r="P120" s="199">
        <f t="shared" si="75"/>
        <v>30</v>
      </c>
      <c r="Q120" s="1056">
        <f t="shared" si="86"/>
        <v>1294.8</v>
      </c>
      <c r="R120" s="1064" t="str">
        <f>LOOKUP(Q120,'Circuit Breakers'!$B$5:$B$38,'Circuit Breakers'!$C$5:$C$38)</f>
        <v>Check</v>
      </c>
      <c r="S120" s="64">
        <f t="shared" si="76"/>
        <v>30</v>
      </c>
      <c r="T120" s="25">
        <f t="shared" si="87"/>
        <v>1300</v>
      </c>
      <c r="U120" s="158" t="str">
        <f>LOOKUP(T120,'Circuit Breakers'!$B$5:$B$38,'Circuit Breakers'!$C$5:$C$38)</f>
        <v>Check</v>
      </c>
      <c r="V120" s="64">
        <f t="shared" si="88"/>
        <v>15</v>
      </c>
      <c r="W120" s="25">
        <f t="shared" si="89"/>
        <v>100.97615645514394</v>
      </c>
      <c r="X120" s="68" t="str">
        <f>LOOKUP(W120,'Wire-Cables Ampacities'!$B$5:$B$35,'Wire-Cables Ampacities'!$C$5:$C$35)</f>
        <v>#4</v>
      </c>
      <c r="Y120" s="64">
        <f t="shared" si="90"/>
        <v>10</v>
      </c>
      <c r="Z120" s="25">
        <f t="shared" si="91"/>
        <v>1095.6000000000001</v>
      </c>
      <c r="AA120" s="68" t="str">
        <f>LOOKUP(Z120,'Wire-Cables Ampacities'!$B$5:$B$35,'Wire-Cables Ampacities'!$C$5:$C$35)</f>
        <v>Buss</v>
      </c>
      <c r="AB120" s="64">
        <f t="shared" si="92"/>
        <v>10</v>
      </c>
      <c r="AC120" s="25">
        <f t="shared" si="93"/>
        <v>1100</v>
      </c>
      <c r="AD120" s="68" t="str">
        <f>LOOKUP(AC120,'Wire-Cables Ampacities'!$B$5:$B$35,'Wire-Cables Ampacities'!$C$5:$C$35)</f>
        <v>Buss</v>
      </c>
      <c r="AE120" s="81">
        <f t="shared" si="94"/>
        <v>7.11</v>
      </c>
      <c r="AF120" s="56">
        <f t="shared" si="77"/>
        <v>24260.32962</v>
      </c>
      <c r="AG120" s="72">
        <f t="shared" si="95"/>
        <v>40</v>
      </c>
      <c r="AH120" s="15">
        <f t="shared" si="95"/>
        <v>55</v>
      </c>
      <c r="AI120" s="64">
        <f t="shared" si="95"/>
        <v>20</v>
      </c>
      <c r="AJ120" s="56">
        <f t="shared" si="96"/>
        <v>1001.088</v>
      </c>
      <c r="AK120" s="271">
        <f t="shared" si="97"/>
        <v>10.01088</v>
      </c>
      <c r="AL120" s="277">
        <f t="shared" si="98"/>
        <v>5.0054400000000001</v>
      </c>
      <c r="AM120" s="58">
        <v>1200</v>
      </c>
      <c r="AN120" s="25">
        <v>38</v>
      </c>
      <c r="AO120" s="3">
        <v>70</v>
      </c>
      <c r="AP120" s="3">
        <v>28</v>
      </c>
      <c r="AQ120" s="281">
        <f t="shared" si="99"/>
        <v>71.555555555555557</v>
      </c>
      <c r="AR120" s="287">
        <f t="shared" si="100"/>
        <v>22918.662953333333</v>
      </c>
      <c r="AS120" s="93"/>
      <c r="AT120" s="4"/>
    </row>
    <row r="121" spans="1:46">
      <c r="A121" s="72">
        <f t="shared" si="79"/>
        <v>18</v>
      </c>
      <c r="B121" s="15">
        <v>2.4500000000000002</v>
      </c>
      <c r="C121" s="66">
        <f t="shared" si="80"/>
        <v>44.1</v>
      </c>
      <c r="D121" s="68">
        <v>1100</v>
      </c>
      <c r="E121" s="66">
        <f t="shared" si="81"/>
        <v>480</v>
      </c>
      <c r="F121" s="45">
        <f t="shared" si="82"/>
        <v>96.22504486493763</v>
      </c>
      <c r="G121" s="94">
        <f t="shared" si="83"/>
        <v>12</v>
      </c>
      <c r="H121" s="295">
        <f t="shared" si="70"/>
        <v>24.139776000000005</v>
      </c>
      <c r="I121" s="25">
        <f t="shared" si="71"/>
        <v>41.811318515331806</v>
      </c>
      <c r="J121" s="52">
        <f t="shared" si="84"/>
        <v>20</v>
      </c>
      <c r="K121" s="25">
        <f t="shared" si="72"/>
        <v>1095.5999999999999</v>
      </c>
      <c r="L121" s="157">
        <f t="shared" si="73"/>
        <v>80</v>
      </c>
      <c r="M121" s="64">
        <f t="shared" si="85"/>
        <v>30</v>
      </c>
      <c r="N121" s="838">
        <f t="shared" si="74"/>
        <v>125.09255832441892</v>
      </c>
      <c r="O121" s="68">
        <f>LOOKUP(N121,'Circuit Breakers'!$B$5:$B$38,'Circuit Breakers'!$C$5:$C$38)</f>
        <v>125</v>
      </c>
      <c r="P121" s="199">
        <f t="shared" si="75"/>
        <v>30</v>
      </c>
      <c r="Q121" s="1056">
        <f t="shared" si="86"/>
        <v>1424.28</v>
      </c>
      <c r="R121" s="1064" t="str">
        <f>LOOKUP(Q121,'Circuit Breakers'!$B$5:$B$38,'Circuit Breakers'!$C$5:$C$38)</f>
        <v>Check</v>
      </c>
      <c r="S121" s="64">
        <f t="shared" si="76"/>
        <v>30</v>
      </c>
      <c r="T121" s="25">
        <f t="shared" si="87"/>
        <v>1430</v>
      </c>
      <c r="U121" s="158" t="str">
        <f>LOOKUP(T121,'Circuit Breakers'!$B$5:$B$38,'Circuit Breakers'!$C$5:$C$38)</f>
        <v>Check</v>
      </c>
      <c r="V121" s="64">
        <f t="shared" si="88"/>
        <v>15</v>
      </c>
      <c r="W121" s="25">
        <f t="shared" si="89"/>
        <v>110.65880159467827</v>
      </c>
      <c r="X121" s="68" t="str">
        <f>LOOKUP(W121,'Wire-Cables Ampacities'!$B$5:$B$35,'Wire-Cables Ampacities'!$C$5:$C$35)</f>
        <v>#3</v>
      </c>
      <c r="Y121" s="64">
        <f t="shared" si="90"/>
        <v>10</v>
      </c>
      <c r="Z121" s="25">
        <f t="shared" si="91"/>
        <v>1205.1600000000001</v>
      </c>
      <c r="AA121" s="68" t="str">
        <f>LOOKUP(Z121,'Wire-Cables Ampacities'!$B$5:$B$35,'Wire-Cables Ampacities'!$C$5:$C$35)</f>
        <v>Buss</v>
      </c>
      <c r="AB121" s="64">
        <f t="shared" si="92"/>
        <v>10</v>
      </c>
      <c r="AC121" s="25">
        <f t="shared" si="93"/>
        <v>1210</v>
      </c>
      <c r="AD121" s="68" t="str">
        <f>LOOKUP(AC121,'Wire-Cables Ampacities'!$B$5:$B$35,'Wire-Cables Ampacities'!$C$5:$C$35)</f>
        <v>Buss</v>
      </c>
      <c r="AE121" s="81">
        <f t="shared" si="94"/>
        <v>7.8000000000000007</v>
      </c>
      <c r="AF121" s="56">
        <f t="shared" si="77"/>
        <v>26614.707599999998</v>
      </c>
      <c r="AG121" s="72">
        <f t="shared" si="95"/>
        <v>40</v>
      </c>
      <c r="AH121" s="15">
        <f t="shared" si="95"/>
        <v>55</v>
      </c>
      <c r="AI121" s="64">
        <f t="shared" si="95"/>
        <v>20</v>
      </c>
      <c r="AJ121" s="56">
        <f t="shared" si="96"/>
        <v>1098.2400000000002</v>
      </c>
      <c r="AK121" s="271">
        <f t="shared" si="97"/>
        <v>10.982400000000002</v>
      </c>
      <c r="AL121" s="277">
        <f t="shared" si="98"/>
        <v>5.491200000000001</v>
      </c>
      <c r="AM121" s="58">
        <v>1200</v>
      </c>
      <c r="AN121" s="25">
        <v>38</v>
      </c>
      <c r="AO121" s="3">
        <v>70</v>
      </c>
      <c r="AP121" s="3">
        <v>28</v>
      </c>
      <c r="AQ121" s="281">
        <f t="shared" si="99"/>
        <v>71.555555555555557</v>
      </c>
      <c r="AR121" s="287">
        <f t="shared" si="100"/>
        <v>25273.04093333333</v>
      </c>
      <c r="AS121" s="93"/>
      <c r="AT121" s="4"/>
    </row>
    <row r="122" spans="1:46" ht="13.5" thickBot="1">
      <c r="A122" s="253">
        <f t="shared" si="79"/>
        <v>18</v>
      </c>
      <c r="B122" s="254">
        <v>2.4500000000000002</v>
      </c>
      <c r="C122" s="258">
        <f t="shared" si="80"/>
        <v>44.1</v>
      </c>
      <c r="D122" s="259">
        <v>1200</v>
      </c>
      <c r="E122" s="258">
        <f t="shared" si="81"/>
        <v>480</v>
      </c>
      <c r="F122" s="260">
        <f t="shared" si="82"/>
        <v>104.64473629061968</v>
      </c>
      <c r="G122" s="261">
        <f t="shared" si="83"/>
        <v>12</v>
      </c>
      <c r="H122" s="297">
        <f t="shared" si="70"/>
        <v>24.139776000000005</v>
      </c>
      <c r="I122" s="264">
        <f t="shared" si="71"/>
        <v>41.811318515331806</v>
      </c>
      <c r="J122" s="265">
        <f t="shared" si="84"/>
        <v>20</v>
      </c>
      <c r="K122" s="264">
        <f t="shared" si="72"/>
        <v>1195.2</v>
      </c>
      <c r="L122" s="266">
        <f t="shared" si="73"/>
        <v>87</v>
      </c>
      <c r="M122" s="267">
        <f t="shared" si="85"/>
        <v>30</v>
      </c>
      <c r="N122" s="1061">
        <f t="shared" si="74"/>
        <v>136.03815717780557</v>
      </c>
      <c r="O122" s="259">
        <f>LOOKUP(N122,'Circuit Breakers'!$B$5:$B$38,'Circuit Breakers'!$C$5:$C$38)</f>
        <v>150</v>
      </c>
      <c r="P122" s="333">
        <f t="shared" si="75"/>
        <v>30</v>
      </c>
      <c r="Q122" s="1058">
        <f t="shared" si="86"/>
        <v>1553.7600000000002</v>
      </c>
      <c r="R122" s="1066" t="str">
        <f>LOOKUP(Q122,'Circuit Breakers'!$B$5:$B$38,'Circuit Breakers'!$C$5:$C$38)</f>
        <v>Check</v>
      </c>
      <c r="S122" s="267">
        <f t="shared" si="76"/>
        <v>30</v>
      </c>
      <c r="T122" s="264">
        <f t="shared" si="87"/>
        <v>1560</v>
      </c>
      <c r="U122" s="478" t="str">
        <f>LOOKUP(T122,'Circuit Breakers'!$B$5:$B$38,'Circuit Breakers'!$C$5:$C$38)</f>
        <v>Check</v>
      </c>
      <c r="V122" s="267">
        <f t="shared" si="88"/>
        <v>15</v>
      </c>
      <c r="W122" s="264">
        <f t="shared" si="89"/>
        <v>120.34144673421262</v>
      </c>
      <c r="X122" s="259" t="str">
        <f>LOOKUP(W122,'Wire-Cables Ampacities'!$B$5:$B$35,'Wire-Cables Ampacities'!$C$5:$C$35)</f>
        <v>#3</v>
      </c>
      <c r="Y122" s="267">
        <f t="shared" si="90"/>
        <v>10</v>
      </c>
      <c r="Z122" s="264">
        <f t="shared" si="91"/>
        <v>1314.7200000000003</v>
      </c>
      <c r="AA122" s="259" t="str">
        <f>LOOKUP(Z122,'Wire-Cables Ampacities'!$B$5:$B$35,'Wire-Cables Ampacities'!$C$5:$C$35)</f>
        <v>Buss</v>
      </c>
      <c r="AB122" s="267">
        <f t="shared" si="92"/>
        <v>10</v>
      </c>
      <c r="AC122" s="264">
        <f t="shared" si="93"/>
        <v>1320</v>
      </c>
      <c r="AD122" s="259" t="str">
        <f>LOOKUP(AC122,'Wire-Cables Ampacities'!$B$5:$B$35,'Wire-Cables Ampacities'!$C$5:$C$35)</f>
        <v>Buss</v>
      </c>
      <c r="AE122" s="270">
        <f t="shared" si="94"/>
        <v>8.49</v>
      </c>
      <c r="AF122" s="268">
        <f t="shared" si="77"/>
        <v>28969.085579999999</v>
      </c>
      <c r="AG122" s="253">
        <f t="shared" si="95"/>
        <v>40</v>
      </c>
      <c r="AH122" s="254">
        <f t="shared" si="95"/>
        <v>55</v>
      </c>
      <c r="AI122" s="267">
        <f t="shared" si="95"/>
        <v>20</v>
      </c>
      <c r="AJ122" s="268">
        <f t="shared" si="96"/>
        <v>1195.3919999999998</v>
      </c>
      <c r="AK122" s="273">
        <f t="shared" si="97"/>
        <v>11.953919999999998</v>
      </c>
      <c r="AL122" s="279">
        <f t="shared" si="98"/>
        <v>5.9769599999999992</v>
      </c>
      <c r="AM122" s="275">
        <v>1200</v>
      </c>
      <c r="AN122" s="264">
        <v>38</v>
      </c>
      <c r="AO122" s="276">
        <v>70</v>
      </c>
      <c r="AP122" s="276">
        <v>28</v>
      </c>
      <c r="AQ122" s="283">
        <f t="shared" si="99"/>
        <v>71.555555555555557</v>
      </c>
      <c r="AR122" s="289">
        <f t="shared" si="100"/>
        <v>27627.418913333331</v>
      </c>
      <c r="AS122" s="93"/>
      <c r="AT122" s="4"/>
    </row>
    <row r="124" spans="1:46" ht="13.5" thickBot="1"/>
    <row r="125" spans="1:46" ht="16.5" thickBot="1">
      <c r="A125" s="95" t="s">
        <v>77</v>
      </c>
      <c r="B125" s="96"/>
      <c r="C125" s="44"/>
      <c r="D125" s="86"/>
      <c r="E125" s="86"/>
      <c r="F125" s="86"/>
      <c r="G125" s="87"/>
      <c r="H125" s="290" t="s">
        <v>102</v>
      </c>
      <c r="I125" s="42"/>
      <c r="J125" s="51"/>
      <c r="K125" s="42"/>
      <c r="L125" s="40"/>
      <c r="M125" s="290" t="s">
        <v>83</v>
      </c>
      <c r="N125" s="42"/>
      <c r="O125" s="327"/>
      <c r="P125" s="44"/>
      <c r="Q125" s="44"/>
      <c r="R125" s="327"/>
      <c r="S125" s="44"/>
      <c r="T125" s="44"/>
      <c r="U125" s="185"/>
      <c r="V125" s="184" t="s">
        <v>84</v>
      </c>
      <c r="W125" s="44"/>
      <c r="X125" s="327"/>
      <c r="Y125" s="44"/>
      <c r="Z125" s="44"/>
      <c r="AA125" s="327"/>
      <c r="AB125" s="44"/>
      <c r="AC125" s="44"/>
      <c r="AD125" s="185"/>
      <c r="AE125" s="291" t="s">
        <v>62</v>
      </c>
      <c r="AF125" s="80"/>
      <c r="AG125" s="290" t="s">
        <v>90</v>
      </c>
      <c r="AH125" s="40"/>
      <c r="AI125" s="292" t="s">
        <v>87</v>
      </c>
      <c r="AJ125" s="90"/>
      <c r="AK125" s="90"/>
      <c r="AL125" s="49"/>
      <c r="AM125" s="189" t="s">
        <v>88</v>
      </c>
      <c r="AN125" s="90"/>
      <c r="AO125" s="90"/>
      <c r="AP125" s="90"/>
      <c r="AQ125" s="90"/>
      <c r="AR125" s="6"/>
      <c r="AS125" s="7"/>
    </row>
    <row r="126" spans="1:46" ht="13.5" thickBot="1">
      <c r="A126" s="97" t="s">
        <v>23</v>
      </c>
      <c r="B126" s="48"/>
      <c r="C126" s="189" t="s">
        <v>76</v>
      </c>
      <c r="D126" s="190"/>
      <c r="E126" s="189" t="s">
        <v>57</v>
      </c>
      <c r="F126" s="191"/>
      <c r="G126" s="192"/>
      <c r="H126" s="76"/>
      <c r="I126" s="90"/>
      <c r="J126" s="175"/>
      <c r="K126" s="90"/>
      <c r="L126" s="49"/>
      <c r="M126" s="47" t="s">
        <v>81</v>
      </c>
      <c r="N126" s="96"/>
      <c r="O126" s="192"/>
      <c r="P126" s="47" t="s">
        <v>82</v>
      </c>
      <c r="Q126" s="96"/>
      <c r="R126" s="192"/>
      <c r="S126" s="47" t="s">
        <v>80</v>
      </c>
      <c r="T126" s="96"/>
      <c r="U126" s="192"/>
      <c r="V126" s="76" t="s">
        <v>78</v>
      </c>
      <c r="W126" s="96"/>
      <c r="X126" s="190"/>
      <c r="Y126" s="76" t="s">
        <v>79</v>
      </c>
      <c r="Z126" s="96"/>
      <c r="AA126" s="190"/>
      <c r="AB126" s="47" t="s">
        <v>80</v>
      </c>
      <c r="AC126" s="96"/>
      <c r="AD126" s="190"/>
      <c r="AE126" s="176"/>
      <c r="AF126" s="177"/>
      <c r="AG126" s="205" t="s">
        <v>94</v>
      </c>
      <c r="AH126" s="179" t="s">
        <v>95</v>
      </c>
      <c r="AI126" s="178"/>
      <c r="AJ126" s="198"/>
      <c r="AK126" s="206" t="s">
        <v>66</v>
      </c>
      <c r="AL126" s="198" t="s">
        <v>66</v>
      </c>
      <c r="AM126" s="47" t="s">
        <v>68</v>
      </c>
      <c r="AN126" s="90"/>
      <c r="AO126" s="90"/>
      <c r="AP126" s="90"/>
      <c r="AQ126" s="49"/>
      <c r="AR126" s="80"/>
      <c r="AS126" s="7"/>
    </row>
    <row r="127" spans="1:46">
      <c r="A127" s="65">
        <v>48</v>
      </c>
      <c r="B127" s="67" t="s">
        <v>92</v>
      </c>
      <c r="C127" s="65" t="s">
        <v>93</v>
      </c>
      <c r="D127" s="67" t="s">
        <v>16</v>
      </c>
      <c r="E127" s="65" t="s">
        <v>54</v>
      </c>
      <c r="F127" s="18" t="s">
        <v>58</v>
      </c>
      <c r="G127" s="1234" t="s">
        <v>55</v>
      </c>
      <c r="H127" s="65" t="s">
        <v>50</v>
      </c>
      <c r="I127" s="18" t="s">
        <v>51</v>
      </c>
      <c r="J127" s="310" t="s">
        <v>56</v>
      </c>
      <c r="K127" s="18" t="s">
        <v>28</v>
      </c>
      <c r="L127" s="156" t="s">
        <v>29</v>
      </c>
      <c r="M127" s="1077">
        <v>30</v>
      </c>
      <c r="N127" s="1078" t="s">
        <v>60</v>
      </c>
      <c r="O127" s="1079" t="s">
        <v>361</v>
      </c>
      <c r="P127" s="1077">
        <v>30</v>
      </c>
      <c r="Q127" s="1078" t="s">
        <v>60</v>
      </c>
      <c r="R127" s="1079" t="s">
        <v>361</v>
      </c>
      <c r="S127" s="1077">
        <v>30</v>
      </c>
      <c r="T127" s="1078"/>
      <c r="U127" s="1079" t="s">
        <v>60</v>
      </c>
      <c r="V127" s="171">
        <v>15</v>
      </c>
      <c r="W127" s="139" t="s">
        <v>60</v>
      </c>
      <c r="X127" s="1173" t="s">
        <v>85</v>
      </c>
      <c r="Y127" s="171">
        <v>10</v>
      </c>
      <c r="Z127" s="139" t="s">
        <v>60</v>
      </c>
      <c r="AA127" s="1173" t="s">
        <v>85</v>
      </c>
      <c r="AB127" s="171">
        <v>10</v>
      </c>
      <c r="AC127" s="139" t="s">
        <v>60</v>
      </c>
      <c r="AD127" s="1131" t="s">
        <v>85</v>
      </c>
      <c r="AE127" s="77"/>
      <c r="AF127" s="204"/>
      <c r="AG127" s="70">
        <v>40</v>
      </c>
      <c r="AH127" s="19">
        <v>55</v>
      </c>
      <c r="AI127" s="337">
        <v>20</v>
      </c>
      <c r="AJ127" s="71" t="s">
        <v>64</v>
      </c>
      <c r="AK127" s="79">
        <v>100</v>
      </c>
      <c r="AL127" s="19">
        <v>200</v>
      </c>
      <c r="AM127" s="284" t="s">
        <v>91</v>
      </c>
      <c r="AN127" s="18" t="s">
        <v>69</v>
      </c>
      <c r="AO127" s="18" t="s">
        <v>70</v>
      </c>
      <c r="AP127" s="18" t="s">
        <v>71</v>
      </c>
      <c r="AQ127" s="19" t="s">
        <v>73</v>
      </c>
      <c r="AR127" s="285" t="s">
        <v>64</v>
      </c>
      <c r="AS127" s="92"/>
    </row>
    <row r="128" spans="1:46" ht="13.5" thickBot="1">
      <c r="A128" s="187" t="s">
        <v>24</v>
      </c>
      <c r="B128" s="188" t="s">
        <v>53</v>
      </c>
      <c r="C128" s="306" t="s">
        <v>53</v>
      </c>
      <c r="D128" s="255" t="s">
        <v>22</v>
      </c>
      <c r="E128" s="187" t="s">
        <v>53</v>
      </c>
      <c r="F128" s="16" t="s">
        <v>22</v>
      </c>
      <c r="G128" s="311">
        <v>12</v>
      </c>
      <c r="H128" s="187" t="s">
        <v>42</v>
      </c>
      <c r="I128" s="16" t="s">
        <v>42</v>
      </c>
      <c r="J128" s="298">
        <v>20</v>
      </c>
      <c r="K128" s="16" t="s">
        <v>43</v>
      </c>
      <c r="L128" s="195" t="s">
        <v>44</v>
      </c>
      <c r="M128" s="298" t="s">
        <v>59</v>
      </c>
      <c r="N128" s="1055" t="s">
        <v>22</v>
      </c>
      <c r="O128" s="188" t="s">
        <v>22</v>
      </c>
      <c r="P128" s="298" t="s">
        <v>59</v>
      </c>
      <c r="Q128" s="1055" t="s">
        <v>22</v>
      </c>
      <c r="R128" s="188" t="s">
        <v>22</v>
      </c>
      <c r="S128" s="299" t="s">
        <v>59</v>
      </c>
      <c r="T128" s="1055" t="s">
        <v>22</v>
      </c>
      <c r="U128" s="188" t="s">
        <v>22</v>
      </c>
      <c r="V128" s="298" t="s">
        <v>59</v>
      </c>
      <c r="W128" s="16" t="s">
        <v>22</v>
      </c>
      <c r="X128" s="188" t="s">
        <v>86</v>
      </c>
      <c r="Y128" s="298" t="s">
        <v>59</v>
      </c>
      <c r="Z128" s="16" t="s">
        <v>22</v>
      </c>
      <c r="AA128" s="188" t="s">
        <v>86</v>
      </c>
      <c r="AB128" s="298" t="s">
        <v>59</v>
      </c>
      <c r="AC128" s="16" t="s">
        <v>22</v>
      </c>
      <c r="AD128" s="188" t="s">
        <v>86</v>
      </c>
      <c r="AE128" s="75" t="s">
        <v>63</v>
      </c>
      <c r="AF128" s="202" t="s">
        <v>67</v>
      </c>
      <c r="AG128" s="75" t="s">
        <v>61</v>
      </c>
      <c r="AH128" s="17" t="s">
        <v>61</v>
      </c>
      <c r="AI128" s="298" t="s">
        <v>59</v>
      </c>
      <c r="AJ128" s="17" t="s">
        <v>65</v>
      </c>
      <c r="AK128" s="207" t="s">
        <v>89</v>
      </c>
      <c r="AL128" s="17" t="s">
        <v>89</v>
      </c>
      <c r="AM128" s="75" t="s">
        <v>72</v>
      </c>
      <c r="AN128" s="16" t="s">
        <v>74</v>
      </c>
      <c r="AO128" s="16" t="s">
        <v>74</v>
      </c>
      <c r="AP128" s="16" t="s">
        <v>74</v>
      </c>
      <c r="AQ128" s="17" t="s">
        <v>75</v>
      </c>
      <c r="AR128" s="200" t="s">
        <v>67</v>
      </c>
      <c r="AS128" s="46"/>
    </row>
    <row r="129" spans="1:46">
      <c r="A129" s="70"/>
      <c r="B129" s="19"/>
      <c r="C129" s="65"/>
      <c r="D129" s="67"/>
      <c r="E129" s="65"/>
      <c r="F129" s="18"/>
      <c r="G129" s="19"/>
      <c r="H129" s="65"/>
      <c r="I129" s="18"/>
      <c r="J129" s="73"/>
      <c r="K129" s="18"/>
      <c r="L129" s="156"/>
      <c r="M129" s="54"/>
      <c r="N129" s="1049"/>
      <c r="O129" s="67"/>
      <c r="P129" s="203"/>
      <c r="Q129" s="1049"/>
      <c r="R129" s="1063"/>
      <c r="S129" s="54"/>
      <c r="T129" s="1059"/>
      <c r="U129" s="67"/>
      <c r="V129" s="54"/>
      <c r="W129" s="269"/>
      <c r="X129" s="156"/>
      <c r="Y129" s="54"/>
      <c r="Z129" s="269"/>
      <c r="AA129" s="156"/>
      <c r="AB129" s="54"/>
      <c r="AC129" s="269"/>
      <c r="AD129" s="156"/>
      <c r="AE129" s="70"/>
      <c r="AF129" s="19"/>
      <c r="AG129" s="70"/>
      <c r="AH129" s="19"/>
      <c r="AI129" s="54"/>
      <c r="AJ129" s="19"/>
      <c r="AK129" s="70"/>
      <c r="AL129" s="197"/>
      <c r="AM129" s="70"/>
      <c r="AN129" s="18"/>
      <c r="AO129" s="18"/>
      <c r="AP129" s="18"/>
      <c r="AQ129" s="19"/>
      <c r="AR129" s="286"/>
      <c r="AS129" s="7"/>
    </row>
    <row r="130" spans="1:46">
      <c r="A130" s="72">
        <f>A$127/2</f>
        <v>24</v>
      </c>
      <c r="B130" s="15">
        <v>2.4500000000000002</v>
      </c>
      <c r="C130" s="66">
        <f>A130*B130</f>
        <v>58.800000000000004</v>
      </c>
      <c r="D130" s="68">
        <v>5</v>
      </c>
      <c r="E130" s="66">
        <f>IF(L130*1000/120/SQRT(3)*1.5&lt;65,120,IF(L130*1000/208/SQRT(3)*1.5&lt;65,208,IF(L130*1000/240/SQRT(3)*1.5&lt;65,240,480)))</f>
        <v>120</v>
      </c>
      <c r="F130" s="45">
        <f>L130*1000/E130/SQRT(3)</f>
        <v>2.4056261216234409</v>
      </c>
      <c r="G130" s="94">
        <f>G$128</f>
        <v>12</v>
      </c>
      <c r="H130" s="295">
        <f t="shared" ref="H130:H158" si="101">IF(C130&lt;150,0.428*(1+G130/100)*C130+3,0.428*(1+G130/100)*C130)</f>
        <v>31.186368000000005</v>
      </c>
      <c r="I130" s="25">
        <f t="shared" ref="I130:I158" si="102">SQRT(3)*H130</f>
        <v>54.016373879540197</v>
      </c>
      <c r="J130" s="52">
        <f>J$128</f>
        <v>20</v>
      </c>
      <c r="K130" s="25">
        <f t="shared" ref="K130:K158" si="103">(1+J130/100)*D130*0.83</f>
        <v>4.9799999999999995</v>
      </c>
      <c r="L130" s="427">
        <f t="shared" ref="L130:L158" si="104">IF(CEILING(I130*K130*SQRT(3)/1000,0.25)&lt;10,CEILING(I130*K130*SQRT(3)/1000,0.25),IF(CEILING(I130*K130*SQRT(3)/1000,0.25)&lt;20,CEILING(I130*K130*SQRT(3)/1000,0.5),CEILING(I130*K130*SQRT(3)/1000,1)))</f>
        <v>0.5</v>
      </c>
      <c r="M130" s="55">
        <f t="shared" ref="M130:M158" si="105">M$91</f>
        <v>30</v>
      </c>
      <c r="N130" s="838">
        <f t="shared" ref="N130:N158" si="106">(1+M130/100)*F130</f>
        <v>3.1273139581104732</v>
      </c>
      <c r="O130" s="68">
        <f>LOOKUP(N130,'Circuit Breakers'!$B$5:$B$38,'Circuit Breakers'!$C$5:$C$38)</f>
        <v>5</v>
      </c>
      <c r="P130" s="199">
        <f t="shared" ref="P130:P158" si="107">P$91</f>
        <v>30</v>
      </c>
      <c r="Q130" s="1056">
        <f>(1+P130/100)*K130</f>
        <v>6.4739999999999993</v>
      </c>
      <c r="R130" s="1064">
        <f>LOOKUP(Q130,'Circuit Breakers'!$B$5:$B$38,'Circuit Breakers'!$C$5:$C$38)</f>
        <v>10</v>
      </c>
      <c r="S130" s="64">
        <f t="shared" ref="S130:S158" si="108">S$91</f>
        <v>30</v>
      </c>
      <c r="T130" s="25">
        <f>(1+S130/100)*D130</f>
        <v>6.5</v>
      </c>
      <c r="U130" s="158">
        <f>LOOKUP(T130,'Circuit Breakers'!$B$5:$B$38,'Circuit Breakers'!$C$5:$C$38)</f>
        <v>10</v>
      </c>
      <c r="V130" s="55">
        <f>V$127</f>
        <v>15</v>
      </c>
      <c r="W130" s="25">
        <f>(1+V130/100)*F130</f>
        <v>2.7664700398669568</v>
      </c>
      <c r="X130" s="68" t="str">
        <f>LOOKUP(W130,'Wire-Cables Ampacities'!$B$5:$B$35,'Wire-Cables Ampacities'!$C$5:$C$35)</f>
        <v>#10</v>
      </c>
      <c r="Y130" s="55">
        <f>Y$127</f>
        <v>10</v>
      </c>
      <c r="Z130" s="25">
        <f>(1+Y130/100)*K130</f>
        <v>5.4779999999999998</v>
      </c>
      <c r="AA130" s="68" t="str">
        <f>LOOKUP(Z130,'Wire-Cables Ampacities'!$B$5:$B$35,'Wire-Cables Ampacities'!$C$5:$C$35)</f>
        <v>#10</v>
      </c>
      <c r="AB130" s="55">
        <f>AB$127</f>
        <v>10</v>
      </c>
      <c r="AC130" s="25">
        <f>(1+AB130/100)*D130</f>
        <v>5.5</v>
      </c>
      <c r="AD130" s="68" t="str">
        <f>LOOKUP(AC130,'Wire-Cables Ampacities'!$B$5:$B$35,'Wire-Cables Ampacities'!$C$5:$C$35)</f>
        <v>#10</v>
      </c>
      <c r="AE130" s="81">
        <f>(2*D130+0.07*L130*1000)/1000</f>
        <v>4.4999999999999998E-2</v>
      </c>
      <c r="AF130" s="56">
        <f t="shared" ref="AF130:AF158" si="109">AE130*3.412142*1000</f>
        <v>153.54638999999997</v>
      </c>
      <c r="AG130" s="72">
        <f>AG$127</f>
        <v>40</v>
      </c>
      <c r="AH130" s="72">
        <f>AH$127</f>
        <v>55</v>
      </c>
      <c r="AI130" s="55">
        <f>AI$127</f>
        <v>20</v>
      </c>
      <c r="AJ130" s="56">
        <f>1760*AE130/(AH130-AG130)*(1+AI130/100)</f>
        <v>6.3360000000000003</v>
      </c>
      <c r="AK130" s="271">
        <f>AJ130/AK$19</f>
        <v>6.336E-2</v>
      </c>
      <c r="AL130" s="277">
        <f>AJ130/AL$19</f>
        <v>3.168E-2</v>
      </c>
      <c r="AM130" s="58">
        <v>450</v>
      </c>
      <c r="AN130" s="25">
        <v>24</v>
      </c>
      <c r="AO130" s="3">
        <v>30</v>
      </c>
      <c r="AP130" s="3">
        <v>16</v>
      </c>
      <c r="AQ130" s="281">
        <f>((2*AO130*AN130)+2*(AO130*AP130)+(AN130*AP130))/144</f>
        <v>19.333333333333332</v>
      </c>
      <c r="AR130" s="287">
        <f t="shared" ref="AR130:AR146" si="110">AF130+(1.25*AQ130*(AG130-AH130))</f>
        <v>-208.95360999999997</v>
      </c>
      <c r="AS130" s="93"/>
      <c r="AT130" s="4"/>
    </row>
    <row r="131" spans="1:46">
      <c r="A131" s="98">
        <f t="shared" ref="A131:A158" si="111">A$127/2</f>
        <v>24</v>
      </c>
      <c r="B131" s="99">
        <v>2.4500000000000002</v>
      </c>
      <c r="C131" s="100">
        <f t="shared" ref="C131:C158" si="112">A131*B131</f>
        <v>58.800000000000004</v>
      </c>
      <c r="D131" s="101">
        <v>10</v>
      </c>
      <c r="E131" s="100">
        <f t="shared" ref="E131:E158" si="113">IF(L131*1000/120/SQRT(3)*1.5&lt;65,120,IF(L131*1000/208/SQRT(3)*1.5&lt;65,208,IF(L131*1000/240/SQRT(3)*1.5&lt;65,240,480)))</f>
        <v>120</v>
      </c>
      <c r="F131" s="102">
        <f t="shared" ref="F131:F158" si="114">L131*1000/E131/SQRT(3)</f>
        <v>4.8112522432468818</v>
      </c>
      <c r="G131" s="103">
        <f t="shared" ref="G131:G158" si="115">G$128</f>
        <v>12</v>
      </c>
      <c r="H131" s="296">
        <f t="shared" si="101"/>
        <v>31.186368000000005</v>
      </c>
      <c r="I131" s="104">
        <f t="shared" si="102"/>
        <v>54.016373879540197</v>
      </c>
      <c r="J131" s="180">
        <f t="shared" ref="J131:J158" si="116">J$128</f>
        <v>20</v>
      </c>
      <c r="K131" s="104">
        <f t="shared" si="103"/>
        <v>9.9599999999999991</v>
      </c>
      <c r="L131" s="428">
        <f t="shared" si="104"/>
        <v>1</v>
      </c>
      <c r="M131" s="106">
        <f t="shared" si="105"/>
        <v>30</v>
      </c>
      <c r="N131" s="1060">
        <f t="shared" si="106"/>
        <v>6.2546279162209464</v>
      </c>
      <c r="O131" s="101">
        <f>LOOKUP(N131,'Circuit Breakers'!$B$5:$B$38,'Circuit Breakers'!$C$5:$C$38)</f>
        <v>10</v>
      </c>
      <c r="P131" s="262">
        <f t="shared" si="107"/>
        <v>30</v>
      </c>
      <c r="Q131" s="1057">
        <f t="shared" ref="Q131:Q158" si="117">(1+P131/100)*K131</f>
        <v>12.947999999999999</v>
      </c>
      <c r="R131" s="1065">
        <f>LOOKUP(Q131,'Circuit Breakers'!$B$5:$B$38,'Circuit Breakers'!$C$5:$C$38)</f>
        <v>15</v>
      </c>
      <c r="S131" s="106">
        <f t="shared" si="108"/>
        <v>30</v>
      </c>
      <c r="T131" s="104">
        <f t="shared" ref="T131:T158" si="118">(1+S131/100)*D131</f>
        <v>13</v>
      </c>
      <c r="U131" s="477">
        <f>LOOKUP(T131,'Circuit Breakers'!$B$5:$B$38,'Circuit Breakers'!$C$5:$C$38)</f>
        <v>15</v>
      </c>
      <c r="V131" s="106">
        <f t="shared" ref="V131:V158" si="119">V$127</f>
        <v>15</v>
      </c>
      <c r="W131" s="104">
        <f t="shared" ref="W131:W158" si="120">(1+V131/100)*F131</f>
        <v>5.5329400797339137</v>
      </c>
      <c r="X131" s="101" t="str">
        <f>LOOKUP(W131,'Wire-Cables Ampacities'!$B$5:$B$35,'Wire-Cables Ampacities'!$C$5:$C$35)</f>
        <v>#10</v>
      </c>
      <c r="Y131" s="106">
        <f t="shared" ref="Y131:Y158" si="121">Y$127</f>
        <v>10</v>
      </c>
      <c r="Z131" s="104">
        <f t="shared" ref="Z131:Z158" si="122">(1+Y131/100)*K131</f>
        <v>10.956</v>
      </c>
      <c r="AA131" s="101" t="str">
        <f>LOOKUP(Z131,'Wire-Cables Ampacities'!$B$5:$B$35,'Wire-Cables Ampacities'!$C$5:$C$35)</f>
        <v>#10</v>
      </c>
      <c r="AB131" s="106">
        <f t="shared" ref="AB131:AB158" si="123">AB$127</f>
        <v>10</v>
      </c>
      <c r="AC131" s="104">
        <f t="shared" ref="AC131:AC158" si="124">(1+AB131/100)*D131</f>
        <v>11</v>
      </c>
      <c r="AD131" s="101" t="str">
        <f>LOOKUP(AC131,'Wire-Cables Ampacities'!$B$5:$B$35,'Wire-Cables Ampacities'!$C$5:$C$35)</f>
        <v>#10</v>
      </c>
      <c r="AE131" s="107">
        <f t="shared" ref="AE131:AE158" si="125">(2*D131+0.07*L131*1000)/1000</f>
        <v>0.09</v>
      </c>
      <c r="AF131" s="105">
        <f t="shared" si="109"/>
        <v>307.09277999999995</v>
      </c>
      <c r="AG131" s="98">
        <f t="shared" ref="AG131:AI158" si="126">AG$127</f>
        <v>40</v>
      </c>
      <c r="AH131" s="99">
        <f t="shared" si="126"/>
        <v>55</v>
      </c>
      <c r="AI131" s="106">
        <f t="shared" si="126"/>
        <v>20</v>
      </c>
      <c r="AJ131" s="105">
        <f t="shared" ref="AJ131:AJ158" si="127">1760*AE131/(AH131-AG131)*(1+AI131/100)</f>
        <v>12.672000000000001</v>
      </c>
      <c r="AK131" s="272">
        <f t="shared" ref="AK131:AK158" si="128">AJ131/AK$19</f>
        <v>0.12672</v>
      </c>
      <c r="AL131" s="278">
        <f t="shared" ref="AL131:AL158" si="129">AJ131/AL$19</f>
        <v>6.336E-2</v>
      </c>
      <c r="AM131" s="109">
        <v>450</v>
      </c>
      <c r="AN131" s="104">
        <v>24</v>
      </c>
      <c r="AO131" s="110">
        <v>30</v>
      </c>
      <c r="AP131" s="110">
        <v>16</v>
      </c>
      <c r="AQ131" s="282">
        <f t="shared" ref="AQ131:AQ158" si="130">((2*AO131*AN131)+2*(AO131*AP131)+(AN131*AP131))/144</f>
        <v>19.333333333333332</v>
      </c>
      <c r="AR131" s="288">
        <f t="shared" si="110"/>
        <v>-55.407219999999995</v>
      </c>
      <c r="AS131" s="93"/>
      <c r="AT131" s="4"/>
    </row>
    <row r="132" spans="1:46">
      <c r="A132" s="72">
        <f t="shared" si="111"/>
        <v>24</v>
      </c>
      <c r="B132" s="15">
        <v>2.4500000000000002</v>
      </c>
      <c r="C132" s="66">
        <f t="shared" si="112"/>
        <v>58.800000000000004</v>
      </c>
      <c r="D132" s="68">
        <v>15</v>
      </c>
      <c r="E132" s="66">
        <f t="shared" si="113"/>
        <v>120</v>
      </c>
      <c r="F132" s="45">
        <f t="shared" si="114"/>
        <v>7.2168783648703227</v>
      </c>
      <c r="G132" s="94">
        <f t="shared" si="115"/>
        <v>12</v>
      </c>
      <c r="H132" s="295">
        <f t="shared" si="101"/>
        <v>31.186368000000005</v>
      </c>
      <c r="I132" s="25">
        <f t="shared" si="102"/>
        <v>54.016373879540197</v>
      </c>
      <c r="J132" s="52">
        <f t="shared" si="116"/>
        <v>20</v>
      </c>
      <c r="K132" s="25">
        <f t="shared" si="103"/>
        <v>14.94</v>
      </c>
      <c r="L132" s="427">
        <f t="shared" si="104"/>
        <v>1.5</v>
      </c>
      <c r="M132" s="64">
        <f t="shared" si="105"/>
        <v>30</v>
      </c>
      <c r="N132" s="838">
        <f t="shared" si="106"/>
        <v>9.3819418743314191</v>
      </c>
      <c r="O132" s="68">
        <f>LOOKUP(N132,'Circuit Breakers'!$B$5:$B$38,'Circuit Breakers'!$C$5:$C$38)</f>
        <v>10</v>
      </c>
      <c r="P132" s="199">
        <f t="shared" si="107"/>
        <v>30</v>
      </c>
      <c r="Q132" s="1056">
        <f t="shared" si="117"/>
        <v>19.422000000000001</v>
      </c>
      <c r="R132" s="1064">
        <f>LOOKUP(Q132,'Circuit Breakers'!$B$5:$B$38,'Circuit Breakers'!$C$5:$C$38)</f>
        <v>20</v>
      </c>
      <c r="S132" s="64">
        <f t="shared" si="108"/>
        <v>30</v>
      </c>
      <c r="T132" s="25">
        <f t="shared" si="118"/>
        <v>19.5</v>
      </c>
      <c r="U132" s="158">
        <f>LOOKUP(T132,'Circuit Breakers'!$B$5:$B$38,'Circuit Breakers'!$C$5:$C$38)</f>
        <v>20</v>
      </c>
      <c r="V132" s="64">
        <f t="shared" si="119"/>
        <v>15</v>
      </c>
      <c r="W132" s="25">
        <f t="shared" si="120"/>
        <v>8.2994101196008714</v>
      </c>
      <c r="X132" s="68" t="str">
        <f>LOOKUP(W132,'Wire-Cables Ampacities'!$B$5:$B$35,'Wire-Cables Ampacities'!$C$5:$C$35)</f>
        <v>#10</v>
      </c>
      <c r="Y132" s="64">
        <f t="shared" si="121"/>
        <v>10</v>
      </c>
      <c r="Z132" s="25">
        <f t="shared" si="122"/>
        <v>16.434000000000001</v>
      </c>
      <c r="AA132" s="68" t="str">
        <f>LOOKUP(Z132,'Wire-Cables Ampacities'!$B$5:$B$35,'Wire-Cables Ampacities'!$C$5:$C$35)</f>
        <v>#10</v>
      </c>
      <c r="AB132" s="64">
        <f t="shared" si="123"/>
        <v>10</v>
      </c>
      <c r="AC132" s="25">
        <f t="shared" si="124"/>
        <v>16.5</v>
      </c>
      <c r="AD132" s="68" t="str">
        <f>LOOKUP(AC132,'Wire-Cables Ampacities'!$B$5:$B$35,'Wire-Cables Ampacities'!$C$5:$C$35)</f>
        <v>#10</v>
      </c>
      <c r="AE132" s="81">
        <f t="shared" si="125"/>
        <v>0.13500000000000001</v>
      </c>
      <c r="AF132" s="56">
        <f t="shared" si="109"/>
        <v>460.63916999999998</v>
      </c>
      <c r="AG132" s="72">
        <f t="shared" si="126"/>
        <v>40</v>
      </c>
      <c r="AH132" s="15">
        <f t="shared" si="126"/>
        <v>55</v>
      </c>
      <c r="AI132" s="64">
        <f t="shared" si="126"/>
        <v>20</v>
      </c>
      <c r="AJ132" s="56">
        <f t="shared" si="127"/>
        <v>19.008000000000003</v>
      </c>
      <c r="AK132" s="271">
        <f t="shared" si="128"/>
        <v>0.19008000000000003</v>
      </c>
      <c r="AL132" s="277">
        <f t="shared" si="129"/>
        <v>9.5040000000000013E-2</v>
      </c>
      <c r="AM132" s="58">
        <v>600</v>
      </c>
      <c r="AN132" s="25">
        <v>24</v>
      </c>
      <c r="AO132" s="3">
        <v>48</v>
      </c>
      <c r="AP132" s="3">
        <v>16</v>
      </c>
      <c r="AQ132" s="281">
        <f t="shared" si="130"/>
        <v>29.333333333333332</v>
      </c>
      <c r="AR132" s="287">
        <f t="shared" si="110"/>
        <v>-89.360830000000021</v>
      </c>
      <c r="AS132" s="93"/>
      <c r="AT132" s="4"/>
    </row>
    <row r="133" spans="1:46">
      <c r="A133" s="72">
        <f t="shared" si="111"/>
        <v>24</v>
      </c>
      <c r="B133" s="15">
        <v>2.4500000000000002</v>
      </c>
      <c r="C133" s="66">
        <f t="shared" si="112"/>
        <v>58.800000000000004</v>
      </c>
      <c r="D133" s="68">
        <v>20</v>
      </c>
      <c r="E133" s="66">
        <f t="shared" si="113"/>
        <v>120</v>
      </c>
      <c r="F133" s="45">
        <f t="shared" si="114"/>
        <v>9.6225044864937637</v>
      </c>
      <c r="G133" s="94">
        <f t="shared" si="115"/>
        <v>12</v>
      </c>
      <c r="H133" s="295">
        <f t="shared" si="101"/>
        <v>31.186368000000005</v>
      </c>
      <c r="I133" s="25">
        <f t="shared" si="102"/>
        <v>54.016373879540197</v>
      </c>
      <c r="J133" s="52">
        <f t="shared" si="116"/>
        <v>20</v>
      </c>
      <c r="K133" s="25">
        <f t="shared" si="103"/>
        <v>19.919999999999998</v>
      </c>
      <c r="L133" s="427">
        <f t="shared" si="104"/>
        <v>2</v>
      </c>
      <c r="M133" s="55">
        <f t="shared" si="105"/>
        <v>30</v>
      </c>
      <c r="N133" s="838">
        <f t="shared" si="106"/>
        <v>12.509255832441893</v>
      </c>
      <c r="O133" s="68">
        <f>LOOKUP(N133,'Circuit Breakers'!$B$5:$B$38,'Circuit Breakers'!$C$5:$C$38)</f>
        <v>15</v>
      </c>
      <c r="P133" s="199">
        <f t="shared" si="107"/>
        <v>30</v>
      </c>
      <c r="Q133" s="1056">
        <f t="shared" si="117"/>
        <v>25.895999999999997</v>
      </c>
      <c r="R133" s="1064">
        <f>LOOKUP(Q133,'Circuit Breakers'!$B$5:$B$38,'Circuit Breakers'!$C$5:$C$38)</f>
        <v>30</v>
      </c>
      <c r="S133" s="64">
        <f t="shared" si="108"/>
        <v>30</v>
      </c>
      <c r="T133" s="25">
        <f t="shared" si="118"/>
        <v>26</v>
      </c>
      <c r="U133" s="158">
        <f>LOOKUP(T133,'Circuit Breakers'!$B$5:$B$38,'Circuit Breakers'!$C$5:$C$38)</f>
        <v>30</v>
      </c>
      <c r="V133" s="64">
        <f t="shared" si="119"/>
        <v>15</v>
      </c>
      <c r="W133" s="25">
        <f t="shared" si="120"/>
        <v>11.065880159467827</v>
      </c>
      <c r="X133" s="68" t="str">
        <f>LOOKUP(W133,'Wire-Cables Ampacities'!$B$5:$B$35,'Wire-Cables Ampacities'!$C$5:$C$35)</f>
        <v>#10</v>
      </c>
      <c r="Y133" s="64">
        <f t="shared" si="121"/>
        <v>10</v>
      </c>
      <c r="Z133" s="25">
        <f t="shared" si="122"/>
        <v>21.911999999999999</v>
      </c>
      <c r="AA133" s="68" t="str">
        <f>LOOKUP(Z133,'Wire-Cables Ampacities'!$B$5:$B$35,'Wire-Cables Ampacities'!$C$5:$C$35)</f>
        <v>#10</v>
      </c>
      <c r="AB133" s="64">
        <f t="shared" si="123"/>
        <v>10</v>
      </c>
      <c r="AC133" s="25">
        <f t="shared" si="124"/>
        <v>22</v>
      </c>
      <c r="AD133" s="68" t="str">
        <f>LOOKUP(AC133,'Wire-Cables Ampacities'!$B$5:$B$35,'Wire-Cables Ampacities'!$C$5:$C$35)</f>
        <v>#10</v>
      </c>
      <c r="AE133" s="81">
        <f t="shared" si="125"/>
        <v>0.18</v>
      </c>
      <c r="AF133" s="56">
        <f t="shared" si="109"/>
        <v>614.1855599999999</v>
      </c>
      <c r="AG133" s="72">
        <f t="shared" si="126"/>
        <v>40</v>
      </c>
      <c r="AH133" s="15">
        <f t="shared" si="126"/>
        <v>55</v>
      </c>
      <c r="AI133" s="64">
        <f t="shared" si="126"/>
        <v>20</v>
      </c>
      <c r="AJ133" s="56">
        <f t="shared" si="127"/>
        <v>25.344000000000001</v>
      </c>
      <c r="AK133" s="271">
        <f t="shared" si="128"/>
        <v>0.25344</v>
      </c>
      <c r="AL133" s="277">
        <f t="shared" si="129"/>
        <v>0.12672</v>
      </c>
      <c r="AM133" s="58">
        <v>600</v>
      </c>
      <c r="AN133" s="25">
        <v>24</v>
      </c>
      <c r="AO133" s="3">
        <v>48</v>
      </c>
      <c r="AP133" s="3">
        <v>16</v>
      </c>
      <c r="AQ133" s="281">
        <f t="shared" si="130"/>
        <v>29.333333333333332</v>
      </c>
      <c r="AR133" s="287">
        <f t="shared" si="110"/>
        <v>64.185559999999896</v>
      </c>
      <c r="AS133" s="93"/>
      <c r="AT133" s="4"/>
    </row>
    <row r="134" spans="1:46">
      <c r="A134" s="98">
        <f t="shared" si="111"/>
        <v>24</v>
      </c>
      <c r="B134" s="99">
        <v>2.4500000000000002</v>
      </c>
      <c r="C134" s="100">
        <f t="shared" si="112"/>
        <v>58.800000000000004</v>
      </c>
      <c r="D134" s="101">
        <v>25</v>
      </c>
      <c r="E134" s="100">
        <f t="shared" si="113"/>
        <v>120</v>
      </c>
      <c r="F134" s="102">
        <f t="shared" si="114"/>
        <v>12.028130608117204</v>
      </c>
      <c r="G134" s="103">
        <f t="shared" si="115"/>
        <v>12</v>
      </c>
      <c r="H134" s="296">
        <f t="shared" si="101"/>
        <v>31.186368000000005</v>
      </c>
      <c r="I134" s="104">
        <f t="shared" si="102"/>
        <v>54.016373879540197</v>
      </c>
      <c r="J134" s="180">
        <f t="shared" si="116"/>
        <v>20</v>
      </c>
      <c r="K134" s="104">
        <f t="shared" si="103"/>
        <v>24.9</v>
      </c>
      <c r="L134" s="428">
        <f t="shared" si="104"/>
        <v>2.5</v>
      </c>
      <c r="M134" s="106">
        <f t="shared" si="105"/>
        <v>30</v>
      </c>
      <c r="N134" s="1060">
        <f t="shared" si="106"/>
        <v>15.636569790552365</v>
      </c>
      <c r="O134" s="101">
        <f>LOOKUP(N134,'Circuit Breakers'!$B$5:$B$38,'Circuit Breakers'!$C$5:$C$38)</f>
        <v>20</v>
      </c>
      <c r="P134" s="262">
        <f t="shared" si="107"/>
        <v>30</v>
      </c>
      <c r="Q134" s="1057">
        <f t="shared" si="117"/>
        <v>32.369999999999997</v>
      </c>
      <c r="R134" s="1065">
        <f>LOOKUP(Q134,'Circuit Breakers'!$B$5:$B$38,'Circuit Breakers'!$C$5:$C$38)</f>
        <v>40</v>
      </c>
      <c r="S134" s="106">
        <f t="shared" si="108"/>
        <v>30</v>
      </c>
      <c r="T134" s="104">
        <f t="shared" si="118"/>
        <v>32.5</v>
      </c>
      <c r="U134" s="477">
        <f>LOOKUP(T134,'Circuit Breakers'!$B$5:$B$38,'Circuit Breakers'!$C$5:$C$38)</f>
        <v>40</v>
      </c>
      <c r="V134" s="106">
        <f t="shared" si="119"/>
        <v>15</v>
      </c>
      <c r="W134" s="104">
        <f t="shared" si="120"/>
        <v>13.832350199334783</v>
      </c>
      <c r="X134" s="101" t="str">
        <f>LOOKUP(W134,'Wire-Cables Ampacities'!$B$5:$B$35,'Wire-Cables Ampacities'!$C$5:$C$35)</f>
        <v>#10</v>
      </c>
      <c r="Y134" s="106">
        <f t="shared" si="121"/>
        <v>10</v>
      </c>
      <c r="Z134" s="104">
        <f t="shared" si="122"/>
        <v>27.39</v>
      </c>
      <c r="AA134" s="101" t="str">
        <f>LOOKUP(Z134,'Wire-Cables Ampacities'!$B$5:$B$35,'Wire-Cables Ampacities'!$C$5:$C$35)</f>
        <v>#10</v>
      </c>
      <c r="AB134" s="106">
        <f t="shared" si="123"/>
        <v>10</v>
      </c>
      <c r="AC134" s="104">
        <f t="shared" si="124"/>
        <v>27.500000000000004</v>
      </c>
      <c r="AD134" s="101" t="str">
        <f>LOOKUP(AC134,'Wire-Cables Ampacities'!$B$5:$B$35,'Wire-Cables Ampacities'!$C$5:$C$35)</f>
        <v>#10</v>
      </c>
      <c r="AE134" s="107">
        <f t="shared" si="125"/>
        <v>0.22500000000000003</v>
      </c>
      <c r="AF134" s="105">
        <f t="shared" si="109"/>
        <v>767.7319500000001</v>
      </c>
      <c r="AG134" s="98">
        <f t="shared" si="126"/>
        <v>40</v>
      </c>
      <c r="AH134" s="99">
        <f t="shared" si="126"/>
        <v>55</v>
      </c>
      <c r="AI134" s="106">
        <f t="shared" si="126"/>
        <v>20</v>
      </c>
      <c r="AJ134" s="105">
        <f t="shared" si="127"/>
        <v>31.68</v>
      </c>
      <c r="AK134" s="272">
        <f t="shared" si="128"/>
        <v>0.31679999999999997</v>
      </c>
      <c r="AL134" s="278">
        <f t="shared" si="129"/>
        <v>0.15839999999999999</v>
      </c>
      <c r="AM134" s="109">
        <v>600</v>
      </c>
      <c r="AN134" s="104">
        <v>24</v>
      </c>
      <c r="AO134" s="110">
        <v>48</v>
      </c>
      <c r="AP134" s="110">
        <v>16</v>
      </c>
      <c r="AQ134" s="282">
        <f t="shared" si="130"/>
        <v>29.333333333333332</v>
      </c>
      <c r="AR134" s="288">
        <f t="shared" si="110"/>
        <v>217.7319500000001</v>
      </c>
      <c r="AS134" s="93"/>
      <c r="AT134" s="4"/>
    </row>
    <row r="135" spans="1:46">
      <c r="A135" s="72">
        <f t="shared" si="111"/>
        <v>24</v>
      </c>
      <c r="B135" s="15">
        <v>2.4500000000000002</v>
      </c>
      <c r="C135" s="66">
        <f t="shared" si="112"/>
        <v>58.800000000000004</v>
      </c>
      <c r="D135" s="68">
        <v>30</v>
      </c>
      <c r="E135" s="66">
        <f t="shared" si="113"/>
        <v>120</v>
      </c>
      <c r="F135" s="45">
        <f t="shared" si="114"/>
        <v>14.433756729740645</v>
      </c>
      <c r="G135" s="94">
        <f t="shared" si="115"/>
        <v>12</v>
      </c>
      <c r="H135" s="295">
        <f t="shared" si="101"/>
        <v>31.186368000000005</v>
      </c>
      <c r="I135" s="25">
        <f t="shared" si="102"/>
        <v>54.016373879540197</v>
      </c>
      <c r="J135" s="52">
        <f t="shared" si="116"/>
        <v>20</v>
      </c>
      <c r="K135" s="25">
        <f t="shared" si="103"/>
        <v>29.88</v>
      </c>
      <c r="L135" s="427">
        <f t="shared" si="104"/>
        <v>3</v>
      </c>
      <c r="M135" s="64">
        <f t="shared" si="105"/>
        <v>30</v>
      </c>
      <c r="N135" s="838">
        <f t="shared" si="106"/>
        <v>18.763883748662838</v>
      </c>
      <c r="O135" s="68">
        <f>LOOKUP(N135,'Circuit Breakers'!$B$5:$B$38,'Circuit Breakers'!$C$5:$C$38)</f>
        <v>20</v>
      </c>
      <c r="P135" s="199">
        <f t="shared" si="107"/>
        <v>30</v>
      </c>
      <c r="Q135" s="1056">
        <f t="shared" si="117"/>
        <v>38.844000000000001</v>
      </c>
      <c r="R135" s="1064">
        <f>LOOKUP(Q135,'Circuit Breakers'!$B$5:$B$38,'Circuit Breakers'!$C$5:$C$38)</f>
        <v>40</v>
      </c>
      <c r="S135" s="64">
        <f t="shared" si="108"/>
        <v>30</v>
      </c>
      <c r="T135" s="25">
        <f t="shared" si="118"/>
        <v>39</v>
      </c>
      <c r="U135" s="158">
        <f>LOOKUP(T135,'Circuit Breakers'!$B$5:$B$38,'Circuit Breakers'!$C$5:$C$38)</f>
        <v>40</v>
      </c>
      <c r="V135" s="64">
        <f t="shared" si="119"/>
        <v>15</v>
      </c>
      <c r="W135" s="25">
        <f t="shared" si="120"/>
        <v>16.598820239201743</v>
      </c>
      <c r="X135" s="68" t="str">
        <f>LOOKUP(W135,'Wire-Cables Ampacities'!$B$5:$B$35,'Wire-Cables Ampacities'!$C$5:$C$35)</f>
        <v>#10</v>
      </c>
      <c r="Y135" s="64">
        <f t="shared" si="121"/>
        <v>10</v>
      </c>
      <c r="Z135" s="25">
        <f t="shared" si="122"/>
        <v>32.868000000000002</v>
      </c>
      <c r="AA135" s="68" t="str">
        <f>LOOKUP(Z135,'Wire-Cables Ampacities'!$B$5:$B$35,'Wire-Cables Ampacities'!$C$5:$C$35)</f>
        <v>#10</v>
      </c>
      <c r="AB135" s="64">
        <f t="shared" si="123"/>
        <v>10</v>
      </c>
      <c r="AC135" s="25">
        <f t="shared" si="124"/>
        <v>33</v>
      </c>
      <c r="AD135" s="68" t="str">
        <f>LOOKUP(AC135,'Wire-Cables Ampacities'!$B$5:$B$35,'Wire-Cables Ampacities'!$C$5:$C$35)</f>
        <v>#10</v>
      </c>
      <c r="AE135" s="81">
        <f t="shared" si="125"/>
        <v>0.27</v>
      </c>
      <c r="AF135" s="56">
        <f t="shared" si="109"/>
        <v>921.27833999999996</v>
      </c>
      <c r="AG135" s="72">
        <f t="shared" si="126"/>
        <v>40</v>
      </c>
      <c r="AH135" s="15">
        <f t="shared" si="126"/>
        <v>55</v>
      </c>
      <c r="AI135" s="64">
        <f t="shared" si="126"/>
        <v>20</v>
      </c>
      <c r="AJ135" s="56">
        <f t="shared" si="127"/>
        <v>38.016000000000005</v>
      </c>
      <c r="AK135" s="271">
        <f t="shared" si="128"/>
        <v>0.38016000000000005</v>
      </c>
      <c r="AL135" s="277">
        <f t="shared" si="129"/>
        <v>0.19008000000000003</v>
      </c>
      <c r="AM135" s="58">
        <v>600</v>
      </c>
      <c r="AN135" s="25">
        <v>24</v>
      </c>
      <c r="AO135" s="3">
        <v>48</v>
      </c>
      <c r="AP135" s="3">
        <v>16</v>
      </c>
      <c r="AQ135" s="281">
        <f t="shared" si="130"/>
        <v>29.333333333333332</v>
      </c>
      <c r="AR135" s="287">
        <f t="shared" si="110"/>
        <v>371.27833999999996</v>
      </c>
      <c r="AS135" s="93"/>
      <c r="AT135" s="4"/>
    </row>
    <row r="136" spans="1:46">
      <c r="A136" s="72">
        <f t="shared" si="111"/>
        <v>24</v>
      </c>
      <c r="B136" s="15">
        <v>2.4500000000000002</v>
      </c>
      <c r="C136" s="66">
        <f t="shared" si="112"/>
        <v>58.800000000000004</v>
      </c>
      <c r="D136" s="68">
        <v>35</v>
      </c>
      <c r="E136" s="66">
        <f t="shared" si="113"/>
        <v>120</v>
      </c>
      <c r="F136" s="45">
        <f t="shared" si="114"/>
        <v>16.839382851364086</v>
      </c>
      <c r="G136" s="94">
        <f t="shared" si="115"/>
        <v>12</v>
      </c>
      <c r="H136" s="295">
        <f t="shared" si="101"/>
        <v>31.186368000000005</v>
      </c>
      <c r="I136" s="25">
        <f t="shared" si="102"/>
        <v>54.016373879540197</v>
      </c>
      <c r="J136" s="52">
        <f t="shared" si="116"/>
        <v>20</v>
      </c>
      <c r="K136" s="25">
        <f t="shared" si="103"/>
        <v>34.86</v>
      </c>
      <c r="L136" s="427">
        <f t="shared" si="104"/>
        <v>3.5</v>
      </c>
      <c r="M136" s="64">
        <f t="shared" si="105"/>
        <v>30</v>
      </c>
      <c r="N136" s="838">
        <f t="shared" si="106"/>
        <v>21.891197706773312</v>
      </c>
      <c r="O136" s="68">
        <f>LOOKUP(N136,'Circuit Breakers'!$B$5:$B$38,'Circuit Breakers'!$C$5:$C$38)</f>
        <v>25</v>
      </c>
      <c r="P136" s="199">
        <f t="shared" si="107"/>
        <v>30</v>
      </c>
      <c r="Q136" s="1056">
        <f t="shared" si="117"/>
        <v>45.317999999999998</v>
      </c>
      <c r="R136" s="1064">
        <f>LOOKUP(Q136,'Circuit Breakers'!$B$5:$B$38,'Circuit Breakers'!$C$5:$C$38)</f>
        <v>50</v>
      </c>
      <c r="S136" s="64">
        <f t="shared" si="108"/>
        <v>30</v>
      </c>
      <c r="T136" s="25">
        <f t="shared" si="118"/>
        <v>45.5</v>
      </c>
      <c r="U136" s="158">
        <f>LOOKUP(T136,'Circuit Breakers'!$B$5:$B$38,'Circuit Breakers'!$C$5:$C$38)</f>
        <v>50</v>
      </c>
      <c r="V136" s="64">
        <f t="shared" si="119"/>
        <v>15</v>
      </c>
      <c r="W136" s="25">
        <f t="shared" si="120"/>
        <v>19.365290279068695</v>
      </c>
      <c r="X136" s="68" t="str">
        <f>LOOKUP(W136,'Wire-Cables Ampacities'!$B$5:$B$35,'Wire-Cables Ampacities'!$C$5:$C$35)</f>
        <v>#10</v>
      </c>
      <c r="Y136" s="64">
        <f t="shared" si="121"/>
        <v>10</v>
      </c>
      <c r="Z136" s="25">
        <f t="shared" si="122"/>
        <v>38.346000000000004</v>
      </c>
      <c r="AA136" s="68" t="str">
        <f>LOOKUP(Z136,'Wire-Cables Ampacities'!$B$5:$B$35,'Wire-Cables Ampacities'!$C$5:$C$35)</f>
        <v>#10</v>
      </c>
      <c r="AB136" s="64">
        <f t="shared" si="123"/>
        <v>10</v>
      </c>
      <c r="AC136" s="25">
        <f t="shared" si="124"/>
        <v>38.5</v>
      </c>
      <c r="AD136" s="68" t="str">
        <f>LOOKUP(AC136,'Wire-Cables Ampacities'!$B$5:$B$35,'Wire-Cables Ampacities'!$C$5:$C$35)</f>
        <v>#10</v>
      </c>
      <c r="AE136" s="81">
        <f t="shared" si="125"/>
        <v>0.315</v>
      </c>
      <c r="AF136" s="56">
        <f t="shared" si="109"/>
        <v>1074.82473</v>
      </c>
      <c r="AG136" s="72">
        <f t="shared" si="126"/>
        <v>40</v>
      </c>
      <c r="AH136" s="15">
        <f t="shared" si="126"/>
        <v>55</v>
      </c>
      <c r="AI136" s="64">
        <f t="shared" si="126"/>
        <v>20</v>
      </c>
      <c r="AJ136" s="56">
        <f t="shared" si="127"/>
        <v>44.351999999999997</v>
      </c>
      <c r="AK136" s="271">
        <f t="shared" si="128"/>
        <v>0.44351999999999997</v>
      </c>
      <c r="AL136" s="277">
        <f t="shared" si="129"/>
        <v>0.22175999999999998</v>
      </c>
      <c r="AM136" s="58">
        <v>600</v>
      </c>
      <c r="AN136" s="25">
        <v>24</v>
      </c>
      <c r="AO136" s="3">
        <v>48</v>
      </c>
      <c r="AP136" s="3">
        <v>16</v>
      </c>
      <c r="AQ136" s="281">
        <f t="shared" si="130"/>
        <v>29.333333333333332</v>
      </c>
      <c r="AR136" s="287">
        <f t="shared" si="110"/>
        <v>524.82473000000005</v>
      </c>
      <c r="AS136" s="93"/>
      <c r="AT136" s="4"/>
    </row>
    <row r="137" spans="1:46">
      <c r="A137" s="98">
        <f t="shared" si="111"/>
        <v>24</v>
      </c>
      <c r="B137" s="99">
        <v>2.4500000000000002</v>
      </c>
      <c r="C137" s="100">
        <f t="shared" si="112"/>
        <v>58.800000000000004</v>
      </c>
      <c r="D137" s="101">
        <v>40</v>
      </c>
      <c r="E137" s="100">
        <f t="shared" si="113"/>
        <v>120</v>
      </c>
      <c r="F137" s="102">
        <f t="shared" si="114"/>
        <v>18.042195912175806</v>
      </c>
      <c r="G137" s="103">
        <f t="shared" si="115"/>
        <v>12</v>
      </c>
      <c r="H137" s="296">
        <f t="shared" si="101"/>
        <v>31.186368000000005</v>
      </c>
      <c r="I137" s="104">
        <f t="shared" si="102"/>
        <v>54.016373879540197</v>
      </c>
      <c r="J137" s="180">
        <f t="shared" si="116"/>
        <v>20</v>
      </c>
      <c r="K137" s="104">
        <f t="shared" si="103"/>
        <v>39.839999999999996</v>
      </c>
      <c r="L137" s="428">
        <f t="shared" si="104"/>
        <v>3.75</v>
      </c>
      <c r="M137" s="106">
        <f t="shared" si="105"/>
        <v>30</v>
      </c>
      <c r="N137" s="1060">
        <f t="shared" si="106"/>
        <v>23.45485468582855</v>
      </c>
      <c r="O137" s="101">
        <f>LOOKUP(N137,'Circuit Breakers'!$B$5:$B$38,'Circuit Breakers'!$C$5:$C$38)</f>
        <v>25</v>
      </c>
      <c r="P137" s="262">
        <f t="shared" si="107"/>
        <v>30</v>
      </c>
      <c r="Q137" s="1057">
        <f t="shared" si="117"/>
        <v>51.791999999999994</v>
      </c>
      <c r="R137" s="1065">
        <f>LOOKUP(Q137,'Circuit Breakers'!$B$5:$B$38,'Circuit Breakers'!$C$5:$C$38)</f>
        <v>60</v>
      </c>
      <c r="S137" s="106">
        <f t="shared" si="108"/>
        <v>30</v>
      </c>
      <c r="T137" s="104">
        <f t="shared" si="118"/>
        <v>52</v>
      </c>
      <c r="U137" s="477">
        <f>LOOKUP(T137,'Circuit Breakers'!$B$5:$B$38,'Circuit Breakers'!$C$5:$C$38)</f>
        <v>60</v>
      </c>
      <c r="V137" s="106">
        <f t="shared" si="119"/>
        <v>15</v>
      </c>
      <c r="W137" s="104">
        <f t="shared" si="120"/>
        <v>20.748525299002175</v>
      </c>
      <c r="X137" s="101" t="str">
        <f>LOOKUP(W137,'Wire-Cables Ampacities'!$B$5:$B$35,'Wire-Cables Ampacities'!$C$5:$C$35)</f>
        <v>#10</v>
      </c>
      <c r="Y137" s="106">
        <f t="shared" si="121"/>
        <v>10</v>
      </c>
      <c r="Z137" s="104">
        <f t="shared" si="122"/>
        <v>43.823999999999998</v>
      </c>
      <c r="AA137" s="101" t="str">
        <f>LOOKUP(Z137,'Wire-Cables Ampacities'!$B$5:$B$35,'Wire-Cables Ampacities'!$C$5:$C$35)</f>
        <v>#8</v>
      </c>
      <c r="AB137" s="106">
        <f t="shared" si="123"/>
        <v>10</v>
      </c>
      <c r="AC137" s="104">
        <f t="shared" si="124"/>
        <v>44</v>
      </c>
      <c r="AD137" s="101" t="str">
        <f>LOOKUP(AC137,'Wire-Cables Ampacities'!$B$5:$B$35,'Wire-Cables Ampacities'!$C$5:$C$35)</f>
        <v>#8</v>
      </c>
      <c r="AE137" s="107">
        <f t="shared" si="125"/>
        <v>0.34250000000000003</v>
      </c>
      <c r="AF137" s="105">
        <f t="shared" si="109"/>
        <v>1168.658635</v>
      </c>
      <c r="AG137" s="98">
        <f t="shared" si="126"/>
        <v>40</v>
      </c>
      <c r="AH137" s="99">
        <f t="shared" si="126"/>
        <v>55</v>
      </c>
      <c r="AI137" s="106">
        <f t="shared" si="126"/>
        <v>20</v>
      </c>
      <c r="AJ137" s="105">
        <f t="shared" si="127"/>
        <v>48.224000000000011</v>
      </c>
      <c r="AK137" s="272">
        <f t="shared" si="128"/>
        <v>0.48224000000000011</v>
      </c>
      <c r="AL137" s="278">
        <f t="shared" si="129"/>
        <v>0.24112000000000006</v>
      </c>
      <c r="AM137" s="109">
        <v>600</v>
      </c>
      <c r="AN137" s="104">
        <v>24</v>
      </c>
      <c r="AO137" s="110">
        <v>48</v>
      </c>
      <c r="AP137" s="110">
        <v>16</v>
      </c>
      <c r="AQ137" s="282">
        <f t="shared" si="130"/>
        <v>29.333333333333332</v>
      </c>
      <c r="AR137" s="288">
        <f t="shared" si="110"/>
        <v>618.658635</v>
      </c>
      <c r="AS137" s="93"/>
      <c r="AT137" s="4"/>
    </row>
    <row r="138" spans="1:46">
      <c r="A138" s="72">
        <f t="shared" si="111"/>
        <v>24</v>
      </c>
      <c r="B138" s="15">
        <v>2.4500000000000002</v>
      </c>
      <c r="C138" s="66">
        <f t="shared" si="112"/>
        <v>58.800000000000004</v>
      </c>
      <c r="D138" s="68">
        <v>50</v>
      </c>
      <c r="E138" s="66">
        <f t="shared" si="113"/>
        <v>120</v>
      </c>
      <c r="F138" s="45">
        <f t="shared" si="114"/>
        <v>22.85344815542269</v>
      </c>
      <c r="G138" s="94">
        <f t="shared" si="115"/>
        <v>12</v>
      </c>
      <c r="H138" s="295">
        <f t="shared" si="101"/>
        <v>31.186368000000005</v>
      </c>
      <c r="I138" s="25">
        <f t="shared" si="102"/>
        <v>54.016373879540197</v>
      </c>
      <c r="J138" s="52">
        <f t="shared" si="116"/>
        <v>20</v>
      </c>
      <c r="K138" s="25">
        <f t="shared" si="103"/>
        <v>49.8</v>
      </c>
      <c r="L138" s="427">
        <f t="shared" si="104"/>
        <v>4.75</v>
      </c>
      <c r="M138" s="64">
        <f t="shared" si="105"/>
        <v>30</v>
      </c>
      <c r="N138" s="838">
        <f t="shared" si="106"/>
        <v>29.709482602049498</v>
      </c>
      <c r="O138" s="68">
        <f>LOOKUP(N138,'Circuit Breakers'!$B$5:$B$38,'Circuit Breakers'!$C$5:$C$38)</f>
        <v>30</v>
      </c>
      <c r="P138" s="199">
        <f t="shared" si="107"/>
        <v>30</v>
      </c>
      <c r="Q138" s="1056">
        <f t="shared" si="117"/>
        <v>64.739999999999995</v>
      </c>
      <c r="R138" s="1064">
        <f>LOOKUP(Q138,'Circuit Breakers'!$B$5:$B$38,'Circuit Breakers'!$C$5:$C$38)</f>
        <v>70</v>
      </c>
      <c r="S138" s="64">
        <f t="shared" si="108"/>
        <v>30</v>
      </c>
      <c r="T138" s="25">
        <f t="shared" si="118"/>
        <v>65</v>
      </c>
      <c r="U138" s="158">
        <f>LOOKUP(T138,'Circuit Breakers'!$B$5:$B$38,'Circuit Breakers'!$C$5:$C$38)</f>
        <v>70</v>
      </c>
      <c r="V138" s="64">
        <f t="shared" si="119"/>
        <v>15</v>
      </c>
      <c r="W138" s="25">
        <f t="shared" si="120"/>
        <v>26.28146537873609</v>
      </c>
      <c r="X138" s="68" t="str">
        <f>LOOKUP(W138,'Wire-Cables Ampacities'!$B$5:$B$35,'Wire-Cables Ampacities'!$C$5:$C$35)</f>
        <v>#10</v>
      </c>
      <c r="Y138" s="64">
        <f t="shared" si="121"/>
        <v>10</v>
      </c>
      <c r="Z138" s="25">
        <f t="shared" si="122"/>
        <v>54.78</v>
      </c>
      <c r="AA138" s="68" t="str">
        <f>LOOKUP(Z138,'Wire-Cables Ampacities'!$B$5:$B$35,'Wire-Cables Ampacities'!$C$5:$C$35)</f>
        <v>#8</v>
      </c>
      <c r="AB138" s="64">
        <f t="shared" si="123"/>
        <v>10</v>
      </c>
      <c r="AC138" s="25">
        <f t="shared" si="124"/>
        <v>55.000000000000007</v>
      </c>
      <c r="AD138" s="68" t="str">
        <f>LOOKUP(AC138,'Wire-Cables Ampacities'!$B$5:$B$35,'Wire-Cables Ampacities'!$C$5:$C$35)</f>
        <v>#8</v>
      </c>
      <c r="AE138" s="81">
        <f t="shared" si="125"/>
        <v>0.4325</v>
      </c>
      <c r="AF138" s="56">
        <f t="shared" si="109"/>
        <v>1475.751415</v>
      </c>
      <c r="AG138" s="72">
        <f t="shared" si="126"/>
        <v>40</v>
      </c>
      <c r="AH138" s="15">
        <f t="shared" si="126"/>
        <v>55</v>
      </c>
      <c r="AI138" s="64">
        <f t="shared" si="126"/>
        <v>20</v>
      </c>
      <c r="AJ138" s="56">
        <f t="shared" si="127"/>
        <v>60.896000000000001</v>
      </c>
      <c r="AK138" s="271">
        <f t="shared" si="128"/>
        <v>0.60896000000000006</v>
      </c>
      <c r="AL138" s="277">
        <f t="shared" si="129"/>
        <v>0.30448000000000003</v>
      </c>
      <c r="AM138" s="58">
        <v>800</v>
      </c>
      <c r="AN138" s="25">
        <v>34</v>
      </c>
      <c r="AO138" s="3">
        <v>48</v>
      </c>
      <c r="AP138" s="3">
        <v>28</v>
      </c>
      <c r="AQ138" s="281">
        <f t="shared" si="130"/>
        <v>47.944444444444443</v>
      </c>
      <c r="AR138" s="287">
        <f t="shared" si="110"/>
        <v>576.79308166666658</v>
      </c>
      <c r="AS138" s="93"/>
      <c r="AT138" s="4"/>
    </row>
    <row r="139" spans="1:46">
      <c r="A139" s="72">
        <f t="shared" si="111"/>
        <v>24</v>
      </c>
      <c r="B139" s="15">
        <v>2.4500000000000002</v>
      </c>
      <c r="C139" s="66">
        <f t="shared" si="112"/>
        <v>58.800000000000004</v>
      </c>
      <c r="D139" s="68">
        <v>60</v>
      </c>
      <c r="E139" s="66">
        <f t="shared" si="113"/>
        <v>120</v>
      </c>
      <c r="F139" s="45">
        <f t="shared" si="114"/>
        <v>27.664700398669567</v>
      </c>
      <c r="G139" s="94">
        <f t="shared" si="115"/>
        <v>12</v>
      </c>
      <c r="H139" s="295">
        <f t="shared" si="101"/>
        <v>31.186368000000005</v>
      </c>
      <c r="I139" s="25">
        <f t="shared" si="102"/>
        <v>54.016373879540197</v>
      </c>
      <c r="J139" s="52">
        <f t="shared" si="116"/>
        <v>20</v>
      </c>
      <c r="K139" s="25">
        <f t="shared" si="103"/>
        <v>59.76</v>
      </c>
      <c r="L139" s="427">
        <f t="shared" si="104"/>
        <v>5.75</v>
      </c>
      <c r="M139" s="64">
        <f t="shared" si="105"/>
        <v>30</v>
      </c>
      <c r="N139" s="838">
        <f t="shared" si="106"/>
        <v>35.964110518270438</v>
      </c>
      <c r="O139" s="68">
        <f>LOOKUP(N139,'Circuit Breakers'!$B$5:$B$38,'Circuit Breakers'!$C$5:$C$38)</f>
        <v>40</v>
      </c>
      <c r="P139" s="199">
        <f t="shared" si="107"/>
        <v>30</v>
      </c>
      <c r="Q139" s="1056">
        <f t="shared" si="117"/>
        <v>77.688000000000002</v>
      </c>
      <c r="R139" s="1064">
        <f>LOOKUP(Q139,'Circuit Breakers'!$B$5:$B$38,'Circuit Breakers'!$C$5:$C$38)</f>
        <v>80</v>
      </c>
      <c r="S139" s="64">
        <f t="shared" si="108"/>
        <v>30</v>
      </c>
      <c r="T139" s="25">
        <f t="shared" si="118"/>
        <v>78</v>
      </c>
      <c r="U139" s="158">
        <f>LOOKUP(T139,'Circuit Breakers'!$B$5:$B$38,'Circuit Breakers'!$C$5:$C$38)</f>
        <v>80</v>
      </c>
      <c r="V139" s="64">
        <f t="shared" si="119"/>
        <v>15</v>
      </c>
      <c r="W139" s="25">
        <f t="shared" si="120"/>
        <v>31.814405458469999</v>
      </c>
      <c r="X139" s="68" t="str">
        <f>LOOKUP(W139,'Wire-Cables Ampacities'!$B$5:$B$35,'Wire-Cables Ampacities'!$C$5:$C$35)</f>
        <v>#10</v>
      </c>
      <c r="Y139" s="64">
        <f t="shared" si="121"/>
        <v>10</v>
      </c>
      <c r="Z139" s="25">
        <f t="shared" si="122"/>
        <v>65.736000000000004</v>
      </c>
      <c r="AA139" s="68" t="str">
        <f>LOOKUP(Z139,'Wire-Cables Ampacities'!$B$5:$B$35,'Wire-Cables Ampacities'!$C$5:$C$35)</f>
        <v>#6</v>
      </c>
      <c r="AB139" s="64">
        <f t="shared" si="123"/>
        <v>10</v>
      </c>
      <c r="AC139" s="25">
        <f t="shared" si="124"/>
        <v>66</v>
      </c>
      <c r="AD139" s="68" t="str">
        <f>LOOKUP(AC139,'Wire-Cables Ampacities'!$B$5:$B$35,'Wire-Cables Ampacities'!$C$5:$C$35)</f>
        <v>#6</v>
      </c>
      <c r="AE139" s="81">
        <f t="shared" si="125"/>
        <v>0.52249999999999996</v>
      </c>
      <c r="AF139" s="56">
        <f t="shared" si="109"/>
        <v>1782.8441949999999</v>
      </c>
      <c r="AG139" s="72">
        <f t="shared" si="126"/>
        <v>40</v>
      </c>
      <c r="AH139" s="15">
        <f t="shared" si="126"/>
        <v>55</v>
      </c>
      <c r="AI139" s="64">
        <f t="shared" si="126"/>
        <v>20</v>
      </c>
      <c r="AJ139" s="56">
        <f t="shared" si="127"/>
        <v>73.567999999999984</v>
      </c>
      <c r="AK139" s="271">
        <f t="shared" si="128"/>
        <v>0.73567999999999989</v>
      </c>
      <c r="AL139" s="277">
        <f t="shared" si="129"/>
        <v>0.36783999999999994</v>
      </c>
      <c r="AM139" s="58">
        <v>800</v>
      </c>
      <c r="AN139" s="25">
        <v>34</v>
      </c>
      <c r="AO139" s="3">
        <v>48</v>
      </c>
      <c r="AP139" s="3">
        <v>28</v>
      </c>
      <c r="AQ139" s="281">
        <f t="shared" si="130"/>
        <v>47.944444444444443</v>
      </c>
      <c r="AR139" s="287">
        <f t="shared" si="110"/>
        <v>883.88586166666653</v>
      </c>
      <c r="AS139" s="93"/>
      <c r="AT139" s="4"/>
    </row>
    <row r="140" spans="1:46">
      <c r="A140" s="98">
        <f t="shared" si="111"/>
        <v>24</v>
      </c>
      <c r="B140" s="99">
        <v>2.4500000000000002</v>
      </c>
      <c r="C140" s="100">
        <f t="shared" si="112"/>
        <v>58.800000000000004</v>
      </c>
      <c r="D140" s="101">
        <v>75</v>
      </c>
      <c r="E140" s="100">
        <f t="shared" si="113"/>
        <v>120</v>
      </c>
      <c r="F140" s="102">
        <f t="shared" si="114"/>
        <v>33.678765702728171</v>
      </c>
      <c r="G140" s="103">
        <f t="shared" si="115"/>
        <v>12</v>
      </c>
      <c r="H140" s="296">
        <f t="shared" si="101"/>
        <v>31.186368000000005</v>
      </c>
      <c r="I140" s="104">
        <f t="shared" si="102"/>
        <v>54.016373879540197</v>
      </c>
      <c r="J140" s="180">
        <f t="shared" si="116"/>
        <v>20</v>
      </c>
      <c r="K140" s="104">
        <f t="shared" si="103"/>
        <v>74.7</v>
      </c>
      <c r="L140" s="428">
        <f t="shared" si="104"/>
        <v>7</v>
      </c>
      <c r="M140" s="106">
        <f t="shared" si="105"/>
        <v>30</v>
      </c>
      <c r="N140" s="1060">
        <f t="shared" si="106"/>
        <v>43.782395413546624</v>
      </c>
      <c r="O140" s="101">
        <f>LOOKUP(N140,'Circuit Breakers'!$B$5:$B$38,'Circuit Breakers'!$C$5:$C$38)</f>
        <v>50</v>
      </c>
      <c r="P140" s="262">
        <f t="shared" si="107"/>
        <v>30</v>
      </c>
      <c r="Q140" s="1057">
        <f t="shared" si="117"/>
        <v>97.110000000000014</v>
      </c>
      <c r="R140" s="1065">
        <f>LOOKUP(Q140,'Circuit Breakers'!$B$5:$B$38,'Circuit Breakers'!$C$5:$C$38)</f>
        <v>100</v>
      </c>
      <c r="S140" s="106">
        <f t="shared" si="108"/>
        <v>30</v>
      </c>
      <c r="T140" s="104">
        <f t="shared" si="118"/>
        <v>97.5</v>
      </c>
      <c r="U140" s="477">
        <f>LOOKUP(T140,'Circuit Breakers'!$B$5:$B$38,'Circuit Breakers'!$C$5:$C$38)</f>
        <v>100</v>
      </c>
      <c r="V140" s="106">
        <f t="shared" si="119"/>
        <v>15</v>
      </c>
      <c r="W140" s="104">
        <f t="shared" si="120"/>
        <v>38.73058055813739</v>
      </c>
      <c r="X140" s="101" t="str">
        <f>LOOKUP(W140,'Wire-Cables Ampacities'!$B$5:$B$35,'Wire-Cables Ampacities'!$C$5:$C$35)</f>
        <v>#10</v>
      </c>
      <c r="Y140" s="106">
        <f t="shared" si="121"/>
        <v>10</v>
      </c>
      <c r="Z140" s="104">
        <f t="shared" si="122"/>
        <v>82.170000000000016</v>
      </c>
      <c r="AA140" s="101" t="str">
        <f>LOOKUP(Z140,'Wire-Cables Ampacities'!$B$5:$B$35,'Wire-Cables Ampacities'!$C$5:$C$35)</f>
        <v>#4</v>
      </c>
      <c r="AB140" s="106">
        <f t="shared" si="123"/>
        <v>10</v>
      </c>
      <c r="AC140" s="104">
        <f t="shared" si="124"/>
        <v>82.5</v>
      </c>
      <c r="AD140" s="101" t="str">
        <f>LOOKUP(AC140,'Wire-Cables Ampacities'!$B$5:$B$35,'Wire-Cables Ampacities'!$C$5:$C$35)</f>
        <v>#4</v>
      </c>
      <c r="AE140" s="107">
        <f t="shared" si="125"/>
        <v>0.64</v>
      </c>
      <c r="AF140" s="105">
        <f t="shared" si="109"/>
        <v>2183.77088</v>
      </c>
      <c r="AG140" s="98">
        <f t="shared" si="126"/>
        <v>40</v>
      </c>
      <c r="AH140" s="99">
        <f t="shared" si="126"/>
        <v>55</v>
      </c>
      <c r="AI140" s="106">
        <f t="shared" si="126"/>
        <v>20</v>
      </c>
      <c r="AJ140" s="105">
        <f t="shared" si="127"/>
        <v>90.111999999999995</v>
      </c>
      <c r="AK140" s="272">
        <f t="shared" si="128"/>
        <v>0.90111999999999992</v>
      </c>
      <c r="AL140" s="278">
        <f t="shared" si="129"/>
        <v>0.45055999999999996</v>
      </c>
      <c r="AM140" s="109">
        <v>800</v>
      </c>
      <c r="AN140" s="104">
        <v>34</v>
      </c>
      <c r="AO140" s="110">
        <v>48</v>
      </c>
      <c r="AP140" s="110">
        <v>28</v>
      </c>
      <c r="AQ140" s="282">
        <f t="shared" si="130"/>
        <v>47.944444444444443</v>
      </c>
      <c r="AR140" s="288">
        <f t="shared" si="110"/>
        <v>1284.8125466666665</v>
      </c>
      <c r="AS140" s="93"/>
      <c r="AT140" s="4"/>
    </row>
    <row r="141" spans="1:46">
      <c r="A141" s="72">
        <f t="shared" si="111"/>
        <v>24</v>
      </c>
      <c r="B141" s="15">
        <v>2.4500000000000002</v>
      </c>
      <c r="C141" s="66">
        <f t="shared" si="112"/>
        <v>58.800000000000004</v>
      </c>
      <c r="D141" s="68">
        <v>100</v>
      </c>
      <c r="E141" s="66">
        <f t="shared" si="113"/>
        <v>208</v>
      </c>
      <c r="F141" s="45">
        <f t="shared" si="114"/>
        <v>26.369363256256946</v>
      </c>
      <c r="G141" s="94">
        <f t="shared" si="115"/>
        <v>12</v>
      </c>
      <c r="H141" s="295">
        <f t="shared" si="101"/>
        <v>31.186368000000005</v>
      </c>
      <c r="I141" s="25">
        <f t="shared" si="102"/>
        <v>54.016373879540197</v>
      </c>
      <c r="J141" s="52">
        <f t="shared" si="116"/>
        <v>20</v>
      </c>
      <c r="K141" s="25">
        <f t="shared" si="103"/>
        <v>99.6</v>
      </c>
      <c r="L141" s="427">
        <f t="shared" si="104"/>
        <v>9.5</v>
      </c>
      <c r="M141" s="64">
        <f t="shared" si="105"/>
        <v>30</v>
      </c>
      <c r="N141" s="838">
        <f t="shared" si="106"/>
        <v>34.280172233134032</v>
      </c>
      <c r="O141" s="68">
        <f>LOOKUP(N141,'Circuit Breakers'!$B$5:$B$38,'Circuit Breakers'!$C$5:$C$38)</f>
        <v>40</v>
      </c>
      <c r="P141" s="199">
        <f t="shared" si="107"/>
        <v>30</v>
      </c>
      <c r="Q141" s="1056">
        <f t="shared" si="117"/>
        <v>129.47999999999999</v>
      </c>
      <c r="R141" s="1064">
        <f>LOOKUP(Q141,'Circuit Breakers'!$B$5:$B$38,'Circuit Breakers'!$C$5:$C$38)</f>
        <v>150</v>
      </c>
      <c r="S141" s="64">
        <f t="shared" si="108"/>
        <v>30</v>
      </c>
      <c r="T141" s="25">
        <f t="shared" si="118"/>
        <v>130</v>
      </c>
      <c r="U141" s="158">
        <f>LOOKUP(T141,'Circuit Breakers'!$B$5:$B$38,'Circuit Breakers'!$C$5:$C$38)</f>
        <v>150</v>
      </c>
      <c r="V141" s="64">
        <f t="shared" si="119"/>
        <v>15</v>
      </c>
      <c r="W141" s="25">
        <f t="shared" si="120"/>
        <v>30.324767744695485</v>
      </c>
      <c r="X141" s="68" t="str">
        <f>LOOKUP(W141,'Wire-Cables Ampacities'!$B$5:$B$35,'Wire-Cables Ampacities'!$C$5:$C$35)</f>
        <v>#10</v>
      </c>
      <c r="Y141" s="64">
        <f t="shared" si="121"/>
        <v>10</v>
      </c>
      <c r="Z141" s="25">
        <f t="shared" si="122"/>
        <v>109.56</v>
      </c>
      <c r="AA141" s="68" t="str">
        <f>LOOKUP(Z141,'Wire-Cables Ampacities'!$B$5:$B$35,'Wire-Cables Ampacities'!$C$5:$C$35)</f>
        <v>#3</v>
      </c>
      <c r="AB141" s="64">
        <f t="shared" si="123"/>
        <v>10</v>
      </c>
      <c r="AC141" s="25">
        <f t="shared" si="124"/>
        <v>110.00000000000001</v>
      </c>
      <c r="AD141" s="68" t="str">
        <f>LOOKUP(AC141,'Wire-Cables Ampacities'!$B$5:$B$35,'Wire-Cables Ampacities'!$C$5:$C$35)</f>
        <v>#3</v>
      </c>
      <c r="AE141" s="81">
        <f t="shared" si="125"/>
        <v>0.86499999999999999</v>
      </c>
      <c r="AF141" s="56">
        <f t="shared" si="109"/>
        <v>2951.5028299999999</v>
      </c>
      <c r="AG141" s="72">
        <f t="shared" si="126"/>
        <v>40</v>
      </c>
      <c r="AH141" s="15">
        <f t="shared" si="126"/>
        <v>55</v>
      </c>
      <c r="AI141" s="64">
        <f t="shared" si="126"/>
        <v>20</v>
      </c>
      <c r="AJ141" s="56">
        <f t="shared" si="127"/>
        <v>121.792</v>
      </c>
      <c r="AK141" s="271">
        <f t="shared" si="128"/>
        <v>1.2179200000000001</v>
      </c>
      <c r="AL141" s="277">
        <f t="shared" si="129"/>
        <v>0.60896000000000006</v>
      </c>
      <c r="AM141" s="58">
        <v>800</v>
      </c>
      <c r="AN141" s="25">
        <v>34</v>
      </c>
      <c r="AO141" s="3">
        <v>48</v>
      </c>
      <c r="AP141" s="3">
        <v>28</v>
      </c>
      <c r="AQ141" s="281">
        <f t="shared" si="130"/>
        <v>47.944444444444443</v>
      </c>
      <c r="AR141" s="287">
        <f t="shared" si="110"/>
        <v>2052.5444966666664</v>
      </c>
      <c r="AS141" s="93"/>
      <c r="AT141" s="4"/>
    </row>
    <row r="142" spans="1:46">
      <c r="A142" s="72">
        <f t="shared" si="111"/>
        <v>24</v>
      </c>
      <c r="B142" s="15">
        <v>2.4500000000000002</v>
      </c>
      <c r="C142" s="66">
        <f t="shared" si="112"/>
        <v>58.800000000000004</v>
      </c>
      <c r="D142" s="68">
        <v>125</v>
      </c>
      <c r="E142" s="66">
        <f t="shared" si="113"/>
        <v>208</v>
      </c>
      <c r="F142" s="45">
        <f t="shared" si="114"/>
        <v>33.308669376324566</v>
      </c>
      <c r="G142" s="94">
        <f t="shared" si="115"/>
        <v>12</v>
      </c>
      <c r="H142" s="295">
        <f t="shared" si="101"/>
        <v>31.186368000000005</v>
      </c>
      <c r="I142" s="25">
        <f t="shared" si="102"/>
        <v>54.016373879540197</v>
      </c>
      <c r="J142" s="52">
        <f t="shared" si="116"/>
        <v>20</v>
      </c>
      <c r="K142" s="25">
        <f t="shared" si="103"/>
        <v>124.5</v>
      </c>
      <c r="L142" s="157">
        <f t="shared" si="104"/>
        <v>12</v>
      </c>
      <c r="M142" s="64">
        <f t="shared" si="105"/>
        <v>30</v>
      </c>
      <c r="N142" s="838">
        <f t="shared" si="106"/>
        <v>43.301270189221938</v>
      </c>
      <c r="O142" s="68">
        <f>LOOKUP(N142,'Circuit Breakers'!$B$5:$B$38,'Circuit Breakers'!$C$5:$C$38)</f>
        <v>50</v>
      </c>
      <c r="P142" s="199">
        <f t="shared" si="107"/>
        <v>30</v>
      </c>
      <c r="Q142" s="1056">
        <f t="shared" si="117"/>
        <v>161.85</v>
      </c>
      <c r="R142" s="1064">
        <f>LOOKUP(Q142,'Circuit Breakers'!$B$5:$B$38,'Circuit Breakers'!$C$5:$C$38)</f>
        <v>175</v>
      </c>
      <c r="S142" s="64">
        <f t="shared" si="108"/>
        <v>30</v>
      </c>
      <c r="T142" s="25">
        <f t="shared" si="118"/>
        <v>162.5</v>
      </c>
      <c r="U142" s="158">
        <f>LOOKUP(T142,'Circuit Breakers'!$B$5:$B$38,'Circuit Breakers'!$C$5:$C$38)</f>
        <v>175</v>
      </c>
      <c r="V142" s="64">
        <f t="shared" si="119"/>
        <v>15</v>
      </c>
      <c r="W142" s="25">
        <f t="shared" si="120"/>
        <v>38.304969782773249</v>
      </c>
      <c r="X142" s="68" t="str">
        <f>LOOKUP(W142,'Wire-Cables Ampacities'!$B$5:$B$35,'Wire-Cables Ampacities'!$C$5:$C$35)</f>
        <v>#10</v>
      </c>
      <c r="Y142" s="64">
        <f t="shared" si="121"/>
        <v>10</v>
      </c>
      <c r="Z142" s="25">
        <f t="shared" si="122"/>
        <v>136.95000000000002</v>
      </c>
      <c r="AA142" s="68" t="str">
        <f>LOOKUP(Z142,'Wire-Cables Ampacities'!$B$5:$B$35,'Wire-Cables Ampacities'!$C$5:$C$35)</f>
        <v>#2</v>
      </c>
      <c r="AB142" s="64">
        <f t="shared" si="123"/>
        <v>10</v>
      </c>
      <c r="AC142" s="25">
        <f t="shared" si="124"/>
        <v>137.5</v>
      </c>
      <c r="AD142" s="68" t="str">
        <f>LOOKUP(AC142,'Wire-Cables Ampacities'!$B$5:$B$35,'Wire-Cables Ampacities'!$C$5:$C$35)</f>
        <v>#2</v>
      </c>
      <c r="AE142" s="81">
        <f t="shared" si="125"/>
        <v>1.0900000000000001</v>
      </c>
      <c r="AF142" s="56">
        <f t="shared" si="109"/>
        <v>3719.2347799999998</v>
      </c>
      <c r="AG142" s="72">
        <f t="shared" si="126"/>
        <v>40</v>
      </c>
      <c r="AH142" s="15">
        <f t="shared" si="126"/>
        <v>55</v>
      </c>
      <c r="AI142" s="64">
        <f t="shared" si="126"/>
        <v>20</v>
      </c>
      <c r="AJ142" s="56">
        <f t="shared" si="127"/>
        <v>153.47200000000001</v>
      </c>
      <c r="AK142" s="271">
        <f t="shared" si="128"/>
        <v>1.5347200000000001</v>
      </c>
      <c r="AL142" s="277">
        <f t="shared" si="129"/>
        <v>0.76736000000000004</v>
      </c>
      <c r="AM142" s="58">
        <v>800</v>
      </c>
      <c r="AN142" s="25">
        <v>34</v>
      </c>
      <c r="AO142" s="3">
        <v>48</v>
      </c>
      <c r="AP142" s="3">
        <v>28</v>
      </c>
      <c r="AQ142" s="281">
        <f t="shared" si="130"/>
        <v>47.944444444444443</v>
      </c>
      <c r="AR142" s="287">
        <f t="shared" si="110"/>
        <v>2820.2764466666663</v>
      </c>
      <c r="AS142" s="93"/>
      <c r="AT142" s="4"/>
    </row>
    <row r="143" spans="1:46">
      <c r="A143" s="98">
        <f t="shared" si="111"/>
        <v>24</v>
      </c>
      <c r="B143" s="99">
        <v>2.4500000000000002</v>
      </c>
      <c r="C143" s="100">
        <f t="shared" si="112"/>
        <v>58.800000000000004</v>
      </c>
      <c r="D143" s="101">
        <v>150</v>
      </c>
      <c r="E143" s="100">
        <f t="shared" si="113"/>
        <v>208</v>
      </c>
      <c r="F143" s="102">
        <f t="shared" si="114"/>
        <v>38.860114272378659</v>
      </c>
      <c r="G143" s="103">
        <f t="shared" si="115"/>
        <v>12</v>
      </c>
      <c r="H143" s="296">
        <f t="shared" si="101"/>
        <v>31.186368000000005</v>
      </c>
      <c r="I143" s="104">
        <f t="shared" si="102"/>
        <v>54.016373879540197</v>
      </c>
      <c r="J143" s="180">
        <f t="shared" si="116"/>
        <v>20</v>
      </c>
      <c r="K143" s="104">
        <f t="shared" si="103"/>
        <v>149.4</v>
      </c>
      <c r="L143" s="263">
        <f t="shared" si="104"/>
        <v>14</v>
      </c>
      <c r="M143" s="106">
        <f t="shared" si="105"/>
        <v>30</v>
      </c>
      <c r="N143" s="1060">
        <f t="shared" si="106"/>
        <v>50.518148554092257</v>
      </c>
      <c r="O143" s="101">
        <f>LOOKUP(N143,'Circuit Breakers'!$B$5:$B$38,'Circuit Breakers'!$C$5:$C$38)</f>
        <v>60</v>
      </c>
      <c r="P143" s="262">
        <f t="shared" si="107"/>
        <v>30</v>
      </c>
      <c r="Q143" s="1057">
        <f t="shared" si="117"/>
        <v>194.22000000000003</v>
      </c>
      <c r="R143" s="1065">
        <f>LOOKUP(Q143,'Circuit Breakers'!$B$5:$B$38,'Circuit Breakers'!$C$5:$C$38)</f>
        <v>200</v>
      </c>
      <c r="S143" s="106">
        <f t="shared" si="108"/>
        <v>30</v>
      </c>
      <c r="T143" s="104">
        <f t="shared" si="118"/>
        <v>195</v>
      </c>
      <c r="U143" s="477">
        <f>LOOKUP(T143,'Circuit Breakers'!$B$5:$B$38,'Circuit Breakers'!$C$5:$C$38)</f>
        <v>200</v>
      </c>
      <c r="V143" s="106">
        <f t="shared" si="119"/>
        <v>15</v>
      </c>
      <c r="W143" s="104">
        <f t="shared" si="120"/>
        <v>44.689131413235458</v>
      </c>
      <c r="X143" s="101" t="str">
        <f>LOOKUP(W143,'Wire-Cables Ampacities'!$B$5:$B$35,'Wire-Cables Ampacities'!$C$5:$C$35)</f>
        <v>#8</v>
      </c>
      <c r="Y143" s="106">
        <f t="shared" si="121"/>
        <v>10</v>
      </c>
      <c r="Z143" s="104">
        <f t="shared" si="122"/>
        <v>164.34000000000003</v>
      </c>
      <c r="AA143" s="101" t="str">
        <f>LOOKUP(Z143,'Wire-Cables Ampacities'!$B$5:$B$35,'Wire-Cables Ampacities'!$C$5:$C$35)</f>
        <v>#1</v>
      </c>
      <c r="AB143" s="106">
        <f t="shared" si="123"/>
        <v>10</v>
      </c>
      <c r="AC143" s="104">
        <f t="shared" si="124"/>
        <v>165</v>
      </c>
      <c r="AD143" s="101" t="str">
        <f>LOOKUP(AC143,'Wire-Cables Ampacities'!$B$5:$B$35,'Wire-Cables Ampacities'!$C$5:$C$35)</f>
        <v>#1</v>
      </c>
      <c r="AE143" s="107">
        <f t="shared" si="125"/>
        <v>1.28</v>
      </c>
      <c r="AF143" s="105">
        <f t="shared" si="109"/>
        <v>4367.5417600000001</v>
      </c>
      <c r="AG143" s="98">
        <f t="shared" si="126"/>
        <v>40</v>
      </c>
      <c r="AH143" s="99">
        <f t="shared" si="126"/>
        <v>55</v>
      </c>
      <c r="AI143" s="106">
        <f t="shared" si="126"/>
        <v>20</v>
      </c>
      <c r="AJ143" s="105">
        <f t="shared" si="127"/>
        <v>180.22399999999999</v>
      </c>
      <c r="AK143" s="272">
        <f t="shared" si="128"/>
        <v>1.8022399999999998</v>
      </c>
      <c r="AL143" s="278">
        <f t="shared" si="129"/>
        <v>0.90111999999999992</v>
      </c>
      <c r="AM143" s="109">
        <v>800</v>
      </c>
      <c r="AN143" s="104">
        <v>34</v>
      </c>
      <c r="AO143" s="110">
        <v>48</v>
      </c>
      <c r="AP143" s="110">
        <v>28</v>
      </c>
      <c r="AQ143" s="282">
        <f t="shared" si="130"/>
        <v>47.944444444444443</v>
      </c>
      <c r="AR143" s="288">
        <f t="shared" si="110"/>
        <v>3468.5834266666666</v>
      </c>
      <c r="AS143" s="93"/>
      <c r="AT143" s="4"/>
    </row>
    <row r="144" spans="1:46">
      <c r="A144" s="72">
        <f t="shared" si="111"/>
        <v>24</v>
      </c>
      <c r="B144" s="15">
        <v>2.4500000000000002</v>
      </c>
      <c r="C144" s="66">
        <f t="shared" si="112"/>
        <v>58.800000000000004</v>
      </c>
      <c r="D144" s="68">
        <v>175</v>
      </c>
      <c r="E144" s="66">
        <f t="shared" si="113"/>
        <v>240</v>
      </c>
      <c r="F144" s="45">
        <f t="shared" si="114"/>
        <v>39.692831006786776</v>
      </c>
      <c r="G144" s="94">
        <f t="shared" si="115"/>
        <v>12</v>
      </c>
      <c r="H144" s="295">
        <f t="shared" si="101"/>
        <v>31.186368000000005</v>
      </c>
      <c r="I144" s="25">
        <f t="shared" si="102"/>
        <v>54.016373879540197</v>
      </c>
      <c r="J144" s="52">
        <f t="shared" si="116"/>
        <v>20</v>
      </c>
      <c r="K144" s="25">
        <f t="shared" si="103"/>
        <v>174.29999999999998</v>
      </c>
      <c r="L144" s="157">
        <f t="shared" si="104"/>
        <v>16.5</v>
      </c>
      <c r="M144" s="64">
        <f t="shared" si="105"/>
        <v>30</v>
      </c>
      <c r="N144" s="838">
        <f t="shared" si="106"/>
        <v>51.60068030882281</v>
      </c>
      <c r="O144" s="68">
        <f>LOOKUP(N144,'Circuit Breakers'!$B$5:$B$38,'Circuit Breakers'!$C$5:$C$38)</f>
        <v>60</v>
      </c>
      <c r="P144" s="199">
        <f t="shared" si="107"/>
        <v>30</v>
      </c>
      <c r="Q144" s="1056">
        <f t="shared" si="117"/>
        <v>226.58999999999997</v>
      </c>
      <c r="R144" s="1064">
        <f>LOOKUP(Q144,'Circuit Breakers'!$B$5:$B$38,'Circuit Breakers'!$C$5:$C$38)</f>
        <v>250</v>
      </c>
      <c r="S144" s="64">
        <f t="shared" si="108"/>
        <v>30</v>
      </c>
      <c r="T144" s="25">
        <f t="shared" si="118"/>
        <v>227.5</v>
      </c>
      <c r="U144" s="158">
        <f>LOOKUP(T144,'Circuit Breakers'!$B$5:$B$38,'Circuit Breakers'!$C$5:$C$38)</f>
        <v>250</v>
      </c>
      <c r="V144" s="64">
        <f t="shared" si="119"/>
        <v>15</v>
      </c>
      <c r="W144" s="25">
        <f t="shared" si="120"/>
        <v>45.646755657804789</v>
      </c>
      <c r="X144" s="68" t="str">
        <f>LOOKUP(W144,'Wire-Cables Ampacities'!$B$5:$B$35,'Wire-Cables Ampacities'!$C$5:$C$35)</f>
        <v>#8</v>
      </c>
      <c r="Y144" s="64">
        <f t="shared" si="121"/>
        <v>10</v>
      </c>
      <c r="Z144" s="25">
        <f t="shared" si="122"/>
        <v>191.73</v>
      </c>
      <c r="AA144" s="68" t="str">
        <f>LOOKUP(Z144,'Wire-Cables Ampacities'!$B$5:$B$35,'Wire-Cables Ampacities'!$C$5:$C$35)</f>
        <v>#1/0</v>
      </c>
      <c r="AB144" s="64">
        <f t="shared" si="123"/>
        <v>10</v>
      </c>
      <c r="AC144" s="25">
        <f t="shared" si="124"/>
        <v>192.50000000000003</v>
      </c>
      <c r="AD144" s="68" t="str">
        <f>LOOKUP(AC144,'Wire-Cables Ampacities'!$B$5:$B$35,'Wire-Cables Ampacities'!$C$5:$C$35)</f>
        <v>#1/0</v>
      </c>
      <c r="AE144" s="81">
        <f t="shared" si="125"/>
        <v>1.5049999999999999</v>
      </c>
      <c r="AF144" s="56">
        <f t="shared" si="109"/>
        <v>5135.2737099999986</v>
      </c>
      <c r="AG144" s="72">
        <f t="shared" si="126"/>
        <v>40</v>
      </c>
      <c r="AH144" s="15">
        <f t="shared" si="126"/>
        <v>55</v>
      </c>
      <c r="AI144" s="64">
        <f t="shared" si="126"/>
        <v>20</v>
      </c>
      <c r="AJ144" s="56">
        <f t="shared" si="127"/>
        <v>211.90399999999997</v>
      </c>
      <c r="AK144" s="271">
        <f t="shared" si="128"/>
        <v>2.1190399999999996</v>
      </c>
      <c r="AL144" s="277">
        <f t="shared" si="129"/>
        <v>1.0595199999999998</v>
      </c>
      <c r="AM144" s="58">
        <v>1200</v>
      </c>
      <c r="AN144" s="25">
        <v>38</v>
      </c>
      <c r="AO144" s="3">
        <v>70</v>
      </c>
      <c r="AP144" s="3">
        <v>28</v>
      </c>
      <c r="AQ144" s="281">
        <f t="shared" si="130"/>
        <v>71.555555555555557</v>
      </c>
      <c r="AR144" s="287">
        <f t="shared" si="110"/>
        <v>3793.6070433333316</v>
      </c>
      <c r="AS144" s="93"/>
      <c r="AT144" s="4"/>
    </row>
    <row r="145" spans="1:46">
      <c r="A145" s="72">
        <f t="shared" si="111"/>
        <v>24</v>
      </c>
      <c r="B145" s="15">
        <v>2.4500000000000002</v>
      </c>
      <c r="C145" s="66">
        <f t="shared" si="112"/>
        <v>58.800000000000004</v>
      </c>
      <c r="D145" s="68">
        <v>200</v>
      </c>
      <c r="E145" s="66">
        <f t="shared" si="113"/>
        <v>480</v>
      </c>
      <c r="F145" s="45">
        <f t="shared" si="114"/>
        <v>22.85344815542269</v>
      </c>
      <c r="G145" s="94">
        <f t="shared" si="115"/>
        <v>12</v>
      </c>
      <c r="H145" s="295">
        <f t="shared" si="101"/>
        <v>31.186368000000005</v>
      </c>
      <c r="I145" s="25">
        <f t="shared" si="102"/>
        <v>54.016373879540197</v>
      </c>
      <c r="J145" s="52">
        <f t="shared" si="116"/>
        <v>20</v>
      </c>
      <c r="K145" s="25">
        <f t="shared" si="103"/>
        <v>199.2</v>
      </c>
      <c r="L145" s="157">
        <f t="shared" si="104"/>
        <v>19</v>
      </c>
      <c r="M145" s="64">
        <f t="shared" si="105"/>
        <v>30</v>
      </c>
      <c r="N145" s="838">
        <f t="shared" si="106"/>
        <v>29.709482602049498</v>
      </c>
      <c r="O145" s="68">
        <f>LOOKUP(N145,'Circuit Breakers'!$B$5:$B$38,'Circuit Breakers'!$C$5:$C$38)</f>
        <v>30</v>
      </c>
      <c r="P145" s="199">
        <f t="shared" si="107"/>
        <v>30</v>
      </c>
      <c r="Q145" s="1056">
        <f t="shared" si="117"/>
        <v>258.95999999999998</v>
      </c>
      <c r="R145" s="1064">
        <f>LOOKUP(Q145,'Circuit Breakers'!$B$5:$B$38,'Circuit Breakers'!$C$5:$C$38)</f>
        <v>300</v>
      </c>
      <c r="S145" s="64">
        <f t="shared" si="108"/>
        <v>30</v>
      </c>
      <c r="T145" s="25">
        <f t="shared" si="118"/>
        <v>260</v>
      </c>
      <c r="U145" s="158">
        <f>LOOKUP(T145,'Circuit Breakers'!$B$5:$B$38,'Circuit Breakers'!$C$5:$C$38)</f>
        <v>300</v>
      </c>
      <c r="V145" s="64">
        <f t="shared" si="119"/>
        <v>15</v>
      </c>
      <c r="W145" s="25">
        <f t="shared" si="120"/>
        <v>26.28146537873609</v>
      </c>
      <c r="X145" s="68" t="str">
        <f>LOOKUP(W145,'Wire-Cables Ampacities'!$B$5:$B$35,'Wire-Cables Ampacities'!$C$5:$C$35)</f>
        <v>#10</v>
      </c>
      <c r="Y145" s="64">
        <f t="shared" si="121"/>
        <v>10</v>
      </c>
      <c r="Z145" s="25">
        <f t="shared" si="122"/>
        <v>219.12</v>
      </c>
      <c r="AA145" s="68" t="str">
        <f>LOOKUP(Z145,'Wire-Cables Ampacities'!$B$5:$B$35,'Wire-Cables Ampacities'!$C$5:$C$35)</f>
        <v>#2/0</v>
      </c>
      <c r="AB145" s="64">
        <f t="shared" si="123"/>
        <v>10</v>
      </c>
      <c r="AC145" s="25">
        <f t="shared" si="124"/>
        <v>220.00000000000003</v>
      </c>
      <c r="AD145" s="68" t="str">
        <f>LOOKUP(AC145,'Wire-Cables Ampacities'!$B$5:$B$35,'Wire-Cables Ampacities'!$C$5:$C$35)</f>
        <v>#2/0</v>
      </c>
      <c r="AE145" s="81">
        <f t="shared" si="125"/>
        <v>1.73</v>
      </c>
      <c r="AF145" s="56">
        <f t="shared" si="109"/>
        <v>5903.0056599999998</v>
      </c>
      <c r="AG145" s="72">
        <f t="shared" si="126"/>
        <v>40</v>
      </c>
      <c r="AH145" s="15">
        <f t="shared" si="126"/>
        <v>55</v>
      </c>
      <c r="AI145" s="64">
        <f t="shared" si="126"/>
        <v>20</v>
      </c>
      <c r="AJ145" s="56">
        <f t="shared" si="127"/>
        <v>243.584</v>
      </c>
      <c r="AK145" s="271">
        <f t="shared" si="128"/>
        <v>2.4358400000000002</v>
      </c>
      <c r="AL145" s="277">
        <f t="shared" si="129"/>
        <v>1.2179200000000001</v>
      </c>
      <c r="AM145" s="58">
        <v>1200</v>
      </c>
      <c r="AN145" s="25">
        <v>38</v>
      </c>
      <c r="AO145" s="3">
        <v>70</v>
      </c>
      <c r="AP145" s="3">
        <v>28</v>
      </c>
      <c r="AQ145" s="281">
        <f t="shared" si="130"/>
        <v>71.555555555555557</v>
      </c>
      <c r="AR145" s="287">
        <f t="shared" si="110"/>
        <v>4561.3389933333328</v>
      </c>
      <c r="AS145" s="93"/>
      <c r="AT145" s="4"/>
    </row>
    <row r="146" spans="1:46">
      <c r="A146" s="98">
        <f t="shared" si="111"/>
        <v>24</v>
      </c>
      <c r="B146" s="99">
        <v>2.4500000000000002</v>
      </c>
      <c r="C146" s="100">
        <f t="shared" si="112"/>
        <v>58.800000000000004</v>
      </c>
      <c r="D146" s="101">
        <v>250</v>
      </c>
      <c r="E146" s="100">
        <f t="shared" si="113"/>
        <v>480</v>
      </c>
      <c r="F146" s="102">
        <f t="shared" si="114"/>
        <v>28.867513459481291</v>
      </c>
      <c r="G146" s="103">
        <f t="shared" si="115"/>
        <v>12</v>
      </c>
      <c r="H146" s="296">
        <f t="shared" si="101"/>
        <v>31.186368000000005</v>
      </c>
      <c r="I146" s="104">
        <f t="shared" si="102"/>
        <v>54.016373879540197</v>
      </c>
      <c r="J146" s="180">
        <f t="shared" si="116"/>
        <v>20</v>
      </c>
      <c r="K146" s="104">
        <f t="shared" si="103"/>
        <v>249</v>
      </c>
      <c r="L146" s="263">
        <f t="shared" si="104"/>
        <v>24</v>
      </c>
      <c r="M146" s="106">
        <f t="shared" si="105"/>
        <v>30</v>
      </c>
      <c r="N146" s="1060">
        <f t="shared" si="106"/>
        <v>37.527767497325677</v>
      </c>
      <c r="O146" s="101">
        <f>LOOKUP(N146,'Circuit Breakers'!$B$5:$B$38,'Circuit Breakers'!$C$5:$C$38)</f>
        <v>40</v>
      </c>
      <c r="P146" s="262">
        <f t="shared" si="107"/>
        <v>30</v>
      </c>
      <c r="Q146" s="1057">
        <f t="shared" si="117"/>
        <v>323.7</v>
      </c>
      <c r="R146" s="1065">
        <f>LOOKUP(Q146,'Circuit Breakers'!$B$5:$B$38,'Circuit Breakers'!$C$5:$C$38)</f>
        <v>350</v>
      </c>
      <c r="S146" s="106">
        <f t="shared" si="108"/>
        <v>30</v>
      </c>
      <c r="T146" s="104">
        <f t="shared" si="118"/>
        <v>325</v>
      </c>
      <c r="U146" s="477">
        <f>LOOKUP(T146,'Circuit Breakers'!$B$5:$B$38,'Circuit Breakers'!$C$5:$C$38)</f>
        <v>350</v>
      </c>
      <c r="V146" s="106">
        <f t="shared" si="119"/>
        <v>15</v>
      </c>
      <c r="W146" s="104">
        <f t="shared" si="120"/>
        <v>33.197640478403486</v>
      </c>
      <c r="X146" s="101" t="str">
        <f>LOOKUP(W146,'Wire-Cables Ampacities'!$B$5:$B$35,'Wire-Cables Ampacities'!$C$5:$C$35)</f>
        <v>#10</v>
      </c>
      <c r="Y146" s="106">
        <f t="shared" si="121"/>
        <v>10</v>
      </c>
      <c r="Z146" s="104">
        <f t="shared" si="122"/>
        <v>273.90000000000003</v>
      </c>
      <c r="AA146" s="101" t="str">
        <f>LOOKUP(Z146,'Wire-Cables Ampacities'!$B$5:$B$35,'Wire-Cables Ampacities'!$C$5:$C$35)</f>
        <v>#4/0</v>
      </c>
      <c r="AB146" s="106">
        <f t="shared" si="123"/>
        <v>10</v>
      </c>
      <c r="AC146" s="104">
        <f t="shared" si="124"/>
        <v>275</v>
      </c>
      <c r="AD146" s="101" t="str">
        <f>LOOKUP(AC146,'Wire-Cables Ampacities'!$B$5:$B$35,'Wire-Cables Ampacities'!$C$5:$C$35)</f>
        <v>#4/0</v>
      </c>
      <c r="AE146" s="107">
        <f t="shared" si="125"/>
        <v>2.1800000000000002</v>
      </c>
      <c r="AF146" s="105">
        <f t="shared" si="109"/>
        <v>7438.4695599999995</v>
      </c>
      <c r="AG146" s="98">
        <f t="shared" si="126"/>
        <v>40</v>
      </c>
      <c r="AH146" s="99">
        <f t="shared" si="126"/>
        <v>55</v>
      </c>
      <c r="AI146" s="106">
        <f t="shared" si="126"/>
        <v>20</v>
      </c>
      <c r="AJ146" s="105">
        <f t="shared" si="127"/>
        <v>306.94400000000002</v>
      </c>
      <c r="AK146" s="272">
        <f t="shared" si="128"/>
        <v>3.0694400000000002</v>
      </c>
      <c r="AL146" s="278">
        <f t="shared" si="129"/>
        <v>1.5347200000000001</v>
      </c>
      <c r="AM146" s="109">
        <v>1200</v>
      </c>
      <c r="AN146" s="104">
        <v>38</v>
      </c>
      <c r="AO146" s="110">
        <v>70</v>
      </c>
      <c r="AP146" s="110">
        <v>28</v>
      </c>
      <c r="AQ146" s="282">
        <f t="shared" si="130"/>
        <v>71.555555555555557</v>
      </c>
      <c r="AR146" s="288">
        <f t="shared" si="110"/>
        <v>6096.8028933333326</v>
      </c>
      <c r="AS146" s="93"/>
      <c r="AT146" s="4"/>
    </row>
    <row r="147" spans="1:46">
      <c r="A147" s="72">
        <f t="shared" si="111"/>
        <v>24</v>
      </c>
      <c r="B147" s="15">
        <v>2.4500000000000002</v>
      </c>
      <c r="C147" s="66">
        <f t="shared" si="112"/>
        <v>58.800000000000004</v>
      </c>
      <c r="D147" s="68">
        <v>300</v>
      </c>
      <c r="E147" s="66">
        <f t="shared" si="113"/>
        <v>480</v>
      </c>
      <c r="F147" s="45">
        <f t="shared" si="114"/>
        <v>33.678765702728171</v>
      </c>
      <c r="G147" s="94">
        <f t="shared" si="115"/>
        <v>12</v>
      </c>
      <c r="H147" s="295">
        <f t="shared" si="101"/>
        <v>31.186368000000005</v>
      </c>
      <c r="I147" s="25">
        <f t="shared" si="102"/>
        <v>54.016373879540197</v>
      </c>
      <c r="J147" s="52">
        <f t="shared" si="116"/>
        <v>20</v>
      </c>
      <c r="K147" s="25">
        <f t="shared" si="103"/>
        <v>298.8</v>
      </c>
      <c r="L147" s="157">
        <f t="shared" si="104"/>
        <v>28</v>
      </c>
      <c r="M147" s="64">
        <f t="shared" si="105"/>
        <v>30</v>
      </c>
      <c r="N147" s="838">
        <f t="shared" si="106"/>
        <v>43.782395413546624</v>
      </c>
      <c r="O147" s="68">
        <f>LOOKUP(N147,'Circuit Breakers'!$B$5:$B$38,'Circuit Breakers'!$C$5:$C$38)</f>
        <v>50</v>
      </c>
      <c r="P147" s="199">
        <f t="shared" si="107"/>
        <v>30</v>
      </c>
      <c r="Q147" s="1056">
        <f t="shared" si="117"/>
        <v>388.44000000000005</v>
      </c>
      <c r="R147" s="1064">
        <f>LOOKUP(Q147,'Circuit Breakers'!$B$5:$B$38,'Circuit Breakers'!$C$5:$C$38)</f>
        <v>400</v>
      </c>
      <c r="S147" s="64">
        <f t="shared" si="108"/>
        <v>30</v>
      </c>
      <c r="T147" s="25">
        <f t="shared" si="118"/>
        <v>390</v>
      </c>
      <c r="U147" s="158">
        <f>LOOKUP(T147,'Circuit Breakers'!$B$5:$B$38,'Circuit Breakers'!$C$5:$C$38)</f>
        <v>400</v>
      </c>
      <c r="V147" s="64">
        <f t="shared" si="119"/>
        <v>15</v>
      </c>
      <c r="W147" s="25">
        <f t="shared" si="120"/>
        <v>38.73058055813739</v>
      </c>
      <c r="X147" s="68" t="str">
        <f>LOOKUP(W147,'Wire-Cables Ampacities'!$B$5:$B$35,'Wire-Cables Ampacities'!$C$5:$C$35)</f>
        <v>#10</v>
      </c>
      <c r="Y147" s="64">
        <f t="shared" si="121"/>
        <v>10</v>
      </c>
      <c r="Z147" s="25">
        <f t="shared" si="122"/>
        <v>328.68000000000006</v>
      </c>
      <c r="AA147" s="68" t="str">
        <f>LOOKUP(Z147,'Wire-Cables Ampacities'!$B$5:$B$35,'Wire-Cables Ampacities'!$C$5:$C$35)</f>
        <v>250MCM</v>
      </c>
      <c r="AB147" s="64">
        <f t="shared" si="123"/>
        <v>10</v>
      </c>
      <c r="AC147" s="25">
        <f t="shared" si="124"/>
        <v>330</v>
      </c>
      <c r="AD147" s="68" t="str">
        <f>LOOKUP(AC147,'Wire-Cables Ampacities'!$B$5:$B$35,'Wire-Cables Ampacities'!$C$5:$C$35)</f>
        <v>250MCM</v>
      </c>
      <c r="AE147" s="81">
        <f t="shared" si="125"/>
        <v>2.56</v>
      </c>
      <c r="AF147" s="56">
        <f t="shared" si="109"/>
        <v>8735.0835200000001</v>
      </c>
      <c r="AG147" s="72">
        <f t="shared" si="126"/>
        <v>40</v>
      </c>
      <c r="AH147" s="15">
        <f t="shared" si="126"/>
        <v>55</v>
      </c>
      <c r="AI147" s="64">
        <f t="shared" si="126"/>
        <v>20</v>
      </c>
      <c r="AJ147" s="56">
        <f t="shared" si="127"/>
        <v>360.44799999999998</v>
      </c>
      <c r="AK147" s="271">
        <f t="shared" si="128"/>
        <v>3.6044799999999997</v>
      </c>
      <c r="AL147" s="277">
        <f t="shared" si="129"/>
        <v>1.8022399999999998</v>
      </c>
      <c r="AM147" s="58">
        <v>1200</v>
      </c>
      <c r="AN147" s="25">
        <v>38</v>
      </c>
      <c r="AO147" s="3">
        <v>70</v>
      </c>
      <c r="AP147" s="3">
        <v>28</v>
      </c>
      <c r="AQ147" s="281">
        <f t="shared" si="130"/>
        <v>71.555555555555557</v>
      </c>
      <c r="AR147" s="287">
        <f t="shared" ref="AR147:AR158" si="131">AF147+(1.25*AQ147*(AG147-AH147))</f>
        <v>7393.4168533333332</v>
      </c>
      <c r="AS147" s="93"/>
      <c r="AT147" s="4"/>
    </row>
    <row r="148" spans="1:46">
      <c r="A148" s="72">
        <f t="shared" si="111"/>
        <v>24</v>
      </c>
      <c r="B148" s="15">
        <v>2.4500000000000002</v>
      </c>
      <c r="C148" s="66">
        <f t="shared" si="112"/>
        <v>58.800000000000004</v>
      </c>
      <c r="D148" s="68">
        <v>350</v>
      </c>
      <c r="E148" s="66">
        <f t="shared" si="113"/>
        <v>480</v>
      </c>
      <c r="F148" s="45">
        <f t="shared" si="114"/>
        <v>39.692831006786776</v>
      </c>
      <c r="G148" s="94">
        <f t="shared" si="115"/>
        <v>12</v>
      </c>
      <c r="H148" s="295">
        <f t="shared" si="101"/>
        <v>31.186368000000005</v>
      </c>
      <c r="I148" s="25">
        <f t="shared" si="102"/>
        <v>54.016373879540197</v>
      </c>
      <c r="J148" s="52">
        <f t="shared" si="116"/>
        <v>20</v>
      </c>
      <c r="K148" s="25">
        <f t="shared" si="103"/>
        <v>348.59999999999997</v>
      </c>
      <c r="L148" s="157">
        <f t="shared" si="104"/>
        <v>33</v>
      </c>
      <c r="M148" s="64">
        <f t="shared" si="105"/>
        <v>30</v>
      </c>
      <c r="N148" s="838">
        <f t="shared" si="106"/>
        <v>51.60068030882281</v>
      </c>
      <c r="O148" s="68">
        <f>LOOKUP(N148,'Circuit Breakers'!$B$5:$B$38,'Circuit Breakers'!$C$5:$C$38)</f>
        <v>60</v>
      </c>
      <c r="P148" s="199">
        <f t="shared" si="107"/>
        <v>30</v>
      </c>
      <c r="Q148" s="1056">
        <f t="shared" si="117"/>
        <v>453.17999999999995</v>
      </c>
      <c r="R148" s="1064">
        <f>LOOKUP(Q148,'Circuit Breakers'!$B$5:$B$38,'Circuit Breakers'!$C$5:$C$38)</f>
        <v>500</v>
      </c>
      <c r="S148" s="64">
        <f t="shared" si="108"/>
        <v>30</v>
      </c>
      <c r="T148" s="25">
        <f t="shared" si="118"/>
        <v>455</v>
      </c>
      <c r="U148" s="158">
        <f>LOOKUP(T148,'Circuit Breakers'!$B$5:$B$38,'Circuit Breakers'!$C$5:$C$38)</f>
        <v>500</v>
      </c>
      <c r="V148" s="64">
        <f t="shared" si="119"/>
        <v>15</v>
      </c>
      <c r="W148" s="25">
        <f t="shared" si="120"/>
        <v>45.646755657804789</v>
      </c>
      <c r="X148" s="68" t="str">
        <f>LOOKUP(W148,'Wire-Cables Ampacities'!$B$5:$B$35,'Wire-Cables Ampacities'!$C$5:$C$35)</f>
        <v>#8</v>
      </c>
      <c r="Y148" s="64">
        <f t="shared" si="121"/>
        <v>10</v>
      </c>
      <c r="Z148" s="25">
        <f t="shared" si="122"/>
        <v>383.46</v>
      </c>
      <c r="AA148" s="68" t="str">
        <f>LOOKUP(Z148,'Wire-Cables Ampacities'!$B$5:$B$35,'Wire-Cables Ampacities'!$C$5:$C$35)</f>
        <v>#2/0 2x</v>
      </c>
      <c r="AB148" s="64">
        <f t="shared" si="123"/>
        <v>10</v>
      </c>
      <c r="AC148" s="25">
        <f t="shared" si="124"/>
        <v>385.00000000000006</v>
      </c>
      <c r="AD148" s="68" t="str">
        <f>LOOKUP(AC148,'Wire-Cables Ampacities'!$B$5:$B$35,'Wire-Cables Ampacities'!$C$5:$C$35)</f>
        <v>#2/0 2x</v>
      </c>
      <c r="AE148" s="81">
        <f t="shared" si="125"/>
        <v>3.01</v>
      </c>
      <c r="AF148" s="56">
        <f t="shared" si="109"/>
        <v>10270.547419999997</v>
      </c>
      <c r="AG148" s="72">
        <f t="shared" si="126"/>
        <v>40</v>
      </c>
      <c r="AH148" s="15">
        <f t="shared" si="126"/>
        <v>55</v>
      </c>
      <c r="AI148" s="64">
        <f t="shared" si="126"/>
        <v>20</v>
      </c>
      <c r="AJ148" s="56">
        <f t="shared" si="127"/>
        <v>423.80799999999994</v>
      </c>
      <c r="AK148" s="271">
        <f t="shared" si="128"/>
        <v>4.2380799999999992</v>
      </c>
      <c r="AL148" s="277">
        <f t="shared" si="129"/>
        <v>2.1190399999999996</v>
      </c>
      <c r="AM148" s="58">
        <v>1200</v>
      </c>
      <c r="AN148" s="25">
        <v>38</v>
      </c>
      <c r="AO148" s="3">
        <v>70</v>
      </c>
      <c r="AP148" s="3">
        <v>28</v>
      </c>
      <c r="AQ148" s="281">
        <f t="shared" si="130"/>
        <v>71.555555555555557</v>
      </c>
      <c r="AR148" s="287">
        <f t="shared" si="131"/>
        <v>8928.8807533333311</v>
      </c>
      <c r="AS148" s="93"/>
      <c r="AT148" s="4"/>
    </row>
    <row r="149" spans="1:46">
      <c r="A149" s="98">
        <f t="shared" si="111"/>
        <v>24</v>
      </c>
      <c r="B149" s="99">
        <v>2.4500000000000002</v>
      </c>
      <c r="C149" s="100">
        <f t="shared" si="112"/>
        <v>58.800000000000004</v>
      </c>
      <c r="D149" s="101">
        <v>400</v>
      </c>
      <c r="E149" s="100">
        <f t="shared" si="113"/>
        <v>480</v>
      </c>
      <c r="F149" s="102">
        <f t="shared" si="114"/>
        <v>45.70689631084538</v>
      </c>
      <c r="G149" s="103">
        <f t="shared" si="115"/>
        <v>12</v>
      </c>
      <c r="H149" s="296">
        <f t="shared" si="101"/>
        <v>31.186368000000005</v>
      </c>
      <c r="I149" s="104">
        <f t="shared" si="102"/>
        <v>54.016373879540197</v>
      </c>
      <c r="J149" s="180">
        <f t="shared" si="116"/>
        <v>20</v>
      </c>
      <c r="K149" s="104">
        <f t="shared" si="103"/>
        <v>398.4</v>
      </c>
      <c r="L149" s="263">
        <f t="shared" si="104"/>
        <v>38</v>
      </c>
      <c r="M149" s="106">
        <f t="shared" si="105"/>
        <v>30</v>
      </c>
      <c r="N149" s="1060">
        <f t="shared" si="106"/>
        <v>59.418965204098996</v>
      </c>
      <c r="O149" s="101">
        <f>LOOKUP(N149,'Circuit Breakers'!$B$5:$B$38,'Circuit Breakers'!$C$5:$C$38)</f>
        <v>60</v>
      </c>
      <c r="P149" s="262">
        <f t="shared" si="107"/>
        <v>30</v>
      </c>
      <c r="Q149" s="1057">
        <f t="shared" si="117"/>
        <v>517.91999999999996</v>
      </c>
      <c r="R149" s="1065">
        <f>LOOKUP(Q149,'Circuit Breakers'!$B$5:$B$38,'Circuit Breakers'!$C$5:$C$38)</f>
        <v>600</v>
      </c>
      <c r="S149" s="106">
        <f t="shared" si="108"/>
        <v>30</v>
      </c>
      <c r="T149" s="104">
        <f t="shared" si="118"/>
        <v>520</v>
      </c>
      <c r="U149" s="477">
        <f>LOOKUP(T149,'Circuit Breakers'!$B$5:$B$38,'Circuit Breakers'!$C$5:$C$38)</f>
        <v>600</v>
      </c>
      <c r="V149" s="106">
        <f t="shared" si="119"/>
        <v>15</v>
      </c>
      <c r="W149" s="104">
        <f t="shared" si="120"/>
        <v>52.562930757472181</v>
      </c>
      <c r="X149" s="101" t="str">
        <f>LOOKUP(W149,'Wire-Cables Ampacities'!$B$5:$B$35,'Wire-Cables Ampacities'!$C$5:$C$35)</f>
        <v>#8</v>
      </c>
      <c r="Y149" s="106">
        <f t="shared" si="121"/>
        <v>10</v>
      </c>
      <c r="Z149" s="104">
        <f t="shared" si="122"/>
        <v>438.24</v>
      </c>
      <c r="AA149" s="101" t="str">
        <f>LOOKUP(Z149,'Wire-Cables Ampacities'!$B$5:$B$35,'Wire-Cables Ampacities'!$C$5:$C$35)</f>
        <v>#3/0 2x</v>
      </c>
      <c r="AB149" s="106">
        <f t="shared" si="123"/>
        <v>10</v>
      </c>
      <c r="AC149" s="104">
        <f t="shared" si="124"/>
        <v>440.00000000000006</v>
      </c>
      <c r="AD149" s="101" t="str">
        <f>LOOKUP(AC149,'Wire-Cables Ampacities'!$B$5:$B$35,'Wire-Cables Ampacities'!$C$5:$C$35)</f>
        <v>#3/0 2x</v>
      </c>
      <c r="AE149" s="107">
        <f t="shared" si="125"/>
        <v>3.46</v>
      </c>
      <c r="AF149" s="105">
        <f t="shared" si="109"/>
        <v>11806.01132</v>
      </c>
      <c r="AG149" s="98">
        <f t="shared" si="126"/>
        <v>40</v>
      </c>
      <c r="AH149" s="99">
        <f t="shared" si="126"/>
        <v>55</v>
      </c>
      <c r="AI149" s="106">
        <f t="shared" si="126"/>
        <v>20</v>
      </c>
      <c r="AJ149" s="105">
        <f t="shared" si="127"/>
        <v>487.16800000000001</v>
      </c>
      <c r="AK149" s="272">
        <f t="shared" si="128"/>
        <v>4.8716800000000005</v>
      </c>
      <c r="AL149" s="278">
        <f t="shared" si="129"/>
        <v>2.4358400000000002</v>
      </c>
      <c r="AM149" s="109">
        <v>1200</v>
      </c>
      <c r="AN149" s="104">
        <v>38</v>
      </c>
      <c r="AO149" s="110">
        <v>70</v>
      </c>
      <c r="AP149" s="110">
        <v>28</v>
      </c>
      <c r="AQ149" s="282">
        <f t="shared" si="130"/>
        <v>71.555555555555557</v>
      </c>
      <c r="AR149" s="288">
        <f t="shared" si="131"/>
        <v>10464.344653333334</v>
      </c>
      <c r="AS149" s="93"/>
      <c r="AT149" s="4"/>
    </row>
    <row r="150" spans="1:46">
      <c r="A150" s="72">
        <f t="shared" si="111"/>
        <v>24</v>
      </c>
      <c r="B150" s="15">
        <v>2.4500000000000002</v>
      </c>
      <c r="C150" s="66">
        <f t="shared" si="112"/>
        <v>58.800000000000004</v>
      </c>
      <c r="D150" s="68">
        <v>450</v>
      </c>
      <c r="E150" s="66">
        <f t="shared" si="113"/>
        <v>480</v>
      </c>
      <c r="F150" s="45">
        <f t="shared" si="114"/>
        <v>50.518148554092257</v>
      </c>
      <c r="G150" s="94">
        <f t="shared" si="115"/>
        <v>12</v>
      </c>
      <c r="H150" s="295">
        <f t="shared" si="101"/>
        <v>31.186368000000005</v>
      </c>
      <c r="I150" s="25">
        <f t="shared" si="102"/>
        <v>54.016373879540197</v>
      </c>
      <c r="J150" s="52">
        <f t="shared" si="116"/>
        <v>20</v>
      </c>
      <c r="K150" s="25">
        <f t="shared" si="103"/>
        <v>448.2</v>
      </c>
      <c r="L150" s="157">
        <f t="shared" si="104"/>
        <v>42</v>
      </c>
      <c r="M150" s="64">
        <f t="shared" si="105"/>
        <v>30</v>
      </c>
      <c r="N150" s="838">
        <f t="shared" si="106"/>
        <v>65.673593120319936</v>
      </c>
      <c r="O150" s="68">
        <f>LOOKUP(N150,'Circuit Breakers'!$B$5:$B$38,'Circuit Breakers'!$C$5:$C$38)</f>
        <v>70</v>
      </c>
      <c r="P150" s="199">
        <f t="shared" si="107"/>
        <v>30</v>
      </c>
      <c r="Q150" s="1056">
        <f t="shared" si="117"/>
        <v>582.66</v>
      </c>
      <c r="R150" s="1064">
        <f>LOOKUP(Q150,'Circuit Breakers'!$B$5:$B$38,'Circuit Breakers'!$C$5:$C$38)</f>
        <v>600</v>
      </c>
      <c r="S150" s="64">
        <f t="shared" si="108"/>
        <v>30</v>
      </c>
      <c r="T150" s="25">
        <f t="shared" si="118"/>
        <v>585</v>
      </c>
      <c r="U150" s="158">
        <f>LOOKUP(T150,'Circuit Breakers'!$B$5:$B$38,'Circuit Breakers'!$C$5:$C$38)</f>
        <v>600</v>
      </c>
      <c r="V150" s="64">
        <f t="shared" si="119"/>
        <v>15</v>
      </c>
      <c r="W150" s="25">
        <f t="shared" si="120"/>
        <v>58.095870837206093</v>
      </c>
      <c r="X150" s="68" t="str">
        <f>LOOKUP(W150,'Wire-Cables Ampacities'!$B$5:$B$35,'Wire-Cables Ampacities'!$C$5:$C$35)</f>
        <v>#8</v>
      </c>
      <c r="Y150" s="64">
        <f t="shared" si="121"/>
        <v>10</v>
      </c>
      <c r="Z150" s="25">
        <f t="shared" si="122"/>
        <v>493.02000000000004</v>
      </c>
      <c r="AA150" s="68" t="str">
        <f>LOOKUP(Z150,'Wire-Cables Ampacities'!$B$5:$B$35,'Wire-Cables Ampacities'!$C$5:$C$35)</f>
        <v>#3/0 2x</v>
      </c>
      <c r="AB150" s="64">
        <f t="shared" si="123"/>
        <v>10</v>
      </c>
      <c r="AC150" s="25">
        <f t="shared" si="124"/>
        <v>495.00000000000006</v>
      </c>
      <c r="AD150" s="68" t="str">
        <f>LOOKUP(AC150,'Wire-Cables Ampacities'!$B$5:$B$35,'Wire-Cables Ampacities'!$C$5:$C$35)</f>
        <v>#3/0 2x</v>
      </c>
      <c r="AE150" s="81">
        <f t="shared" si="125"/>
        <v>3.8400000000000003</v>
      </c>
      <c r="AF150" s="56">
        <f t="shared" si="109"/>
        <v>13102.62528</v>
      </c>
      <c r="AG150" s="72">
        <f t="shared" si="126"/>
        <v>40</v>
      </c>
      <c r="AH150" s="15">
        <f t="shared" si="126"/>
        <v>55</v>
      </c>
      <c r="AI150" s="64">
        <f t="shared" si="126"/>
        <v>20</v>
      </c>
      <c r="AJ150" s="56">
        <f t="shared" si="127"/>
        <v>540.67200000000003</v>
      </c>
      <c r="AK150" s="271">
        <f t="shared" si="128"/>
        <v>5.40672</v>
      </c>
      <c r="AL150" s="277">
        <f t="shared" si="129"/>
        <v>2.70336</v>
      </c>
      <c r="AM150" s="58">
        <v>1200</v>
      </c>
      <c r="AN150" s="25">
        <v>38</v>
      </c>
      <c r="AO150" s="3">
        <v>70</v>
      </c>
      <c r="AP150" s="3">
        <v>28</v>
      </c>
      <c r="AQ150" s="281">
        <f t="shared" si="130"/>
        <v>71.555555555555557</v>
      </c>
      <c r="AR150" s="287">
        <f t="shared" si="131"/>
        <v>11760.958613333334</v>
      </c>
      <c r="AS150" s="93"/>
      <c r="AT150" s="4"/>
    </row>
    <row r="151" spans="1:46">
      <c r="A151" s="72">
        <f t="shared" si="111"/>
        <v>24</v>
      </c>
      <c r="B151" s="15">
        <v>2.4500000000000002</v>
      </c>
      <c r="C151" s="66">
        <f t="shared" si="112"/>
        <v>58.800000000000004</v>
      </c>
      <c r="D151" s="68">
        <v>500</v>
      </c>
      <c r="E151" s="66">
        <f t="shared" si="113"/>
        <v>480</v>
      </c>
      <c r="F151" s="45">
        <f t="shared" si="114"/>
        <v>56.532213858150861</v>
      </c>
      <c r="G151" s="94">
        <f t="shared" si="115"/>
        <v>12</v>
      </c>
      <c r="H151" s="295">
        <f t="shared" si="101"/>
        <v>31.186368000000005</v>
      </c>
      <c r="I151" s="25">
        <f t="shared" si="102"/>
        <v>54.016373879540197</v>
      </c>
      <c r="J151" s="52">
        <f t="shared" si="116"/>
        <v>20</v>
      </c>
      <c r="K151" s="25">
        <f t="shared" si="103"/>
        <v>498</v>
      </c>
      <c r="L151" s="157">
        <f t="shared" si="104"/>
        <v>47</v>
      </c>
      <c r="M151" s="64">
        <f t="shared" si="105"/>
        <v>30</v>
      </c>
      <c r="N151" s="838">
        <f t="shared" si="106"/>
        <v>73.491878015596129</v>
      </c>
      <c r="O151" s="68">
        <f>LOOKUP(N151,'Circuit Breakers'!$B$5:$B$38,'Circuit Breakers'!$C$5:$C$38)</f>
        <v>80</v>
      </c>
      <c r="P151" s="199">
        <f t="shared" si="107"/>
        <v>30</v>
      </c>
      <c r="Q151" s="1056">
        <f t="shared" si="117"/>
        <v>647.4</v>
      </c>
      <c r="R151" s="1064">
        <f>LOOKUP(Q151,'Circuit Breakers'!$B$5:$B$38,'Circuit Breakers'!$C$5:$C$38)</f>
        <v>700</v>
      </c>
      <c r="S151" s="64">
        <f t="shared" si="108"/>
        <v>30</v>
      </c>
      <c r="T151" s="25">
        <f t="shared" si="118"/>
        <v>650</v>
      </c>
      <c r="U151" s="158">
        <f>LOOKUP(T151,'Circuit Breakers'!$B$5:$B$38,'Circuit Breakers'!$C$5:$C$38)</f>
        <v>700</v>
      </c>
      <c r="V151" s="64">
        <f t="shared" si="119"/>
        <v>15</v>
      </c>
      <c r="W151" s="25">
        <f t="shared" si="120"/>
        <v>65.012045936873491</v>
      </c>
      <c r="X151" s="68" t="str">
        <f>LOOKUP(W151,'Wire-Cables Ampacities'!$B$5:$B$35,'Wire-Cables Ampacities'!$C$5:$C$35)</f>
        <v>#6</v>
      </c>
      <c r="Y151" s="64">
        <f t="shared" si="121"/>
        <v>10</v>
      </c>
      <c r="Z151" s="25">
        <f t="shared" si="122"/>
        <v>547.80000000000007</v>
      </c>
      <c r="AA151" s="68" t="str">
        <f>LOOKUP(Z151,'Wire-Cables Ampacities'!$B$5:$B$35,'Wire-Cables Ampacities'!$C$5:$C$35)</f>
        <v>#4/0 2x</v>
      </c>
      <c r="AB151" s="64">
        <f t="shared" si="123"/>
        <v>10</v>
      </c>
      <c r="AC151" s="25">
        <f t="shared" si="124"/>
        <v>550</v>
      </c>
      <c r="AD151" s="68" t="str">
        <f>LOOKUP(AC151,'Wire-Cables Ampacities'!$B$5:$B$35,'Wire-Cables Ampacities'!$C$5:$C$35)</f>
        <v>#4/0 2x</v>
      </c>
      <c r="AE151" s="81">
        <f t="shared" si="125"/>
        <v>4.29</v>
      </c>
      <c r="AF151" s="56">
        <f t="shared" si="109"/>
        <v>14638.089179999999</v>
      </c>
      <c r="AG151" s="72">
        <f t="shared" si="126"/>
        <v>40</v>
      </c>
      <c r="AH151" s="15">
        <f t="shared" si="126"/>
        <v>55</v>
      </c>
      <c r="AI151" s="64">
        <f t="shared" si="126"/>
        <v>20</v>
      </c>
      <c r="AJ151" s="56">
        <f t="shared" si="127"/>
        <v>604.03199999999993</v>
      </c>
      <c r="AK151" s="271">
        <f t="shared" si="128"/>
        <v>6.0403199999999995</v>
      </c>
      <c r="AL151" s="277">
        <f t="shared" si="129"/>
        <v>3.0201599999999997</v>
      </c>
      <c r="AM151" s="58">
        <v>1200</v>
      </c>
      <c r="AN151" s="25">
        <v>38</v>
      </c>
      <c r="AO151" s="3">
        <v>70</v>
      </c>
      <c r="AP151" s="3">
        <v>28</v>
      </c>
      <c r="AQ151" s="281">
        <f t="shared" si="130"/>
        <v>71.555555555555557</v>
      </c>
      <c r="AR151" s="287">
        <f t="shared" si="131"/>
        <v>13296.422513333333</v>
      </c>
      <c r="AS151" s="93"/>
      <c r="AT151" s="4"/>
    </row>
    <row r="152" spans="1:46">
      <c r="A152" s="98">
        <f t="shared" si="111"/>
        <v>24</v>
      </c>
      <c r="B152" s="99">
        <v>2.4500000000000002</v>
      </c>
      <c r="C152" s="100">
        <f t="shared" si="112"/>
        <v>58.800000000000004</v>
      </c>
      <c r="D152" s="101">
        <v>600</v>
      </c>
      <c r="E152" s="100">
        <f t="shared" si="113"/>
        <v>480</v>
      </c>
      <c r="F152" s="102">
        <f t="shared" si="114"/>
        <v>67.357531405456342</v>
      </c>
      <c r="G152" s="103">
        <f t="shared" si="115"/>
        <v>12</v>
      </c>
      <c r="H152" s="296">
        <f t="shared" si="101"/>
        <v>31.186368000000005</v>
      </c>
      <c r="I152" s="104">
        <f t="shared" si="102"/>
        <v>54.016373879540197</v>
      </c>
      <c r="J152" s="180">
        <f t="shared" si="116"/>
        <v>20</v>
      </c>
      <c r="K152" s="104">
        <f t="shared" si="103"/>
        <v>597.6</v>
      </c>
      <c r="L152" s="263">
        <f t="shared" si="104"/>
        <v>56</v>
      </c>
      <c r="M152" s="106">
        <f t="shared" si="105"/>
        <v>30</v>
      </c>
      <c r="N152" s="1060">
        <f t="shared" si="106"/>
        <v>87.564790827093248</v>
      </c>
      <c r="O152" s="101">
        <f>LOOKUP(N152,'Circuit Breakers'!$B$5:$B$38,'Circuit Breakers'!$C$5:$C$38)</f>
        <v>90</v>
      </c>
      <c r="P152" s="262">
        <f t="shared" si="107"/>
        <v>30</v>
      </c>
      <c r="Q152" s="1057">
        <f t="shared" si="117"/>
        <v>776.88000000000011</v>
      </c>
      <c r="R152" s="1065">
        <f>LOOKUP(Q152,'Circuit Breakers'!$B$5:$B$38,'Circuit Breakers'!$C$5:$C$38)</f>
        <v>800</v>
      </c>
      <c r="S152" s="106">
        <f t="shared" si="108"/>
        <v>30</v>
      </c>
      <c r="T152" s="104">
        <f t="shared" si="118"/>
        <v>780</v>
      </c>
      <c r="U152" s="477">
        <f>LOOKUP(T152,'Circuit Breakers'!$B$5:$B$38,'Circuit Breakers'!$C$5:$C$38)</f>
        <v>800</v>
      </c>
      <c r="V152" s="106">
        <f t="shared" si="119"/>
        <v>15</v>
      </c>
      <c r="W152" s="104">
        <f t="shared" si="120"/>
        <v>77.461161116274781</v>
      </c>
      <c r="X152" s="101" t="str">
        <f>LOOKUP(W152,'Wire-Cables Ampacities'!$B$5:$B$35,'Wire-Cables Ampacities'!$C$5:$C$35)</f>
        <v>#6</v>
      </c>
      <c r="Y152" s="106">
        <f t="shared" si="121"/>
        <v>10</v>
      </c>
      <c r="Z152" s="104">
        <f t="shared" si="122"/>
        <v>657.36000000000013</v>
      </c>
      <c r="AA152" s="101" t="str">
        <f>LOOKUP(Z152,'Wire-Cables Ampacities'!$B$5:$B$35,'Wire-Cables Ampacities'!$C$5:$C$35)</f>
        <v>300MCM 2x</v>
      </c>
      <c r="AB152" s="106">
        <f t="shared" si="123"/>
        <v>10</v>
      </c>
      <c r="AC152" s="104">
        <f t="shared" si="124"/>
        <v>660</v>
      </c>
      <c r="AD152" s="101" t="str">
        <f>LOOKUP(AC152,'Wire-Cables Ampacities'!$B$5:$B$35,'Wire-Cables Ampacities'!$C$5:$C$35)</f>
        <v>300MCM 2x</v>
      </c>
      <c r="AE152" s="107">
        <f t="shared" si="125"/>
        <v>5.12</v>
      </c>
      <c r="AF152" s="105">
        <f t="shared" si="109"/>
        <v>17470.16704</v>
      </c>
      <c r="AG152" s="98">
        <f t="shared" si="126"/>
        <v>40</v>
      </c>
      <c r="AH152" s="99">
        <f t="shared" si="126"/>
        <v>55</v>
      </c>
      <c r="AI152" s="106">
        <f t="shared" si="126"/>
        <v>20</v>
      </c>
      <c r="AJ152" s="105">
        <f t="shared" si="127"/>
        <v>720.89599999999996</v>
      </c>
      <c r="AK152" s="272">
        <f t="shared" si="128"/>
        <v>7.2089599999999994</v>
      </c>
      <c r="AL152" s="278">
        <f t="shared" si="129"/>
        <v>3.6044799999999997</v>
      </c>
      <c r="AM152" s="109">
        <v>1200</v>
      </c>
      <c r="AN152" s="104">
        <v>38</v>
      </c>
      <c r="AO152" s="110">
        <v>70</v>
      </c>
      <c r="AP152" s="110">
        <v>28</v>
      </c>
      <c r="AQ152" s="282">
        <f t="shared" si="130"/>
        <v>71.555555555555557</v>
      </c>
      <c r="AR152" s="288">
        <f t="shared" si="131"/>
        <v>16128.500373333334</v>
      </c>
      <c r="AS152" s="93"/>
      <c r="AT152" s="4"/>
    </row>
    <row r="153" spans="1:46">
      <c r="A153" s="72">
        <f t="shared" si="111"/>
        <v>24</v>
      </c>
      <c r="B153" s="15">
        <v>2.4500000000000002</v>
      </c>
      <c r="C153" s="66">
        <f t="shared" si="112"/>
        <v>58.800000000000004</v>
      </c>
      <c r="D153" s="68">
        <v>700</v>
      </c>
      <c r="E153" s="66">
        <f t="shared" si="113"/>
        <v>480</v>
      </c>
      <c r="F153" s="45">
        <f t="shared" si="114"/>
        <v>79.385662013573551</v>
      </c>
      <c r="G153" s="94">
        <f t="shared" si="115"/>
        <v>12</v>
      </c>
      <c r="H153" s="295">
        <f t="shared" si="101"/>
        <v>31.186368000000005</v>
      </c>
      <c r="I153" s="25">
        <f t="shared" si="102"/>
        <v>54.016373879540197</v>
      </c>
      <c r="J153" s="52">
        <f t="shared" si="116"/>
        <v>20</v>
      </c>
      <c r="K153" s="25">
        <f t="shared" si="103"/>
        <v>697.19999999999993</v>
      </c>
      <c r="L153" s="157">
        <f t="shared" si="104"/>
        <v>66</v>
      </c>
      <c r="M153" s="64">
        <f t="shared" si="105"/>
        <v>30</v>
      </c>
      <c r="N153" s="838">
        <f t="shared" si="106"/>
        <v>103.20136061764562</v>
      </c>
      <c r="O153" s="68">
        <f>LOOKUP(N153,'Circuit Breakers'!$B$5:$B$38,'Circuit Breakers'!$C$5:$C$38)</f>
        <v>110</v>
      </c>
      <c r="P153" s="199">
        <f t="shared" si="107"/>
        <v>30</v>
      </c>
      <c r="Q153" s="1056">
        <f t="shared" si="117"/>
        <v>906.3599999999999</v>
      </c>
      <c r="R153" s="1064">
        <f>LOOKUP(Q153,'Circuit Breakers'!$B$5:$B$38,'Circuit Breakers'!$C$5:$C$38)</f>
        <v>1000</v>
      </c>
      <c r="S153" s="64">
        <f t="shared" si="108"/>
        <v>30</v>
      </c>
      <c r="T153" s="25">
        <f t="shared" si="118"/>
        <v>910</v>
      </c>
      <c r="U153" s="158">
        <f>LOOKUP(T153,'Circuit Breakers'!$B$5:$B$38,'Circuit Breakers'!$C$5:$C$38)</f>
        <v>1000</v>
      </c>
      <c r="V153" s="64">
        <f t="shared" si="119"/>
        <v>15</v>
      </c>
      <c r="W153" s="25">
        <f t="shared" si="120"/>
        <v>91.293511315609578</v>
      </c>
      <c r="X153" s="68" t="str">
        <f>LOOKUP(W153,'Wire-Cables Ampacities'!$B$5:$B$35,'Wire-Cables Ampacities'!$C$5:$C$35)</f>
        <v>#4</v>
      </c>
      <c r="Y153" s="64">
        <f t="shared" si="121"/>
        <v>10</v>
      </c>
      <c r="Z153" s="25">
        <f t="shared" si="122"/>
        <v>766.92</v>
      </c>
      <c r="AA153" s="68" t="str">
        <f>LOOKUP(Z153,'Wire-Cables Ampacities'!$B$5:$B$35,'Wire-Cables Ampacities'!$C$5:$C$35)</f>
        <v>Buss</v>
      </c>
      <c r="AB153" s="64">
        <f t="shared" si="123"/>
        <v>10</v>
      </c>
      <c r="AC153" s="25">
        <f t="shared" si="124"/>
        <v>770.00000000000011</v>
      </c>
      <c r="AD153" s="68" t="str">
        <f>LOOKUP(AC153,'Wire-Cables Ampacities'!$B$5:$B$35,'Wire-Cables Ampacities'!$C$5:$C$35)</f>
        <v>Buss</v>
      </c>
      <c r="AE153" s="81">
        <f t="shared" si="125"/>
        <v>6.02</v>
      </c>
      <c r="AF153" s="56">
        <f t="shared" si="109"/>
        <v>20541.094839999994</v>
      </c>
      <c r="AG153" s="72">
        <f t="shared" si="126"/>
        <v>40</v>
      </c>
      <c r="AH153" s="15">
        <f t="shared" si="126"/>
        <v>55</v>
      </c>
      <c r="AI153" s="64">
        <f t="shared" si="126"/>
        <v>20</v>
      </c>
      <c r="AJ153" s="56">
        <f t="shared" si="127"/>
        <v>847.61599999999987</v>
      </c>
      <c r="AK153" s="271">
        <f t="shared" si="128"/>
        <v>8.4761599999999984</v>
      </c>
      <c r="AL153" s="277">
        <f t="shared" si="129"/>
        <v>4.2380799999999992</v>
      </c>
      <c r="AM153" s="58">
        <v>1200</v>
      </c>
      <c r="AN153" s="25">
        <v>38</v>
      </c>
      <c r="AO153" s="3">
        <v>70</v>
      </c>
      <c r="AP153" s="3">
        <v>28</v>
      </c>
      <c r="AQ153" s="281">
        <f t="shared" si="130"/>
        <v>71.555555555555557</v>
      </c>
      <c r="AR153" s="287">
        <f t="shared" si="131"/>
        <v>19199.428173333326</v>
      </c>
      <c r="AS153" s="93"/>
      <c r="AT153" s="4"/>
    </row>
    <row r="154" spans="1:46">
      <c r="A154" s="72">
        <f t="shared" si="111"/>
        <v>24</v>
      </c>
      <c r="B154" s="15">
        <v>2.4500000000000002</v>
      </c>
      <c r="C154" s="66">
        <f t="shared" si="112"/>
        <v>58.800000000000004</v>
      </c>
      <c r="D154" s="68">
        <v>800</v>
      </c>
      <c r="E154" s="66">
        <f t="shared" si="113"/>
        <v>480</v>
      </c>
      <c r="F154" s="45">
        <f t="shared" si="114"/>
        <v>90.210979560879025</v>
      </c>
      <c r="G154" s="94">
        <f t="shared" si="115"/>
        <v>12</v>
      </c>
      <c r="H154" s="295">
        <f t="shared" si="101"/>
        <v>31.186368000000005</v>
      </c>
      <c r="I154" s="25">
        <f t="shared" si="102"/>
        <v>54.016373879540197</v>
      </c>
      <c r="J154" s="52">
        <f t="shared" si="116"/>
        <v>20</v>
      </c>
      <c r="K154" s="25">
        <f t="shared" si="103"/>
        <v>796.8</v>
      </c>
      <c r="L154" s="157">
        <f t="shared" si="104"/>
        <v>75</v>
      </c>
      <c r="M154" s="64">
        <f t="shared" si="105"/>
        <v>30</v>
      </c>
      <c r="N154" s="838">
        <f t="shared" si="106"/>
        <v>117.27427342914274</v>
      </c>
      <c r="O154" s="68">
        <f>LOOKUP(N154,'Circuit Breakers'!$B$5:$B$38,'Circuit Breakers'!$C$5:$C$38)</f>
        <v>125</v>
      </c>
      <c r="P154" s="199">
        <f t="shared" si="107"/>
        <v>30</v>
      </c>
      <c r="Q154" s="1056">
        <f t="shared" si="117"/>
        <v>1035.8399999999999</v>
      </c>
      <c r="R154" s="1064">
        <f>LOOKUP(Q154,'Circuit Breakers'!$B$5:$B$38,'Circuit Breakers'!$C$5:$C$38)</f>
        <v>1200</v>
      </c>
      <c r="S154" s="64">
        <f t="shared" si="108"/>
        <v>30</v>
      </c>
      <c r="T154" s="25">
        <f t="shared" si="118"/>
        <v>1040</v>
      </c>
      <c r="U154" s="158">
        <f>LOOKUP(T154,'Circuit Breakers'!$B$5:$B$38,'Circuit Breakers'!$C$5:$C$38)</f>
        <v>1200</v>
      </c>
      <c r="V154" s="64">
        <f t="shared" si="119"/>
        <v>15</v>
      </c>
      <c r="W154" s="25">
        <f t="shared" si="120"/>
        <v>103.74262649501087</v>
      </c>
      <c r="X154" s="68" t="str">
        <f>LOOKUP(W154,'Wire-Cables Ampacities'!$B$5:$B$35,'Wire-Cables Ampacities'!$C$5:$C$35)</f>
        <v>#4</v>
      </c>
      <c r="Y154" s="64">
        <f t="shared" si="121"/>
        <v>10</v>
      </c>
      <c r="Z154" s="25">
        <f t="shared" si="122"/>
        <v>876.48</v>
      </c>
      <c r="AA154" s="68" t="str">
        <f>LOOKUP(Z154,'Wire-Cables Ampacities'!$B$5:$B$35,'Wire-Cables Ampacities'!$C$5:$C$35)</f>
        <v>Buss</v>
      </c>
      <c r="AB154" s="64">
        <f t="shared" si="123"/>
        <v>10</v>
      </c>
      <c r="AC154" s="25">
        <f t="shared" si="124"/>
        <v>880.00000000000011</v>
      </c>
      <c r="AD154" s="68" t="str">
        <f>LOOKUP(AC154,'Wire-Cables Ampacities'!$B$5:$B$35,'Wire-Cables Ampacities'!$C$5:$C$35)</f>
        <v>Buss</v>
      </c>
      <c r="AE154" s="81">
        <f t="shared" si="125"/>
        <v>6.8500000000000005</v>
      </c>
      <c r="AF154" s="56">
        <f t="shared" si="109"/>
        <v>23373.172700000003</v>
      </c>
      <c r="AG154" s="72">
        <f t="shared" si="126"/>
        <v>40</v>
      </c>
      <c r="AH154" s="15">
        <f t="shared" si="126"/>
        <v>55</v>
      </c>
      <c r="AI154" s="64">
        <f t="shared" si="126"/>
        <v>20</v>
      </c>
      <c r="AJ154" s="56">
        <f t="shared" si="127"/>
        <v>964.48000000000013</v>
      </c>
      <c r="AK154" s="271">
        <f t="shared" si="128"/>
        <v>9.6448000000000018</v>
      </c>
      <c r="AL154" s="277">
        <f t="shared" si="129"/>
        <v>4.8224000000000009</v>
      </c>
      <c r="AM154" s="58">
        <v>1200</v>
      </c>
      <c r="AN154" s="25">
        <v>38</v>
      </c>
      <c r="AO154" s="3">
        <v>70</v>
      </c>
      <c r="AP154" s="3">
        <v>28</v>
      </c>
      <c r="AQ154" s="281">
        <f t="shared" si="130"/>
        <v>71.555555555555557</v>
      </c>
      <c r="AR154" s="287">
        <f t="shared" si="131"/>
        <v>22031.506033333335</v>
      </c>
      <c r="AS154" s="93"/>
      <c r="AT154" s="4"/>
    </row>
    <row r="155" spans="1:46">
      <c r="A155" s="98">
        <f t="shared" si="111"/>
        <v>24</v>
      </c>
      <c r="B155" s="99">
        <v>2.4500000000000002</v>
      </c>
      <c r="C155" s="100">
        <f t="shared" si="112"/>
        <v>58.800000000000004</v>
      </c>
      <c r="D155" s="101">
        <v>900</v>
      </c>
      <c r="E155" s="100">
        <f t="shared" si="113"/>
        <v>480</v>
      </c>
      <c r="F155" s="102">
        <f t="shared" si="114"/>
        <v>101.03629710818451</v>
      </c>
      <c r="G155" s="103">
        <f t="shared" si="115"/>
        <v>12</v>
      </c>
      <c r="H155" s="296">
        <f t="shared" si="101"/>
        <v>31.186368000000005</v>
      </c>
      <c r="I155" s="104">
        <f t="shared" si="102"/>
        <v>54.016373879540197</v>
      </c>
      <c r="J155" s="180">
        <f t="shared" si="116"/>
        <v>20</v>
      </c>
      <c r="K155" s="104">
        <f t="shared" si="103"/>
        <v>896.4</v>
      </c>
      <c r="L155" s="263">
        <f t="shared" si="104"/>
        <v>84</v>
      </c>
      <c r="M155" s="106">
        <f t="shared" si="105"/>
        <v>30</v>
      </c>
      <c r="N155" s="1060">
        <f t="shared" si="106"/>
        <v>131.34718624063987</v>
      </c>
      <c r="O155" s="101">
        <f>LOOKUP(N155,'Circuit Breakers'!$B$5:$B$38,'Circuit Breakers'!$C$5:$C$38)</f>
        <v>150</v>
      </c>
      <c r="P155" s="262">
        <f t="shared" si="107"/>
        <v>30</v>
      </c>
      <c r="Q155" s="1057">
        <f t="shared" si="117"/>
        <v>1165.32</v>
      </c>
      <c r="R155" s="1065">
        <f>LOOKUP(Q155,'Circuit Breakers'!$B$5:$B$38,'Circuit Breakers'!$C$5:$C$38)</f>
        <v>1200</v>
      </c>
      <c r="S155" s="106">
        <f t="shared" si="108"/>
        <v>30</v>
      </c>
      <c r="T155" s="104">
        <f t="shared" si="118"/>
        <v>1170</v>
      </c>
      <c r="U155" s="477">
        <f>LOOKUP(T155,'Circuit Breakers'!$B$5:$B$38,'Circuit Breakers'!$C$5:$C$38)</f>
        <v>1200</v>
      </c>
      <c r="V155" s="106">
        <f t="shared" si="119"/>
        <v>15</v>
      </c>
      <c r="W155" s="104">
        <f t="shared" si="120"/>
        <v>116.19174167441219</v>
      </c>
      <c r="X155" s="101" t="str">
        <f>LOOKUP(W155,'Wire-Cables Ampacities'!$B$5:$B$35,'Wire-Cables Ampacities'!$C$5:$C$35)</f>
        <v>#3</v>
      </c>
      <c r="Y155" s="106">
        <f t="shared" si="121"/>
        <v>10</v>
      </c>
      <c r="Z155" s="104">
        <f t="shared" si="122"/>
        <v>986.04000000000008</v>
      </c>
      <c r="AA155" s="101" t="str">
        <f>LOOKUP(Z155,'Wire-Cables Ampacities'!$B$5:$B$35,'Wire-Cables Ampacities'!$C$5:$C$35)</f>
        <v>Buss</v>
      </c>
      <c r="AB155" s="106">
        <f t="shared" si="123"/>
        <v>10</v>
      </c>
      <c r="AC155" s="104">
        <f t="shared" si="124"/>
        <v>990.00000000000011</v>
      </c>
      <c r="AD155" s="101" t="str">
        <f>LOOKUP(AC155,'Wire-Cables Ampacities'!$B$5:$B$35,'Wire-Cables Ampacities'!$C$5:$C$35)</f>
        <v>Buss</v>
      </c>
      <c r="AE155" s="107">
        <f t="shared" si="125"/>
        <v>7.6800000000000006</v>
      </c>
      <c r="AF155" s="105">
        <f t="shared" si="109"/>
        <v>26205.25056</v>
      </c>
      <c r="AG155" s="98">
        <f t="shared" si="126"/>
        <v>40</v>
      </c>
      <c r="AH155" s="99">
        <f t="shared" si="126"/>
        <v>55</v>
      </c>
      <c r="AI155" s="106">
        <f t="shared" si="126"/>
        <v>20</v>
      </c>
      <c r="AJ155" s="105">
        <f t="shared" si="127"/>
        <v>1081.3440000000001</v>
      </c>
      <c r="AK155" s="272">
        <f t="shared" si="128"/>
        <v>10.81344</v>
      </c>
      <c r="AL155" s="278">
        <f t="shared" si="129"/>
        <v>5.40672</v>
      </c>
      <c r="AM155" s="109">
        <v>1200</v>
      </c>
      <c r="AN155" s="104">
        <v>38</v>
      </c>
      <c r="AO155" s="110">
        <v>70</v>
      </c>
      <c r="AP155" s="110">
        <v>28</v>
      </c>
      <c r="AQ155" s="282">
        <f t="shared" si="130"/>
        <v>71.555555555555557</v>
      </c>
      <c r="AR155" s="288">
        <f t="shared" si="131"/>
        <v>24863.583893333333</v>
      </c>
      <c r="AS155" s="93"/>
      <c r="AT155" s="4"/>
    </row>
    <row r="156" spans="1:46">
      <c r="A156" s="72">
        <f t="shared" si="111"/>
        <v>24</v>
      </c>
      <c r="B156" s="794">
        <v>2.4500000000000002</v>
      </c>
      <c r="C156" s="66">
        <f t="shared" si="112"/>
        <v>58.800000000000004</v>
      </c>
      <c r="D156" s="68">
        <v>1000</v>
      </c>
      <c r="E156" s="66">
        <f t="shared" si="113"/>
        <v>480</v>
      </c>
      <c r="F156" s="45">
        <f t="shared" si="114"/>
        <v>113.06442771630172</v>
      </c>
      <c r="G156" s="94">
        <f t="shared" si="115"/>
        <v>12</v>
      </c>
      <c r="H156" s="295">
        <f t="shared" si="101"/>
        <v>31.186368000000005</v>
      </c>
      <c r="I156" s="25">
        <f t="shared" si="102"/>
        <v>54.016373879540197</v>
      </c>
      <c r="J156" s="52">
        <f t="shared" si="116"/>
        <v>20</v>
      </c>
      <c r="K156" s="25">
        <f t="shared" si="103"/>
        <v>996</v>
      </c>
      <c r="L156" s="157">
        <f t="shared" si="104"/>
        <v>94</v>
      </c>
      <c r="M156" s="64">
        <f t="shared" si="105"/>
        <v>30</v>
      </c>
      <c r="N156" s="838">
        <f t="shared" si="106"/>
        <v>146.98375603119226</v>
      </c>
      <c r="O156" s="68">
        <f>LOOKUP(N156,'Circuit Breakers'!$B$5:$B$38,'Circuit Breakers'!$C$5:$C$38)</f>
        <v>150</v>
      </c>
      <c r="P156" s="199">
        <f t="shared" si="107"/>
        <v>30</v>
      </c>
      <c r="Q156" s="1056">
        <f t="shared" si="117"/>
        <v>1294.8</v>
      </c>
      <c r="R156" s="1064" t="str">
        <f>LOOKUP(Q156,'Circuit Breakers'!$B$5:$B$38,'Circuit Breakers'!$C$5:$C$38)</f>
        <v>Check</v>
      </c>
      <c r="S156" s="64">
        <f t="shared" si="108"/>
        <v>30</v>
      </c>
      <c r="T156" s="25">
        <f t="shared" si="118"/>
        <v>1300</v>
      </c>
      <c r="U156" s="158" t="str">
        <f>LOOKUP(T156,'Circuit Breakers'!$B$5:$B$38,'Circuit Breakers'!$C$5:$C$38)</f>
        <v>Check</v>
      </c>
      <c r="V156" s="64">
        <f t="shared" si="119"/>
        <v>15</v>
      </c>
      <c r="W156" s="25">
        <f t="shared" si="120"/>
        <v>130.02409187374698</v>
      </c>
      <c r="X156" s="68" t="str">
        <f>LOOKUP(W156,'Wire-Cables Ampacities'!$B$5:$B$35,'Wire-Cables Ampacities'!$C$5:$C$35)</f>
        <v>#2</v>
      </c>
      <c r="Y156" s="64">
        <f t="shared" si="121"/>
        <v>10</v>
      </c>
      <c r="Z156" s="25">
        <f t="shared" si="122"/>
        <v>1095.6000000000001</v>
      </c>
      <c r="AA156" s="68" t="str">
        <f>LOOKUP(Z156,'Wire-Cables Ampacities'!$B$5:$B$35,'Wire-Cables Ampacities'!$C$5:$C$35)</f>
        <v>Buss</v>
      </c>
      <c r="AB156" s="64">
        <f t="shared" si="123"/>
        <v>10</v>
      </c>
      <c r="AC156" s="25">
        <f t="shared" si="124"/>
        <v>1100</v>
      </c>
      <c r="AD156" s="68" t="str">
        <f>LOOKUP(AC156,'Wire-Cables Ampacities'!$B$5:$B$35,'Wire-Cables Ampacities'!$C$5:$C$35)</f>
        <v>Buss</v>
      </c>
      <c r="AE156" s="81">
        <f t="shared" si="125"/>
        <v>8.58</v>
      </c>
      <c r="AF156" s="56">
        <f t="shared" si="109"/>
        <v>29276.178359999998</v>
      </c>
      <c r="AG156" s="72">
        <f t="shared" si="126"/>
        <v>40</v>
      </c>
      <c r="AH156" s="15">
        <f t="shared" si="126"/>
        <v>55</v>
      </c>
      <c r="AI156" s="64">
        <f t="shared" si="126"/>
        <v>20</v>
      </c>
      <c r="AJ156" s="56">
        <f t="shared" si="127"/>
        <v>1208.0639999999999</v>
      </c>
      <c r="AK156" s="271">
        <f t="shared" si="128"/>
        <v>12.080639999999999</v>
      </c>
      <c r="AL156" s="277">
        <f t="shared" si="129"/>
        <v>6.0403199999999995</v>
      </c>
      <c r="AM156" s="58">
        <v>1200</v>
      </c>
      <c r="AN156" s="25">
        <v>38</v>
      </c>
      <c r="AO156" s="3">
        <v>70</v>
      </c>
      <c r="AP156" s="3">
        <v>28</v>
      </c>
      <c r="AQ156" s="281">
        <f t="shared" si="130"/>
        <v>71.555555555555557</v>
      </c>
      <c r="AR156" s="287">
        <f t="shared" si="131"/>
        <v>27934.51169333333</v>
      </c>
      <c r="AS156" s="93"/>
      <c r="AT156" s="4"/>
    </row>
    <row r="157" spans="1:46">
      <c r="A157" s="72">
        <f t="shared" si="111"/>
        <v>24</v>
      </c>
      <c r="B157" s="15">
        <v>2.4500000000000002</v>
      </c>
      <c r="C157" s="66">
        <f t="shared" si="112"/>
        <v>58.800000000000004</v>
      </c>
      <c r="D157" s="68">
        <v>1100</v>
      </c>
      <c r="E157" s="66">
        <f t="shared" si="113"/>
        <v>480</v>
      </c>
      <c r="F157" s="45">
        <f t="shared" si="114"/>
        <v>123.88974526360721</v>
      </c>
      <c r="G157" s="94">
        <f t="shared" si="115"/>
        <v>12</v>
      </c>
      <c r="H157" s="295">
        <f t="shared" si="101"/>
        <v>31.186368000000005</v>
      </c>
      <c r="I157" s="25">
        <f t="shared" si="102"/>
        <v>54.016373879540197</v>
      </c>
      <c r="J157" s="52">
        <f t="shared" si="116"/>
        <v>20</v>
      </c>
      <c r="K157" s="25">
        <f t="shared" si="103"/>
        <v>1095.5999999999999</v>
      </c>
      <c r="L157" s="157">
        <f t="shared" si="104"/>
        <v>103</v>
      </c>
      <c r="M157" s="64">
        <f t="shared" si="105"/>
        <v>30</v>
      </c>
      <c r="N157" s="838">
        <f t="shared" si="106"/>
        <v>161.05666884268939</v>
      </c>
      <c r="O157" s="68">
        <f>LOOKUP(N157,'Circuit Breakers'!$B$5:$B$38,'Circuit Breakers'!$C$5:$C$38)</f>
        <v>175</v>
      </c>
      <c r="P157" s="199">
        <f t="shared" si="107"/>
        <v>30</v>
      </c>
      <c r="Q157" s="1056">
        <f t="shared" si="117"/>
        <v>1424.28</v>
      </c>
      <c r="R157" s="1064" t="str">
        <f>LOOKUP(Q157,'Circuit Breakers'!$B$5:$B$38,'Circuit Breakers'!$C$5:$C$38)</f>
        <v>Check</v>
      </c>
      <c r="S157" s="64">
        <f t="shared" si="108"/>
        <v>30</v>
      </c>
      <c r="T157" s="25">
        <f t="shared" si="118"/>
        <v>1430</v>
      </c>
      <c r="U157" s="158" t="str">
        <f>LOOKUP(T157,'Circuit Breakers'!$B$5:$B$38,'Circuit Breakers'!$C$5:$C$38)</f>
        <v>Check</v>
      </c>
      <c r="V157" s="64">
        <f t="shared" si="119"/>
        <v>15</v>
      </c>
      <c r="W157" s="25">
        <f t="shared" si="120"/>
        <v>142.47320705314829</v>
      </c>
      <c r="X157" s="68" t="str">
        <f>LOOKUP(W157,'Wire-Cables Ampacities'!$B$5:$B$35,'Wire-Cables Ampacities'!$C$5:$C$35)</f>
        <v>#1</v>
      </c>
      <c r="Y157" s="64">
        <f t="shared" si="121"/>
        <v>10</v>
      </c>
      <c r="Z157" s="25">
        <f t="shared" si="122"/>
        <v>1205.1600000000001</v>
      </c>
      <c r="AA157" s="68" t="str">
        <f>LOOKUP(Z157,'Wire-Cables Ampacities'!$B$5:$B$35,'Wire-Cables Ampacities'!$C$5:$C$35)</f>
        <v>Buss</v>
      </c>
      <c r="AB157" s="64">
        <f t="shared" si="123"/>
        <v>10</v>
      </c>
      <c r="AC157" s="25">
        <f t="shared" si="124"/>
        <v>1210</v>
      </c>
      <c r="AD157" s="68" t="str">
        <f>LOOKUP(AC157,'Wire-Cables Ampacities'!$B$5:$B$35,'Wire-Cables Ampacities'!$C$5:$C$35)</f>
        <v>Buss</v>
      </c>
      <c r="AE157" s="81">
        <f t="shared" si="125"/>
        <v>9.41</v>
      </c>
      <c r="AF157" s="56">
        <f t="shared" si="109"/>
        <v>32108.256220000003</v>
      </c>
      <c r="AG157" s="72">
        <f t="shared" si="126"/>
        <v>40</v>
      </c>
      <c r="AH157" s="15">
        <f t="shared" si="126"/>
        <v>55</v>
      </c>
      <c r="AI157" s="64">
        <f t="shared" si="126"/>
        <v>20</v>
      </c>
      <c r="AJ157" s="56">
        <f t="shared" si="127"/>
        <v>1324.9279999999999</v>
      </c>
      <c r="AK157" s="271">
        <f t="shared" si="128"/>
        <v>13.249279999999999</v>
      </c>
      <c r="AL157" s="277">
        <f t="shared" si="129"/>
        <v>6.6246399999999994</v>
      </c>
      <c r="AM157" s="58">
        <v>1200</v>
      </c>
      <c r="AN157" s="25">
        <v>38</v>
      </c>
      <c r="AO157" s="3">
        <v>70</v>
      </c>
      <c r="AP157" s="3">
        <v>28</v>
      </c>
      <c r="AQ157" s="281">
        <f t="shared" si="130"/>
        <v>71.555555555555557</v>
      </c>
      <c r="AR157" s="287">
        <f t="shared" si="131"/>
        <v>30766.589553333335</v>
      </c>
      <c r="AS157" s="93"/>
      <c r="AT157" s="4"/>
    </row>
    <row r="158" spans="1:46" ht="13.5" thickBot="1">
      <c r="A158" s="253">
        <f t="shared" si="111"/>
        <v>24</v>
      </c>
      <c r="B158" s="254">
        <v>2.4500000000000002</v>
      </c>
      <c r="C158" s="258">
        <f t="shared" si="112"/>
        <v>58.800000000000004</v>
      </c>
      <c r="D158" s="259">
        <v>1200</v>
      </c>
      <c r="E158" s="258">
        <f t="shared" si="113"/>
        <v>480</v>
      </c>
      <c r="F158" s="260">
        <f t="shared" si="114"/>
        <v>134.71506281091268</v>
      </c>
      <c r="G158" s="261">
        <f t="shared" si="115"/>
        <v>12</v>
      </c>
      <c r="H158" s="297">
        <f t="shared" si="101"/>
        <v>31.186368000000005</v>
      </c>
      <c r="I158" s="264">
        <f t="shared" si="102"/>
        <v>54.016373879540197</v>
      </c>
      <c r="J158" s="265">
        <f t="shared" si="116"/>
        <v>20</v>
      </c>
      <c r="K158" s="264">
        <f t="shared" si="103"/>
        <v>1195.2</v>
      </c>
      <c r="L158" s="266">
        <f t="shared" si="104"/>
        <v>112</v>
      </c>
      <c r="M158" s="267">
        <f t="shared" si="105"/>
        <v>30</v>
      </c>
      <c r="N158" s="1061">
        <f t="shared" si="106"/>
        <v>175.1295816541865</v>
      </c>
      <c r="O158" s="259">
        <f>LOOKUP(N158,'Circuit Breakers'!$B$5:$B$38,'Circuit Breakers'!$C$5:$C$38)</f>
        <v>175</v>
      </c>
      <c r="P158" s="333">
        <f t="shared" si="107"/>
        <v>30</v>
      </c>
      <c r="Q158" s="1058">
        <f t="shared" si="117"/>
        <v>1553.7600000000002</v>
      </c>
      <c r="R158" s="1066" t="str">
        <f>LOOKUP(Q158,'Circuit Breakers'!$B$5:$B$38,'Circuit Breakers'!$C$5:$C$38)</f>
        <v>Check</v>
      </c>
      <c r="S158" s="267">
        <f t="shared" si="108"/>
        <v>30</v>
      </c>
      <c r="T158" s="264">
        <f t="shared" si="118"/>
        <v>1560</v>
      </c>
      <c r="U158" s="478" t="str">
        <f>LOOKUP(T158,'Circuit Breakers'!$B$5:$B$38,'Circuit Breakers'!$C$5:$C$38)</f>
        <v>Check</v>
      </c>
      <c r="V158" s="267">
        <f t="shared" si="119"/>
        <v>15</v>
      </c>
      <c r="W158" s="264">
        <f t="shared" si="120"/>
        <v>154.92232223254956</v>
      </c>
      <c r="X158" s="259" t="str">
        <f>LOOKUP(W158,'Wire-Cables Ampacities'!$B$5:$B$35,'Wire-Cables Ampacities'!$C$5:$C$35)</f>
        <v>#1</v>
      </c>
      <c r="Y158" s="267">
        <f t="shared" si="121"/>
        <v>10</v>
      </c>
      <c r="Z158" s="264">
        <f t="shared" si="122"/>
        <v>1314.7200000000003</v>
      </c>
      <c r="AA158" s="259" t="str">
        <f>LOOKUP(Z158,'Wire-Cables Ampacities'!$B$5:$B$35,'Wire-Cables Ampacities'!$C$5:$C$35)</f>
        <v>Buss</v>
      </c>
      <c r="AB158" s="267">
        <f t="shared" si="123"/>
        <v>10</v>
      </c>
      <c r="AC158" s="264">
        <f t="shared" si="124"/>
        <v>1320</v>
      </c>
      <c r="AD158" s="259" t="str">
        <f>LOOKUP(AC158,'Wire-Cables Ampacities'!$B$5:$B$35,'Wire-Cables Ampacities'!$C$5:$C$35)</f>
        <v>Buss</v>
      </c>
      <c r="AE158" s="270">
        <f t="shared" si="125"/>
        <v>10.24</v>
      </c>
      <c r="AF158" s="268">
        <f t="shared" si="109"/>
        <v>34940.334080000001</v>
      </c>
      <c r="AG158" s="253">
        <f t="shared" si="126"/>
        <v>40</v>
      </c>
      <c r="AH158" s="254">
        <f t="shared" si="126"/>
        <v>55</v>
      </c>
      <c r="AI158" s="267">
        <f t="shared" si="126"/>
        <v>20</v>
      </c>
      <c r="AJ158" s="268">
        <f t="shared" si="127"/>
        <v>1441.7919999999999</v>
      </c>
      <c r="AK158" s="273">
        <f t="shared" si="128"/>
        <v>14.417919999999999</v>
      </c>
      <c r="AL158" s="279">
        <f t="shared" si="129"/>
        <v>7.2089599999999994</v>
      </c>
      <c r="AM158" s="275">
        <v>1200</v>
      </c>
      <c r="AN158" s="264">
        <v>38</v>
      </c>
      <c r="AO158" s="276">
        <v>70</v>
      </c>
      <c r="AP158" s="276">
        <v>28</v>
      </c>
      <c r="AQ158" s="283">
        <f t="shared" si="130"/>
        <v>71.555555555555557</v>
      </c>
      <c r="AR158" s="289">
        <f t="shared" si="131"/>
        <v>33598.667413333336</v>
      </c>
      <c r="AS158" s="93"/>
      <c r="AT158" s="4"/>
    </row>
    <row r="160" spans="1:46" ht="13.5" thickBot="1"/>
    <row r="161" spans="1:46" ht="16.5" thickBot="1">
      <c r="A161" s="95" t="s">
        <v>77</v>
      </c>
      <c r="B161" s="96"/>
      <c r="C161" s="44"/>
      <c r="D161" s="86"/>
      <c r="E161" s="86"/>
      <c r="F161" s="86"/>
      <c r="G161" s="87"/>
      <c r="H161" s="290" t="s">
        <v>102</v>
      </c>
      <c r="I161" s="42"/>
      <c r="J161" s="51"/>
      <c r="K161" s="42"/>
      <c r="L161" s="40"/>
      <c r="M161" s="290" t="s">
        <v>83</v>
      </c>
      <c r="N161" s="42"/>
      <c r="O161" s="327"/>
      <c r="P161" s="44"/>
      <c r="Q161" s="44"/>
      <c r="R161" s="327"/>
      <c r="S161" s="44"/>
      <c r="T161" s="44"/>
      <c r="U161" s="185"/>
      <c r="V161" s="184" t="s">
        <v>84</v>
      </c>
      <c r="W161" s="44"/>
      <c r="X161" s="327"/>
      <c r="Y161" s="44"/>
      <c r="Z161" s="44"/>
      <c r="AA161" s="327"/>
      <c r="AB161" s="44"/>
      <c r="AC161" s="44"/>
      <c r="AD161" s="185"/>
      <c r="AE161" s="291" t="s">
        <v>62</v>
      </c>
      <c r="AF161" s="80"/>
      <c r="AG161" s="290" t="s">
        <v>90</v>
      </c>
      <c r="AH161" s="40"/>
      <c r="AI161" s="292" t="s">
        <v>87</v>
      </c>
      <c r="AJ161" s="90"/>
      <c r="AK161" s="90"/>
      <c r="AL161" s="49"/>
      <c r="AM161" s="189" t="s">
        <v>88</v>
      </c>
      <c r="AN161" s="90"/>
      <c r="AO161" s="90"/>
      <c r="AP161" s="90"/>
      <c r="AQ161" s="90"/>
      <c r="AR161" s="6"/>
      <c r="AS161" s="7"/>
    </row>
    <row r="162" spans="1:46" ht="13.5" thickBot="1">
      <c r="A162" s="97" t="s">
        <v>23</v>
      </c>
      <c r="B162" s="48"/>
      <c r="C162" s="189" t="s">
        <v>76</v>
      </c>
      <c r="D162" s="190"/>
      <c r="E162" s="189" t="s">
        <v>57</v>
      </c>
      <c r="F162" s="191"/>
      <c r="G162" s="192"/>
      <c r="H162" s="76"/>
      <c r="I162" s="90"/>
      <c r="J162" s="175"/>
      <c r="K162" s="90"/>
      <c r="L162" s="49"/>
      <c r="M162" s="47" t="s">
        <v>81</v>
      </c>
      <c r="N162" s="96"/>
      <c r="O162" s="192"/>
      <c r="P162" s="47" t="s">
        <v>82</v>
      </c>
      <c r="Q162" s="96"/>
      <c r="R162" s="192"/>
      <c r="S162" s="47" t="s">
        <v>80</v>
      </c>
      <c r="T162" s="96"/>
      <c r="U162" s="192"/>
      <c r="V162" s="76" t="s">
        <v>78</v>
      </c>
      <c r="W162" s="96"/>
      <c r="X162" s="190"/>
      <c r="Y162" s="76" t="s">
        <v>79</v>
      </c>
      <c r="Z162" s="96"/>
      <c r="AA162" s="190"/>
      <c r="AB162" s="47" t="s">
        <v>80</v>
      </c>
      <c r="AC162" s="96"/>
      <c r="AD162" s="190"/>
      <c r="AE162" s="176"/>
      <c r="AF162" s="177"/>
      <c r="AG162" s="205" t="s">
        <v>94</v>
      </c>
      <c r="AH162" s="179" t="s">
        <v>95</v>
      </c>
      <c r="AI162" s="178"/>
      <c r="AJ162" s="198"/>
      <c r="AK162" s="206" t="s">
        <v>66</v>
      </c>
      <c r="AL162" s="198" t="s">
        <v>66</v>
      </c>
      <c r="AM162" s="47" t="s">
        <v>68</v>
      </c>
      <c r="AN162" s="90"/>
      <c r="AO162" s="90"/>
      <c r="AP162" s="90"/>
      <c r="AQ162" s="49"/>
      <c r="AR162" s="80"/>
      <c r="AS162" s="7"/>
    </row>
    <row r="163" spans="1:46">
      <c r="A163" s="65">
        <v>72</v>
      </c>
      <c r="B163" s="67" t="s">
        <v>92</v>
      </c>
      <c r="C163" s="65" t="s">
        <v>93</v>
      </c>
      <c r="D163" s="67" t="s">
        <v>16</v>
      </c>
      <c r="E163" s="65" t="s">
        <v>54</v>
      </c>
      <c r="F163" s="18" t="s">
        <v>58</v>
      </c>
      <c r="G163" s="1234" t="s">
        <v>55</v>
      </c>
      <c r="H163" s="65" t="s">
        <v>50</v>
      </c>
      <c r="I163" s="18" t="s">
        <v>51</v>
      </c>
      <c r="J163" s="310" t="s">
        <v>56</v>
      </c>
      <c r="K163" s="18" t="s">
        <v>28</v>
      </c>
      <c r="L163" s="156" t="s">
        <v>29</v>
      </c>
      <c r="M163" s="1077">
        <v>30</v>
      </c>
      <c r="N163" s="1078" t="s">
        <v>60</v>
      </c>
      <c r="O163" s="1079" t="s">
        <v>361</v>
      </c>
      <c r="P163" s="1077">
        <v>30</v>
      </c>
      <c r="Q163" s="1078" t="s">
        <v>60</v>
      </c>
      <c r="R163" s="1079" t="s">
        <v>361</v>
      </c>
      <c r="S163" s="1077">
        <v>30</v>
      </c>
      <c r="T163" s="1078"/>
      <c r="U163" s="1079" t="s">
        <v>60</v>
      </c>
      <c r="V163" s="171">
        <v>15</v>
      </c>
      <c r="W163" s="139" t="s">
        <v>60</v>
      </c>
      <c r="X163" s="1173" t="s">
        <v>85</v>
      </c>
      <c r="Y163" s="171">
        <v>10</v>
      </c>
      <c r="Z163" s="139" t="s">
        <v>60</v>
      </c>
      <c r="AA163" s="1173" t="s">
        <v>85</v>
      </c>
      <c r="AB163" s="171">
        <v>10</v>
      </c>
      <c r="AC163" s="139" t="s">
        <v>60</v>
      </c>
      <c r="AD163" s="1131" t="s">
        <v>85</v>
      </c>
      <c r="AE163" s="77"/>
      <c r="AF163" s="204"/>
      <c r="AG163" s="70">
        <v>40</v>
      </c>
      <c r="AH163" s="19">
        <v>55</v>
      </c>
      <c r="AI163" s="337">
        <v>20</v>
      </c>
      <c r="AJ163" s="71" t="s">
        <v>64</v>
      </c>
      <c r="AK163" s="79">
        <v>100</v>
      </c>
      <c r="AL163" s="19">
        <v>200</v>
      </c>
      <c r="AM163" s="284" t="s">
        <v>91</v>
      </c>
      <c r="AN163" s="18" t="s">
        <v>69</v>
      </c>
      <c r="AO163" s="18" t="s">
        <v>70</v>
      </c>
      <c r="AP163" s="18" t="s">
        <v>71</v>
      </c>
      <c r="AQ163" s="19" t="s">
        <v>73</v>
      </c>
      <c r="AR163" s="285" t="s">
        <v>64</v>
      </c>
      <c r="AS163" s="92"/>
    </row>
    <row r="164" spans="1:46" ht="13.5" thickBot="1">
      <c r="A164" s="187" t="s">
        <v>24</v>
      </c>
      <c r="B164" s="188" t="s">
        <v>53</v>
      </c>
      <c r="C164" s="306" t="s">
        <v>53</v>
      </c>
      <c r="D164" s="255" t="s">
        <v>22</v>
      </c>
      <c r="E164" s="187" t="s">
        <v>53</v>
      </c>
      <c r="F164" s="16" t="s">
        <v>22</v>
      </c>
      <c r="G164" s="311">
        <v>12</v>
      </c>
      <c r="H164" s="187" t="s">
        <v>42</v>
      </c>
      <c r="I164" s="16" t="s">
        <v>42</v>
      </c>
      <c r="J164" s="298">
        <v>20</v>
      </c>
      <c r="K164" s="16" t="s">
        <v>43</v>
      </c>
      <c r="L164" s="195" t="s">
        <v>44</v>
      </c>
      <c r="M164" s="298" t="s">
        <v>59</v>
      </c>
      <c r="N164" s="1055" t="s">
        <v>22</v>
      </c>
      <c r="O164" s="188" t="s">
        <v>22</v>
      </c>
      <c r="P164" s="298" t="s">
        <v>59</v>
      </c>
      <c r="Q164" s="1055" t="s">
        <v>22</v>
      </c>
      <c r="R164" s="188" t="s">
        <v>22</v>
      </c>
      <c r="S164" s="299" t="s">
        <v>59</v>
      </c>
      <c r="T164" s="1055" t="s">
        <v>22</v>
      </c>
      <c r="U164" s="188" t="s">
        <v>22</v>
      </c>
      <c r="V164" s="298" t="s">
        <v>59</v>
      </c>
      <c r="W164" s="16" t="s">
        <v>22</v>
      </c>
      <c r="X164" s="188" t="s">
        <v>86</v>
      </c>
      <c r="Y164" s="298" t="s">
        <v>59</v>
      </c>
      <c r="Z164" s="16" t="s">
        <v>22</v>
      </c>
      <c r="AA164" s="188" t="s">
        <v>86</v>
      </c>
      <c r="AB164" s="298" t="s">
        <v>59</v>
      </c>
      <c r="AC164" s="16" t="s">
        <v>22</v>
      </c>
      <c r="AD164" s="188" t="s">
        <v>86</v>
      </c>
      <c r="AE164" s="75" t="s">
        <v>63</v>
      </c>
      <c r="AF164" s="202" t="s">
        <v>67</v>
      </c>
      <c r="AG164" s="75" t="s">
        <v>61</v>
      </c>
      <c r="AH164" s="17" t="s">
        <v>61</v>
      </c>
      <c r="AI164" s="298" t="s">
        <v>59</v>
      </c>
      <c r="AJ164" s="17" t="s">
        <v>65</v>
      </c>
      <c r="AK164" s="207" t="s">
        <v>89</v>
      </c>
      <c r="AL164" s="17" t="s">
        <v>89</v>
      </c>
      <c r="AM164" s="75" t="s">
        <v>72</v>
      </c>
      <c r="AN164" s="16" t="s">
        <v>74</v>
      </c>
      <c r="AO164" s="16" t="s">
        <v>74</v>
      </c>
      <c r="AP164" s="16" t="s">
        <v>74</v>
      </c>
      <c r="AQ164" s="17" t="s">
        <v>75</v>
      </c>
      <c r="AR164" s="200" t="s">
        <v>67</v>
      </c>
      <c r="AS164" s="46"/>
    </row>
    <row r="165" spans="1:46">
      <c r="A165" s="70"/>
      <c r="B165" s="19"/>
      <c r="C165" s="65"/>
      <c r="D165" s="67"/>
      <c r="E165" s="65"/>
      <c r="F165" s="18"/>
      <c r="G165" s="19"/>
      <c r="H165" s="65"/>
      <c r="I165" s="18"/>
      <c r="J165" s="73"/>
      <c r="K165" s="18"/>
      <c r="L165" s="156"/>
      <c r="M165" s="54"/>
      <c r="N165" s="1049"/>
      <c r="O165" s="67"/>
      <c r="P165" s="203"/>
      <c r="Q165" s="1049"/>
      <c r="R165" s="1063"/>
      <c r="S165" s="54"/>
      <c r="T165" s="1059"/>
      <c r="U165" s="67"/>
      <c r="V165" s="54"/>
      <c r="W165" s="269"/>
      <c r="X165" s="156"/>
      <c r="Y165" s="54"/>
      <c r="Z165" s="269"/>
      <c r="AA165" s="156"/>
      <c r="AB165" s="54"/>
      <c r="AC165" s="269"/>
      <c r="AD165" s="156"/>
      <c r="AE165" s="70"/>
      <c r="AF165" s="19"/>
      <c r="AG165" s="70"/>
      <c r="AH165" s="19"/>
      <c r="AI165" s="54"/>
      <c r="AJ165" s="19"/>
      <c r="AK165" s="70"/>
      <c r="AL165" s="197"/>
      <c r="AM165" s="70"/>
      <c r="AN165" s="18"/>
      <c r="AO165" s="18"/>
      <c r="AP165" s="18"/>
      <c r="AQ165" s="19"/>
      <c r="AR165" s="286"/>
      <c r="AS165" s="7"/>
    </row>
    <row r="166" spans="1:46">
      <c r="A166" s="72">
        <f>A$163/2</f>
        <v>36</v>
      </c>
      <c r="B166" s="15">
        <v>2.4500000000000002</v>
      </c>
      <c r="C166" s="66">
        <f>A166*B166</f>
        <v>88.2</v>
      </c>
      <c r="D166" s="68">
        <v>5</v>
      </c>
      <c r="E166" s="66">
        <f>IF(L166*1000/120/SQRT(3)*1.5&lt;65,120,IF(L166*1000/208/SQRT(3)*1.5&lt;65,208,IF(L166*1000/240/SQRT(3)*1.5&lt;65,240,480)))</f>
        <v>120</v>
      </c>
      <c r="F166" s="45">
        <f>L166*1000/E166/SQRT(3)</f>
        <v>3.6084391824351614</v>
      </c>
      <c r="G166" s="94">
        <f>G$164</f>
        <v>12</v>
      </c>
      <c r="H166" s="295">
        <f t="shared" ref="H166:H194" si="132">IF(C166&lt;150,0.428*(1+G166/100)*C166+3,0.428*(1+G166/100)*C166)</f>
        <v>45.27955200000001</v>
      </c>
      <c r="I166" s="25">
        <f t="shared" ref="I166:I194" si="133">SQRT(3)*H166</f>
        <v>78.426484607956979</v>
      </c>
      <c r="J166" s="52">
        <f>J$164</f>
        <v>20</v>
      </c>
      <c r="K166" s="25">
        <f t="shared" ref="K166:K194" si="134">(1+J166/100)*D166*0.83</f>
        <v>4.9799999999999995</v>
      </c>
      <c r="L166" s="427">
        <f t="shared" ref="L166:L194" si="135">IF(CEILING(I166*K166*SQRT(3)/1000,0.25)&lt;10,CEILING(I166*K166*SQRT(3)/1000,0.25),IF(CEILING(I166*K166*SQRT(3)/1000,0.25)&lt;20,CEILING(I166*K166*SQRT(3)/1000,0.5),CEILING(I166*K166*SQRT(3)/1000,1)))</f>
        <v>0.75</v>
      </c>
      <c r="M166" s="55">
        <f>M$163</f>
        <v>30</v>
      </c>
      <c r="N166" s="838">
        <f t="shared" ref="N166:N194" si="136">(1+M166/100)*F166</f>
        <v>4.6909709371657096</v>
      </c>
      <c r="O166" s="68">
        <f>LOOKUP(N166,'Circuit Breakers'!$B$5:$B$38,'Circuit Breakers'!$C$5:$C$38)</f>
        <v>5</v>
      </c>
      <c r="P166" s="199">
        <f t="shared" ref="P166:P194" si="137">P$163</f>
        <v>30</v>
      </c>
      <c r="Q166" s="1056">
        <f>(1+P166/100)*K166</f>
        <v>6.4739999999999993</v>
      </c>
      <c r="R166" s="1064">
        <f>LOOKUP(Q166,'Circuit Breakers'!$B$5:$B$38,'Circuit Breakers'!$C$5:$C$38)</f>
        <v>10</v>
      </c>
      <c r="S166" s="64">
        <f t="shared" ref="S166:S194" si="138">S$163</f>
        <v>30</v>
      </c>
      <c r="T166" s="25">
        <f>(1+S166/100)*D166</f>
        <v>6.5</v>
      </c>
      <c r="U166" s="158">
        <f>LOOKUP(T166,'Circuit Breakers'!$B$5:$B$38,'Circuit Breakers'!$C$5:$C$38)</f>
        <v>10</v>
      </c>
      <c r="V166" s="55">
        <f>V$163</f>
        <v>15</v>
      </c>
      <c r="W166" s="25">
        <f>(1+V166/100)*F166</f>
        <v>4.1497050598004357</v>
      </c>
      <c r="X166" s="68" t="str">
        <f>LOOKUP(W166,'Wire-Cables Ampacities'!$B$5:$B$35,'Wire-Cables Ampacities'!$C$5:$C$35)</f>
        <v>#10</v>
      </c>
      <c r="Y166" s="55">
        <f>Y$163</f>
        <v>10</v>
      </c>
      <c r="Z166" s="25">
        <f>(1+Y166/100)*K166</f>
        <v>5.4779999999999998</v>
      </c>
      <c r="AA166" s="68" t="str">
        <f>LOOKUP(Z166,'Wire-Cables Ampacities'!$B$5:$B$35,'Wire-Cables Ampacities'!$C$5:$C$35)</f>
        <v>#10</v>
      </c>
      <c r="AB166" s="55">
        <f>AB$163</f>
        <v>10</v>
      </c>
      <c r="AC166" s="25">
        <f>(1+AB166/100)*D166</f>
        <v>5.5</v>
      </c>
      <c r="AD166" s="68" t="str">
        <f>LOOKUP(AC166,'Wire-Cables Ampacities'!$B$5:$B$35,'Wire-Cables Ampacities'!$C$5:$C$35)</f>
        <v>#10</v>
      </c>
      <c r="AE166" s="81">
        <f>(2*D166+0.07*L166*1000)/1000</f>
        <v>6.2500000000000014E-2</v>
      </c>
      <c r="AF166" s="56">
        <f t="shared" ref="AF166:AF194" si="139">AE166*3.412142*1000</f>
        <v>213.25887500000005</v>
      </c>
      <c r="AG166" s="72">
        <f>AG$163</f>
        <v>40</v>
      </c>
      <c r="AH166" s="15">
        <f>AH$163</f>
        <v>55</v>
      </c>
      <c r="AI166" s="55">
        <f>AI$163</f>
        <v>20</v>
      </c>
      <c r="AJ166" s="56">
        <f>1760*AE166/(AH166-AG166)*(1+AI166/100)</f>
        <v>8.8000000000000007</v>
      </c>
      <c r="AK166" s="271">
        <f>AJ166/AK$19</f>
        <v>8.8000000000000009E-2</v>
      </c>
      <c r="AL166" s="277">
        <f>AJ166/AL$19</f>
        <v>4.4000000000000004E-2</v>
      </c>
      <c r="AM166" s="58">
        <v>450</v>
      </c>
      <c r="AN166" s="25">
        <v>24</v>
      </c>
      <c r="AO166" s="3">
        <v>30</v>
      </c>
      <c r="AP166" s="3">
        <v>16</v>
      </c>
      <c r="AQ166" s="281">
        <f>((2*AO166*AN166)+2*(AO166*AP166)+(AN166*AP166))/144</f>
        <v>19.333333333333332</v>
      </c>
      <c r="AR166" s="287">
        <f t="shared" ref="AR166:AR182" si="140">AF166+(1.25*AQ166*(AG166-AH166))</f>
        <v>-149.2411249999999</v>
      </c>
      <c r="AS166" s="93"/>
      <c r="AT166" s="4"/>
    </row>
    <row r="167" spans="1:46">
      <c r="A167" s="98">
        <f t="shared" ref="A167:A194" si="141">A$163/2</f>
        <v>36</v>
      </c>
      <c r="B167" s="99">
        <v>2.4500000000000002</v>
      </c>
      <c r="C167" s="100">
        <f t="shared" ref="C167:C194" si="142">A167*B167</f>
        <v>88.2</v>
      </c>
      <c r="D167" s="101">
        <v>10</v>
      </c>
      <c r="E167" s="100">
        <f t="shared" ref="E167:E194" si="143">IF(L167*1000/120/SQRT(3)*1.5&lt;65,120,IF(L167*1000/208/SQRT(3)*1.5&lt;65,208,IF(L167*1000/240/SQRT(3)*1.5&lt;65,240,480)))</f>
        <v>120</v>
      </c>
      <c r="F167" s="102">
        <f t="shared" ref="F167:F194" si="144">L167*1000/E167/SQRT(3)</f>
        <v>7.2168783648703227</v>
      </c>
      <c r="G167" s="103">
        <f t="shared" ref="G167:G194" si="145">G$164</f>
        <v>12</v>
      </c>
      <c r="H167" s="296">
        <f t="shared" si="132"/>
        <v>45.27955200000001</v>
      </c>
      <c r="I167" s="104">
        <f t="shared" si="133"/>
        <v>78.426484607956979</v>
      </c>
      <c r="J167" s="180">
        <f t="shared" ref="J167:J194" si="146">J$164</f>
        <v>20</v>
      </c>
      <c r="K167" s="104">
        <f t="shared" si="134"/>
        <v>9.9599999999999991</v>
      </c>
      <c r="L167" s="428">
        <f t="shared" si="135"/>
        <v>1.5</v>
      </c>
      <c r="M167" s="106">
        <f t="shared" ref="M167:M194" si="147">M$163</f>
        <v>30</v>
      </c>
      <c r="N167" s="1060">
        <f t="shared" si="136"/>
        <v>9.3819418743314191</v>
      </c>
      <c r="O167" s="101">
        <f>LOOKUP(N167,'Circuit Breakers'!$B$5:$B$38,'Circuit Breakers'!$C$5:$C$38)</f>
        <v>10</v>
      </c>
      <c r="P167" s="262">
        <f t="shared" si="137"/>
        <v>30</v>
      </c>
      <c r="Q167" s="1057">
        <f t="shared" ref="Q167:Q194" si="148">(1+P167/100)*K167</f>
        <v>12.947999999999999</v>
      </c>
      <c r="R167" s="1065">
        <f>LOOKUP(Q167,'Circuit Breakers'!$B$5:$B$38,'Circuit Breakers'!$C$5:$C$38)</f>
        <v>15</v>
      </c>
      <c r="S167" s="106">
        <f t="shared" si="138"/>
        <v>30</v>
      </c>
      <c r="T167" s="104">
        <f t="shared" ref="T167:T194" si="149">(1+S167/100)*D167</f>
        <v>13</v>
      </c>
      <c r="U167" s="477">
        <f>LOOKUP(T167,'Circuit Breakers'!$B$5:$B$38,'Circuit Breakers'!$C$5:$C$38)</f>
        <v>15</v>
      </c>
      <c r="V167" s="106">
        <f t="shared" ref="V167:V194" si="150">V$163</f>
        <v>15</v>
      </c>
      <c r="W167" s="104">
        <f t="shared" ref="W167:W194" si="151">(1+V167/100)*F167</f>
        <v>8.2994101196008714</v>
      </c>
      <c r="X167" s="101" t="str">
        <f>LOOKUP(W167,'Wire-Cables Ampacities'!$B$5:$B$35,'Wire-Cables Ampacities'!$C$5:$C$35)</f>
        <v>#10</v>
      </c>
      <c r="Y167" s="106">
        <f t="shared" ref="Y167:Y194" si="152">Y$163</f>
        <v>10</v>
      </c>
      <c r="Z167" s="104">
        <f t="shared" ref="Z167:Z194" si="153">(1+Y167/100)*K167</f>
        <v>10.956</v>
      </c>
      <c r="AA167" s="101" t="str">
        <f>LOOKUP(Z167,'Wire-Cables Ampacities'!$B$5:$B$35,'Wire-Cables Ampacities'!$C$5:$C$35)</f>
        <v>#10</v>
      </c>
      <c r="AB167" s="106">
        <f t="shared" ref="AB167:AB194" si="154">AB$163</f>
        <v>10</v>
      </c>
      <c r="AC167" s="104">
        <f t="shared" ref="AC167:AC194" si="155">(1+AB167/100)*D167</f>
        <v>11</v>
      </c>
      <c r="AD167" s="101" t="str">
        <f>LOOKUP(AC167,'Wire-Cables Ampacities'!$B$5:$B$35,'Wire-Cables Ampacities'!$C$5:$C$35)</f>
        <v>#10</v>
      </c>
      <c r="AE167" s="107">
        <f t="shared" ref="AE167:AE194" si="156">(2*D167+0.07*L167*1000)/1000</f>
        <v>0.12500000000000003</v>
      </c>
      <c r="AF167" s="105">
        <f t="shared" si="139"/>
        <v>426.51775000000009</v>
      </c>
      <c r="AG167" s="98">
        <f t="shared" ref="AG167:AI194" si="157">AG$163</f>
        <v>40</v>
      </c>
      <c r="AH167" s="99">
        <f t="shared" si="157"/>
        <v>55</v>
      </c>
      <c r="AI167" s="106">
        <f t="shared" si="157"/>
        <v>20</v>
      </c>
      <c r="AJ167" s="105">
        <f t="shared" ref="AJ167:AJ194" si="158">1760*AE167/(AH167-AG167)*(1+AI167/100)</f>
        <v>17.600000000000001</v>
      </c>
      <c r="AK167" s="272">
        <f t="shared" ref="AK167:AK194" si="159">AJ167/AK$19</f>
        <v>0.17600000000000002</v>
      </c>
      <c r="AL167" s="278">
        <f t="shared" ref="AL167:AL194" si="160">AJ167/AL$19</f>
        <v>8.8000000000000009E-2</v>
      </c>
      <c r="AM167" s="109">
        <v>450</v>
      </c>
      <c r="AN167" s="104">
        <v>24</v>
      </c>
      <c r="AO167" s="110">
        <v>30</v>
      </c>
      <c r="AP167" s="110">
        <v>16</v>
      </c>
      <c r="AQ167" s="282">
        <f t="shared" ref="AQ167:AQ194" si="161">((2*AO167*AN167)+2*(AO167*AP167)+(AN167*AP167))/144</f>
        <v>19.333333333333332</v>
      </c>
      <c r="AR167" s="288">
        <f t="shared" si="140"/>
        <v>64.017750000000149</v>
      </c>
      <c r="AS167" s="93"/>
      <c r="AT167" s="4"/>
    </row>
    <row r="168" spans="1:46">
      <c r="A168" s="72">
        <f t="shared" si="141"/>
        <v>36</v>
      </c>
      <c r="B168" s="15">
        <v>2.4500000000000002</v>
      </c>
      <c r="C168" s="66">
        <f t="shared" si="142"/>
        <v>88.2</v>
      </c>
      <c r="D168" s="68">
        <v>15</v>
      </c>
      <c r="E168" s="66">
        <f t="shared" si="143"/>
        <v>120</v>
      </c>
      <c r="F168" s="45">
        <f t="shared" si="144"/>
        <v>10.825317547305485</v>
      </c>
      <c r="G168" s="94">
        <f t="shared" si="145"/>
        <v>12</v>
      </c>
      <c r="H168" s="295">
        <f t="shared" si="132"/>
        <v>45.27955200000001</v>
      </c>
      <c r="I168" s="25">
        <f t="shared" si="133"/>
        <v>78.426484607956979</v>
      </c>
      <c r="J168" s="52">
        <f t="shared" si="146"/>
        <v>20</v>
      </c>
      <c r="K168" s="25">
        <f t="shared" si="134"/>
        <v>14.94</v>
      </c>
      <c r="L168" s="427">
        <f t="shared" si="135"/>
        <v>2.25</v>
      </c>
      <c r="M168" s="64">
        <f t="shared" si="147"/>
        <v>30</v>
      </c>
      <c r="N168" s="838">
        <f t="shared" si="136"/>
        <v>14.07291281149713</v>
      </c>
      <c r="O168" s="68">
        <f>LOOKUP(N168,'Circuit Breakers'!$B$5:$B$38,'Circuit Breakers'!$C$5:$C$38)</f>
        <v>15</v>
      </c>
      <c r="P168" s="199">
        <f t="shared" si="137"/>
        <v>30</v>
      </c>
      <c r="Q168" s="1056">
        <f t="shared" si="148"/>
        <v>19.422000000000001</v>
      </c>
      <c r="R168" s="1064">
        <f>LOOKUP(Q168,'Circuit Breakers'!$B$5:$B$38,'Circuit Breakers'!$C$5:$C$38)</f>
        <v>20</v>
      </c>
      <c r="S168" s="64">
        <f t="shared" si="138"/>
        <v>30</v>
      </c>
      <c r="T168" s="25">
        <f t="shared" si="149"/>
        <v>19.5</v>
      </c>
      <c r="U168" s="158">
        <f>LOOKUP(T168,'Circuit Breakers'!$B$5:$B$38,'Circuit Breakers'!$C$5:$C$38)</f>
        <v>20</v>
      </c>
      <c r="V168" s="64">
        <f t="shared" si="150"/>
        <v>15</v>
      </c>
      <c r="W168" s="25">
        <f t="shared" si="151"/>
        <v>12.449115179401307</v>
      </c>
      <c r="X168" s="68" t="str">
        <f>LOOKUP(W168,'Wire-Cables Ampacities'!$B$5:$B$35,'Wire-Cables Ampacities'!$C$5:$C$35)</f>
        <v>#10</v>
      </c>
      <c r="Y168" s="64">
        <f t="shared" si="152"/>
        <v>10</v>
      </c>
      <c r="Z168" s="25">
        <f t="shared" si="153"/>
        <v>16.434000000000001</v>
      </c>
      <c r="AA168" s="68" t="str">
        <f>LOOKUP(Z168,'Wire-Cables Ampacities'!$B$5:$B$35,'Wire-Cables Ampacities'!$C$5:$C$35)</f>
        <v>#10</v>
      </c>
      <c r="AB168" s="64">
        <f t="shared" si="154"/>
        <v>10</v>
      </c>
      <c r="AC168" s="25">
        <f t="shared" si="155"/>
        <v>16.5</v>
      </c>
      <c r="AD168" s="68" t="str">
        <f>LOOKUP(AC168,'Wire-Cables Ampacities'!$B$5:$B$35,'Wire-Cables Ampacities'!$C$5:$C$35)</f>
        <v>#10</v>
      </c>
      <c r="AE168" s="81">
        <f t="shared" si="156"/>
        <v>0.18750000000000003</v>
      </c>
      <c r="AF168" s="56">
        <f t="shared" si="139"/>
        <v>639.77662500000008</v>
      </c>
      <c r="AG168" s="72">
        <f t="shared" si="157"/>
        <v>40</v>
      </c>
      <c r="AH168" s="15">
        <f t="shared" si="157"/>
        <v>55</v>
      </c>
      <c r="AI168" s="64">
        <f t="shared" si="157"/>
        <v>20</v>
      </c>
      <c r="AJ168" s="56">
        <f t="shared" si="158"/>
        <v>26.400000000000002</v>
      </c>
      <c r="AK168" s="271">
        <f t="shared" si="159"/>
        <v>0.26400000000000001</v>
      </c>
      <c r="AL168" s="277">
        <f t="shared" si="160"/>
        <v>0.13200000000000001</v>
      </c>
      <c r="AM168" s="58">
        <v>600</v>
      </c>
      <c r="AN168" s="25">
        <v>24</v>
      </c>
      <c r="AO168" s="3">
        <v>48</v>
      </c>
      <c r="AP168" s="3">
        <v>16</v>
      </c>
      <c r="AQ168" s="281">
        <f t="shared" si="161"/>
        <v>29.333333333333332</v>
      </c>
      <c r="AR168" s="287">
        <f t="shared" si="140"/>
        <v>89.776625000000081</v>
      </c>
      <c r="AS168" s="93"/>
      <c r="AT168" s="4"/>
    </row>
    <row r="169" spans="1:46">
      <c r="A169" s="72">
        <f t="shared" si="141"/>
        <v>36</v>
      </c>
      <c r="B169" s="15">
        <v>2.4500000000000002</v>
      </c>
      <c r="C169" s="66">
        <f t="shared" si="142"/>
        <v>88.2</v>
      </c>
      <c r="D169" s="68">
        <v>20</v>
      </c>
      <c r="E169" s="66">
        <f t="shared" si="143"/>
        <v>120</v>
      </c>
      <c r="F169" s="45">
        <f t="shared" si="144"/>
        <v>13.230943668928925</v>
      </c>
      <c r="G169" s="94">
        <f t="shared" si="145"/>
        <v>12</v>
      </c>
      <c r="H169" s="295">
        <f t="shared" si="132"/>
        <v>45.27955200000001</v>
      </c>
      <c r="I169" s="25">
        <f t="shared" si="133"/>
        <v>78.426484607956979</v>
      </c>
      <c r="J169" s="52">
        <f t="shared" si="146"/>
        <v>20</v>
      </c>
      <c r="K169" s="25">
        <f t="shared" si="134"/>
        <v>19.919999999999998</v>
      </c>
      <c r="L169" s="427">
        <f t="shared" si="135"/>
        <v>2.75</v>
      </c>
      <c r="M169" s="55">
        <f t="shared" si="147"/>
        <v>30</v>
      </c>
      <c r="N169" s="838">
        <f t="shared" si="136"/>
        <v>17.200226769607603</v>
      </c>
      <c r="O169" s="68">
        <f>LOOKUP(N169,'Circuit Breakers'!$B$5:$B$38,'Circuit Breakers'!$C$5:$C$38)</f>
        <v>20</v>
      </c>
      <c r="P169" s="199">
        <f t="shared" si="137"/>
        <v>30</v>
      </c>
      <c r="Q169" s="1056">
        <f t="shared" si="148"/>
        <v>25.895999999999997</v>
      </c>
      <c r="R169" s="1064">
        <f>LOOKUP(Q169,'Circuit Breakers'!$B$5:$B$38,'Circuit Breakers'!$C$5:$C$38)</f>
        <v>30</v>
      </c>
      <c r="S169" s="64">
        <f t="shared" si="138"/>
        <v>30</v>
      </c>
      <c r="T169" s="25">
        <f t="shared" si="149"/>
        <v>26</v>
      </c>
      <c r="U169" s="158">
        <f>LOOKUP(T169,'Circuit Breakers'!$B$5:$B$38,'Circuit Breakers'!$C$5:$C$38)</f>
        <v>30</v>
      </c>
      <c r="V169" s="64">
        <f t="shared" si="150"/>
        <v>15</v>
      </c>
      <c r="W169" s="25">
        <f t="shared" si="151"/>
        <v>15.215585219268261</v>
      </c>
      <c r="X169" s="68" t="str">
        <f>LOOKUP(W169,'Wire-Cables Ampacities'!$B$5:$B$35,'Wire-Cables Ampacities'!$C$5:$C$35)</f>
        <v>#10</v>
      </c>
      <c r="Y169" s="64">
        <f t="shared" si="152"/>
        <v>10</v>
      </c>
      <c r="Z169" s="25">
        <f t="shared" si="153"/>
        <v>21.911999999999999</v>
      </c>
      <c r="AA169" s="68" t="str">
        <f>LOOKUP(Z169,'Wire-Cables Ampacities'!$B$5:$B$35,'Wire-Cables Ampacities'!$C$5:$C$35)</f>
        <v>#10</v>
      </c>
      <c r="AB169" s="64">
        <f t="shared" si="154"/>
        <v>10</v>
      </c>
      <c r="AC169" s="25">
        <f t="shared" si="155"/>
        <v>22</v>
      </c>
      <c r="AD169" s="68" t="str">
        <f>LOOKUP(AC169,'Wire-Cables Ampacities'!$B$5:$B$35,'Wire-Cables Ampacities'!$C$5:$C$35)</f>
        <v>#10</v>
      </c>
      <c r="AE169" s="81">
        <f t="shared" si="156"/>
        <v>0.23250000000000001</v>
      </c>
      <c r="AF169" s="56">
        <f t="shared" si="139"/>
        <v>793.32301500000005</v>
      </c>
      <c r="AG169" s="72">
        <f t="shared" si="157"/>
        <v>40</v>
      </c>
      <c r="AH169" s="15">
        <f t="shared" si="157"/>
        <v>55</v>
      </c>
      <c r="AI169" s="64">
        <f t="shared" si="157"/>
        <v>20</v>
      </c>
      <c r="AJ169" s="56">
        <f t="shared" si="158"/>
        <v>32.736000000000004</v>
      </c>
      <c r="AK169" s="271">
        <f t="shared" si="159"/>
        <v>0.32736000000000004</v>
      </c>
      <c r="AL169" s="277">
        <f t="shared" si="160"/>
        <v>0.16368000000000002</v>
      </c>
      <c r="AM169" s="58">
        <v>600</v>
      </c>
      <c r="AN169" s="25">
        <v>24</v>
      </c>
      <c r="AO169" s="3">
        <v>48</v>
      </c>
      <c r="AP169" s="3">
        <v>16</v>
      </c>
      <c r="AQ169" s="281">
        <f t="shared" si="161"/>
        <v>29.333333333333332</v>
      </c>
      <c r="AR169" s="287">
        <f t="shared" si="140"/>
        <v>243.32301500000005</v>
      </c>
      <c r="AS169" s="93"/>
      <c r="AT169" s="4"/>
    </row>
    <row r="170" spans="1:46">
      <c r="A170" s="98">
        <f t="shared" si="141"/>
        <v>36</v>
      </c>
      <c r="B170" s="99">
        <v>2.4500000000000002</v>
      </c>
      <c r="C170" s="100">
        <f t="shared" si="142"/>
        <v>88.2</v>
      </c>
      <c r="D170" s="101">
        <v>25</v>
      </c>
      <c r="E170" s="100">
        <f t="shared" si="143"/>
        <v>120</v>
      </c>
      <c r="F170" s="102">
        <f t="shared" si="144"/>
        <v>16.839382851364086</v>
      </c>
      <c r="G170" s="103">
        <f t="shared" si="145"/>
        <v>12</v>
      </c>
      <c r="H170" s="296">
        <f t="shared" si="132"/>
        <v>45.27955200000001</v>
      </c>
      <c r="I170" s="104">
        <f t="shared" si="133"/>
        <v>78.426484607956979</v>
      </c>
      <c r="J170" s="180">
        <f t="shared" si="146"/>
        <v>20</v>
      </c>
      <c r="K170" s="104">
        <f t="shared" si="134"/>
        <v>24.9</v>
      </c>
      <c r="L170" s="428">
        <f t="shared" si="135"/>
        <v>3.5</v>
      </c>
      <c r="M170" s="106">
        <f t="shared" si="147"/>
        <v>30</v>
      </c>
      <c r="N170" s="1060">
        <f t="shared" si="136"/>
        <v>21.891197706773312</v>
      </c>
      <c r="O170" s="101">
        <f>LOOKUP(N170,'Circuit Breakers'!$B$5:$B$38,'Circuit Breakers'!$C$5:$C$38)</f>
        <v>25</v>
      </c>
      <c r="P170" s="262">
        <f t="shared" si="137"/>
        <v>30</v>
      </c>
      <c r="Q170" s="1057">
        <f t="shared" si="148"/>
        <v>32.369999999999997</v>
      </c>
      <c r="R170" s="1065">
        <f>LOOKUP(Q170,'Circuit Breakers'!$B$5:$B$38,'Circuit Breakers'!$C$5:$C$38)</f>
        <v>40</v>
      </c>
      <c r="S170" s="106">
        <f t="shared" si="138"/>
        <v>30</v>
      </c>
      <c r="T170" s="104">
        <f t="shared" si="149"/>
        <v>32.5</v>
      </c>
      <c r="U170" s="477">
        <f>LOOKUP(T170,'Circuit Breakers'!$B$5:$B$38,'Circuit Breakers'!$C$5:$C$38)</f>
        <v>40</v>
      </c>
      <c r="V170" s="106">
        <f t="shared" si="150"/>
        <v>15</v>
      </c>
      <c r="W170" s="104">
        <f t="shared" si="151"/>
        <v>19.365290279068695</v>
      </c>
      <c r="X170" s="101" t="str">
        <f>LOOKUP(W170,'Wire-Cables Ampacities'!$B$5:$B$35,'Wire-Cables Ampacities'!$C$5:$C$35)</f>
        <v>#10</v>
      </c>
      <c r="Y170" s="106">
        <f t="shared" si="152"/>
        <v>10</v>
      </c>
      <c r="Z170" s="104">
        <f t="shared" si="153"/>
        <v>27.39</v>
      </c>
      <c r="AA170" s="101" t="str">
        <f>LOOKUP(Z170,'Wire-Cables Ampacities'!$B$5:$B$35,'Wire-Cables Ampacities'!$C$5:$C$35)</f>
        <v>#10</v>
      </c>
      <c r="AB170" s="106">
        <f t="shared" si="154"/>
        <v>10</v>
      </c>
      <c r="AC170" s="104">
        <f t="shared" si="155"/>
        <v>27.500000000000004</v>
      </c>
      <c r="AD170" s="101" t="str">
        <f>LOOKUP(AC170,'Wire-Cables Ampacities'!$B$5:$B$35,'Wire-Cables Ampacities'!$C$5:$C$35)</f>
        <v>#10</v>
      </c>
      <c r="AE170" s="107">
        <f t="shared" si="156"/>
        <v>0.29499999999999998</v>
      </c>
      <c r="AF170" s="105">
        <f t="shared" si="139"/>
        <v>1006.5818899999998</v>
      </c>
      <c r="AG170" s="98">
        <f t="shared" si="157"/>
        <v>40</v>
      </c>
      <c r="AH170" s="99">
        <f t="shared" si="157"/>
        <v>55</v>
      </c>
      <c r="AI170" s="106">
        <f t="shared" si="157"/>
        <v>20</v>
      </c>
      <c r="AJ170" s="105">
        <f t="shared" si="158"/>
        <v>41.535999999999994</v>
      </c>
      <c r="AK170" s="272">
        <f t="shared" si="159"/>
        <v>0.41535999999999995</v>
      </c>
      <c r="AL170" s="278">
        <f t="shared" si="160"/>
        <v>0.20767999999999998</v>
      </c>
      <c r="AM170" s="109">
        <v>600</v>
      </c>
      <c r="AN170" s="104">
        <v>24</v>
      </c>
      <c r="AO170" s="110">
        <v>48</v>
      </c>
      <c r="AP170" s="110">
        <v>16</v>
      </c>
      <c r="AQ170" s="282">
        <f t="shared" si="161"/>
        <v>29.333333333333332</v>
      </c>
      <c r="AR170" s="288">
        <f t="shared" si="140"/>
        <v>456.58188999999982</v>
      </c>
      <c r="AS170" s="93"/>
      <c r="AT170" s="4"/>
    </row>
    <row r="171" spans="1:46">
      <c r="A171" s="72">
        <f t="shared" si="141"/>
        <v>36</v>
      </c>
      <c r="B171" s="15">
        <v>2.4500000000000002</v>
      </c>
      <c r="C171" s="66">
        <f t="shared" si="142"/>
        <v>88.2</v>
      </c>
      <c r="D171" s="68">
        <v>30</v>
      </c>
      <c r="E171" s="66">
        <f t="shared" si="143"/>
        <v>120</v>
      </c>
      <c r="F171" s="45">
        <f t="shared" si="144"/>
        <v>20.447822033799245</v>
      </c>
      <c r="G171" s="94">
        <f t="shared" si="145"/>
        <v>12</v>
      </c>
      <c r="H171" s="295">
        <f t="shared" si="132"/>
        <v>45.27955200000001</v>
      </c>
      <c r="I171" s="25">
        <f t="shared" si="133"/>
        <v>78.426484607956979</v>
      </c>
      <c r="J171" s="52">
        <f t="shared" si="146"/>
        <v>20</v>
      </c>
      <c r="K171" s="25">
        <f t="shared" si="134"/>
        <v>29.88</v>
      </c>
      <c r="L171" s="427">
        <f t="shared" si="135"/>
        <v>4.25</v>
      </c>
      <c r="M171" s="64">
        <f t="shared" si="147"/>
        <v>30</v>
      </c>
      <c r="N171" s="838">
        <f t="shared" si="136"/>
        <v>26.582168643939021</v>
      </c>
      <c r="O171" s="68">
        <f>LOOKUP(N171,'Circuit Breakers'!$B$5:$B$38,'Circuit Breakers'!$C$5:$C$38)</f>
        <v>30</v>
      </c>
      <c r="P171" s="199">
        <f t="shared" si="137"/>
        <v>30</v>
      </c>
      <c r="Q171" s="1056">
        <f t="shared" si="148"/>
        <v>38.844000000000001</v>
      </c>
      <c r="R171" s="1064">
        <f>LOOKUP(Q171,'Circuit Breakers'!$B$5:$B$38,'Circuit Breakers'!$C$5:$C$38)</f>
        <v>40</v>
      </c>
      <c r="S171" s="64">
        <f t="shared" si="138"/>
        <v>30</v>
      </c>
      <c r="T171" s="25">
        <f t="shared" si="149"/>
        <v>39</v>
      </c>
      <c r="U171" s="158">
        <f>LOOKUP(T171,'Circuit Breakers'!$B$5:$B$38,'Circuit Breakers'!$C$5:$C$38)</f>
        <v>40</v>
      </c>
      <c r="V171" s="64">
        <f t="shared" si="150"/>
        <v>15</v>
      </c>
      <c r="W171" s="25">
        <f t="shared" si="151"/>
        <v>23.514995338869131</v>
      </c>
      <c r="X171" s="68" t="str">
        <f>LOOKUP(W171,'Wire-Cables Ampacities'!$B$5:$B$35,'Wire-Cables Ampacities'!$C$5:$C$35)</f>
        <v>#10</v>
      </c>
      <c r="Y171" s="64">
        <f t="shared" si="152"/>
        <v>10</v>
      </c>
      <c r="Z171" s="25">
        <f t="shared" si="153"/>
        <v>32.868000000000002</v>
      </c>
      <c r="AA171" s="68" t="str">
        <f>LOOKUP(Z171,'Wire-Cables Ampacities'!$B$5:$B$35,'Wire-Cables Ampacities'!$C$5:$C$35)</f>
        <v>#10</v>
      </c>
      <c r="AB171" s="64">
        <f t="shared" si="154"/>
        <v>10</v>
      </c>
      <c r="AC171" s="25">
        <f t="shared" si="155"/>
        <v>33</v>
      </c>
      <c r="AD171" s="68" t="str">
        <f>LOOKUP(AC171,'Wire-Cables Ampacities'!$B$5:$B$35,'Wire-Cables Ampacities'!$C$5:$C$35)</f>
        <v>#10</v>
      </c>
      <c r="AE171" s="81">
        <f t="shared" si="156"/>
        <v>0.35750000000000004</v>
      </c>
      <c r="AF171" s="56">
        <f t="shared" si="139"/>
        <v>1219.8407650000001</v>
      </c>
      <c r="AG171" s="72">
        <f t="shared" si="157"/>
        <v>40</v>
      </c>
      <c r="AH171" s="15">
        <f t="shared" si="157"/>
        <v>55</v>
      </c>
      <c r="AI171" s="64">
        <f t="shared" si="157"/>
        <v>20</v>
      </c>
      <c r="AJ171" s="56">
        <f t="shared" si="158"/>
        <v>50.336000000000006</v>
      </c>
      <c r="AK171" s="271">
        <f t="shared" si="159"/>
        <v>0.50336000000000003</v>
      </c>
      <c r="AL171" s="277">
        <f t="shared" si="160"/>
        <v>0.25168000000000001</v>
      </c>
      <c r="AM171" s="58">
        <v>600</v>
      </c>
      <c r="AN171" s="25">
        <v>24</v>
      </c>
      <c r="AO171" s="3">
        <v>48</v>
      </c>
      <c r="AP171" s="3">
        <v>16</v>
      </c>
      <c r="AQ171" s="281">
        <f t="shared" si="161"/>
        <v>29.333333333333332</v>
      </c>
      <c r="AR171" s="287">
        <f t="shared" si="140"/>
        <v>669.84076500000015</v>
      </c>
      <c r="AS171" s="93"/>
      <c r="AT171" s="4"/>
    </row>
    <row r="172" spans="1:46">
      <c r="A172" s="72">
        <f t="shared" si="141"/>
        <v>36</v>
      </c>
      <c r="B172" s="15">
        <v>2.4500000000000002</v>
      </c>
      <c r="C172" s="66">
        <f t="shared" si="142"/>
        <v>88.2</v>
      </c>
      <c r="D172" s="68">
        <v>35</v>
      </c>
      <c r="E172" s="66">
        <f t="shared" si="143"/>
        <v>120</v>
      </c>
      <c r="F172" s="45">
        <f t="shared" si="144"/>
        <v>22.85344815542269</v>
      </c>
      <c r="G172" s="94">
        <f t="shared" si="145"/>
        <v>12</v>
      </c>
      <c r="H172" s="295">
        <f t="shared" si="132"/>
        <v>45.27955200000001</v>
      </c>
      <c r="I172" s="25">
        <f t="shared" si="133"/>
        <v>78.426484607956979</v>
      </c>
      <c r="J172" s="52">
        <f t="shared" si="146"/>
        <v>20</v>
      </c>
      <c r="K172" s="25">
        <f t="shared" si="134"/>
        <v>34.86</v>
      </c>
      <c r="L172" s="427">
        <f t="shared" si="135"/>
        <v>4.75</v>
      </c>
      <c r="M172" s="64">
        <f t="shared" si="147"/>
        <v>30</v>
      </c>
      <c r="N172" s="838">
        <f t="shared" si="136"/>
        <v>29.709482602049498</v>
      </c>
      <c r="O172" s="68">
        <f>LOOKUP(N172,'Circuit Breakers'!$B$5:$B$38,'Circuit Breakers'!$C$5:$C$38)</f>
        <v>30</v>
      </c>
      <c r="P172" s="199">
        <f t="shared" si="137"/>
        <v>30</v>
      </c>
      <c r="Q172" s="1056">
        <f t="shared" si="148"/>
        <v>45.317999999999998</v>
      </c>
      <c r="R172" s="1064">
        <f>LOOKUP(Q172,'Circuit Breakers'!$B$5:$B$38,'Circuit Breakers'!$C$5:$C$38)</f>
        <v>50</v>
      </c>
      <c r="S172" s="64">
        <f t="shared" si="138"/>
        <v>30</v>
      </c>
      <c r="T172" s="25">
        <f t="shared" si="149"/>
        <v>45.5</v>
      </c>
      <c r="U172" s="158">
        <f>LOOKUP(T172,'Circuit Breakers'!$B$5:$B$38,'Circuit Breakers'!$C$5:$C$38)</f>
        <v>50</v>
      </c>
      <c r="V172" s="64">
        <f t="shared" si="150"/>
        <v>15</v>
      </c>
      <c r="W172" s="25">
        <f t="shared" si="151"/>
        <v>26.28146537873609</v>
      </c>
      <c r="X172" s="68" t="str">
        <f>LOOKUP(W172,'Wire-Cables Ampacities'!$B$5:$B$35,'Wire-Cables Ampacities'!$C$5:$C$35)</f>
        <v>#10</v>
      </c>
      <c r="Y172" s="64">
        <f t="shared" si="152"/>
        <v>10</v>
      </c>
      <c r="Z172" s="25">
        <f t="shared" si="153"/>
        <v>38.346000000000004</v>
      </c>
      <c r="AA172" s="68" t="str">
        <f>LOOKUP(Z172,'Wire-Cables Ampacities'!$B$5:$B$35,'Wire-Cables Ampacities'!$C$5:$C$35)</f>
        <v>#10</v>
      </c>
      <c r="AB172" s="64">
        <f t="shared" si="154"/>
        <v>10</v>
      </c>
      <c r="AC172" s="25">
        <f t="shared" si="155"/>
        <v>38.5</v>
      </c>
      <c r="AD172" s="68" t="str">
        <f>LOOKUP(AC172,'Wire-Cables Ampacities'!$B$5:$B$35,'Wire-Cables Ampacities'!$C$5:$C$35)</f>
        <v>#10</v>
      </c>
      <c r="AE172" s="81">
        <f t="shared" si="156"/>
        <v>0.40250000000000002</v>
      </c>
      <c r="AF172" s="56">
        <f t="shared" si="139"/>
        <v>1373.3871550000001</v>
      </c>
      <c r="AG172" s="72">
        <f t="shared" si="157"/>
        <v>40</v>
      </c>
      <c r="AH172" s="15">
        <f t="shared" si="157"/>
        <v>55</v>
      </c>
      <c r="AI172" s="64">
        <f t="shared" si="157"/>
        <v>20</v>
      </c>
      <c r="AJ172" s="56">
        <f t="shared" si="158"/>
        <v>56.672000000000004</v>
      </c>
      <c r="AK172" s="271">
        <f t="shared" si="159"/>
        <v>0.56672</v>
      </c>
      <c r="AL172" s="277">
        <f t="shared" si="160"/>
        <v>0.28336</v>
      </c>
      <c r="AM172" s="58">
        <v>600</v>
      </c>
      <c r="AN172" s="25">
        <v>24</v>
      </c>
      <c r="AO172" s="3">
        <v>48</v>
      </c>
      <c r="AP172" s="3">
        <v>16</v>
      </c>
      <c r="AQ172" s="281">
        <f t="shared" si="161"/>
        <v>29.333333333333332</v>
      </c>
      <c r="AR172" s="287">
        <f t="shared" si="140"/>
        <v>823.38715500000012</v>
      </c>
      <c r="AS172" s="93"/>
      <c r="AT172" s="4"/>
    </row>
    <row r="173" spans="1:46">
      <c r="A173" s="98">
        <f t="shared" si="141"/>
        <v>36</v>
      </c>
      <c r="B173" s="99">
        <v>2.4500000000000002</v>
      </c>
      <c r="C173" s="100">
        <f t="shared" si="142"/>
        <v>88.2</v>
      </c>
      <c r="D173" s="101">
        <v>40</v>
      </c>
      <c r="E173" s="100">
        <f t="shared" si="143"/>
        <v>120</v>
      </c>
      <c r="F173" s="102">
        <f t="shared" si="144"/>
        <v>26.461887337857849</v>
      </c>
      <c r="G173" s="103">
        <f t="shared" si="145"/>
        <v>12</v>
      </c>
      <c r="H173" s="296">
        <f t="shared" si="132"/>
        <v>45.27955200000001</v>
      </c>
      <c r="I173" s="104">
        <f t="shared" si="133"/>
        <v>78.426484607956979</v>
      </c>
      <c r="J173" s="180">
        <f t="shared" si="146"/>
        <v>20</v>
      </c>
      <c r="K173" s="104">
        <f t="shared" si="134"/>
        <v>39.839999999999996</v>
      </c>
      <c r="L173" s="428">
        <f t="shared" si="135"/>
        <v>5.5</v>
      </c>
      <c r="M173" s="106">
        <f t="shared" si="147"/>
        <v>30</v>
      </c>
      <c r="N173" s="1060">
        <f t="shared" si="136"/>
        <v>34.400453539215206</v>
      </c>
      <c r="O173" s="101">
        <f>LOOKUP(N173,'Circuit Breakers'!$B$5:$B$38,'Circuit Breakers'!$C$5:$C$38)</f>
        <v>40</v>
      </c>
      <c r="P173" s="262">
        <f t="shared" si="137"/>
        <v>30</v>
      </c>
      <c r="Q173" s="1057">
        <f t="shared" si="148"/>
        <v>51.791999999999994</v>
      </c>
      <c r="R173" s="1065">
        <f>LOOKUP(Q173,'Circuit Breakers'!$B$5:$B$38,'Circuit Breakers'!$C$5:$C$38)</f>
        <v>60</v>
      </c>
      <c r="S173" s="106">
        <f t="shared" si="138"/>
        <v>30</v>
      </c>
      <c r="T173" s="104">
        <f t="shared" si="149"/>
        <v>52</v>
      </c>
      <c r="U173" s="477">
        <f>LOOKUP(T173,'Circuit Breakers'!$B$5:$B$38,'Circuit Breakers'!$C$5:$C$38)</f>
        <v>60</v>
      </c>
      <c r="V173" s="106">
        <f t="shared" si="150"/>
        <v>15</v>
      </c>
      <c r="W173" s="104">
        <f t="shared" si="151"/>
        <v>30.431170438536522</v>
      </c>
      <c r="X173" s="101" t="str">
        <f>LOOKUP(W173,'Wire-Cables Ampacities'!$B$5:$B$35,'Wire-Cables Ampacities'!$C$5:$C$35)</f>
        <v>#10</v>
      </c>
      <c r="Y173" s="106">
        <f t="shared" si="152"/>
        <v>10</v>
      </c>
      <c r="Z173" s="104">
        <f t="shared" si="153"/>
        <v>43.823999999999998</v>
      </c>
      <c r="AA173" s="101" t="str">
        <f>LOOKUP(Z173,'Wire-Cables Ampacities'!$B$5:$B$35,'Wire-Cables Ampacities'!$C$5:$C$35)</f>
        <v>#8</v>
      </c>
      <c r="AB173" s="106">
        <f t="shared" si="154"/>
        <v>10</v>
      </c>
      <c r="AC173" s="104">
        <f t="shared" si="155"/>
        <v>44</v>
      </c>
      <c r="AD173" s="101" t="str">
        <f>LOOKUP(AC173,'Wire-Cables Ampacities'!$B$5:$B$35,'Wire-Cables Ampacities'!$C$5:$C$35)</f>
        <v>#8</v>
      </c>
      <c r="AE173" s="107">
        <f t="shared" si="156"/>
        <v>0.46500000000000002</v>
      </c>
      <c r="AF173" s="105">
        <f t="shared" si="139"/>
        <v>1586.6460300000001</v>
      </c>
      <c r="AG173" s="98">
        <f t="shared" si="157"/>
        <v>40</v>
      </c>
      <c r="AH173" s="99">
        <f t="shared" si="157"/>
        <v>55</v>
      </c>
      <c r="AI173" s="106">
        <f t="shared" si="157"/>
        <v>20</v>
      </c>
      <c r="AJ173" s="105">
        <f t="shared" si="158"/>
        <v>65.472000000000008</v>
      </c>
      <c r="AK173" s="272">
        <f t="shared" si="159"/>
        <v>0.65472000000000008</v>
      </c>
      <c r="AL173" s="278">
        <f t="shared" si="160"/>
        <v>0.32736000000000004</v>
      </c>
      <c r="AM173" s="109">
        <v>600</v>
      </c>
      <c r="AN173" s="104">
        <v>24</v>
      </c>
      <c r="AO173" s="110">
        <v>48</v>
      </c>
      <c r="AP173" s="110">
        <v>16</v>
      </c>
      <c r="AQ173" s="282">
        <f t="shared" si="161"/>
        <v>29.333333333333332</v>
      </c>
      <c r="AR173" s="288">
        <f t="shared" si="140"/>
        <v>1036.6460300000001</v>
      </c>
      <c r="AS173" s="93"/>
      <c r="AT173" s="4"/>
    </row>
    <row r="174" spans="1:46">
      <c r="A174" s="72">
        <f t="shared" si="141"/>
        <v>36</v>
      </c>
      <c r="B174" s="15">
        <v>2.4500000000000002</v>
      </c>
      <c r="C174" s="66">
        <f t="shared" si="142"/>
        <v>88.2</v>
      </c>
      <c r="D174" s="68">
        <v>50</v>
      </c>
      <c r="E174" s="66">
        <f t="shared" si="143"/>
        <v>120</v>
      </c>
      <c r="F174" s="45">
        <f t="shared" si="144"/>
        <v>33.678765702728171</v>
      </c>
      <c r="G174" s="94">
        <f t="shared" si="145"/>
        <v>12</v>
      </c>
      <c r="H174" s="295">
        <f t="shared" si="132"/>
        <v>45.27955200000001</v>
      </c>
      <c r="I174" s="25">
        <f t="shared" si="133"/>
        <v>78.426484607956979</v>
      </c>
      <c r="J174" s="52">
        <f t="shared" si="146"/>
        <v>20</v>
      </c>
      <c r="K174" s="25">
        <f t="shared" si="134"/>
        <v>49.8</v>
      </c>
      <c r="L174" s="427">
        <f t="shared" si="135"/>
        <v>7</v>
      </c>
      <c r="M174" s="64">
        <f t="shared" si="147"/>
        <v>30</v>
      </c>
      <c r="N174" s="838">
        <f t="shared" si="136"/>
        <v>43.782395413546624</v>
      </c>
      <c r="O174" s="68">
        <f>LOOKUP(N174,'Circuit Breakers'!$B$5:$B$38,'Circuit Breakers'!$C$5:$C$38)</f>
        <v>50</v>
      </c>
      <c r="P174" s="199">
        <f t="shared" si="137"/>
        <v>30</v>
      </c>
      <c r="Q174" s="1056">
        <f t="shared" si="148"/>
        <v>64.739999999999995</v>
      </c>
      <c r="R174" s="1064">
        <f>LOOKUP(Q174,'Circuit Breakers'!$B$5:$B$38,'Circuit Breakers'!$C$5:$C$38)</f>
        <v>70</v>
      </c>
      <c r="S174" s="64">
        <f t="shared" si="138"/>
        <v>30</v>
      </c>
      <c r="T174" s="25">
        <f t="shared" si="149"/>
        <v>65</v>
      </c>
      <c r="U174" s="158">
        <f>LOOKUP(T174,'Circuit Breakers'!$B$5:$B$38,'Circuit Breakers'!$C$5:$C$38)</f>
        <v>70</v>
      </c>
      <c r="V174" s="64">
        <f t="shared" si="150"/>
        <v>15</v>
      </c>
      <c r="W174" s="25">
        <f t="shared" si="151"/>
        <v>38.73058055813739</v>
      </c>
      <c r="X174" s="68" t="str">
        <f>LOOKUP(W174,'Wire-Cables Ampacities'!$B$5:$B$35,'Wire-Cables Ampacities'!$C$5:$C$35)</f>
        <v>#10</v>
      </c>
      <c r="Y174" s="64">
        <f t="shared" si="152"/>
        <v>10</v>
      </c>
      <c r="Z174" s="25">
        <f t="shared" si="153"/>
        <v>54.78</v>
      </c>
      <c r="AA174" s="68" t="str">
        <f>LOOKUP(Z174,'Wire-Cables Ampacities'!$B$5:$B$35,'Wire-Cables Ampacities'!$C$5:$C$35)</f>
        <v>#8</v>
      </c>
      <c r="AB174" s="64">
        <f t="shared" si="154"/>
        <v>10</v>
      </c>
      <c r="AC174" s="25">
        <f t="shared" si="155"/>
        <v>55.000000000000007</v>
      </c>
      <c r="AD174" s="68" t="str">
        <f>LOOKUP(AC174,'Wire-Cables Ampacities'!$B$5:$B$35,'Wire-Cables Ampacities'!$C$5:$C$35)</f>
        <v>#8</v>
      </c>
      <c r="AE174" s="81">
        <f t="shared" si="156"/>
        <v>0.59</v>
      </c>
      <c r="AF174" s="56">
        <f t="shared" si="139"/>
        <v>2013.1637799999996</v>
      </c>
      <c r="AG174" s="72">
        <f t="shared" si="157"/>
        <v>40</v>
      </c>
      <c r="AH174" s="15">
        <f t="shared" si="157"/>
        <v>55</v>
      </c>
      <c r="AI174" s="64">
        <f t="shared" si="157"/>
        <v>20</v>
      </c>
      <c r="AJ174" s="56">
        <f t="shared" si="158"/>
        <v>83.071999999999989</v>
      </c>
      <c r="AK174" s="271">
        <f t="shared" si="159"/>
        <v>0.8307199999999999</v>
      </c>
      <c r="AL174" s="277">
        <f t="shared" si="160"/>
        <v>0.41535999999999995</v>
      </c>
      <c r="AM174" s="58">
        <v>800</v>
      </c>
      <c r="AN174" s="25">
        <v>34</v>
      </c>
      <c r="AO174" s="3">
        <v>48</v>
      </c>
      <c r="AP174" s="3">
        <v>28</v>
      </c>
      <c r="AQ174" s="281">
        <f t="shared" si="161"/>
        <v>47.944444444444443</v>
      </c>
      <c r="AR174" s="287">
        <f t="shared" si="140"/>
        <v>1114.2054466666664</v>
      </c>
      <c r="AS174" s="93"/>
      <c r="AT174" s="4"/>
    </row>
    <row r="175" spans="1:46">
      <c r="A175" s="72">
        <f t="shared" si="141"/>
        <v>36</v>
      </c>
      <c r="B175" s="15">
        <v>2.4500000000000002</v>
      </c>
      <c r="C175" s="66">
        <f t="shared" si="142"/>
        <v>88.2</v>
      </c>
      <c r="D175" s="68">
        <v>60</v>
      </c>
      <c r="E175" s="66">
        <f t="shared" si="143"/>
        <v>120</v>
      </c>
      <c r="F175" s="45">
        <f t="shared" si="144"/>
        <v>39.692831006786776</v>
      </c>
      <c r="G175" s="94">
        <f t="shared" si="145"/>
        <v>12</v>
      </c>
      <c r="H175" s="295">
        <f t="shared" si="132"/>
        <v>45.27955200000001</v>
      </c>
      <c r="I175" s="25">
        <f t="shared" si="133"/>
        <v>78.426484607956979</v>
      </c>
      <c r="J175" s="52">
        <f t="shared" si="146"/>
        <v>20</v>
      </c>
      <c r="K175" s="25">
        <f t="shared" si="134"/>
        <v>59.76</v>
      </c>
      <c r="L175" s="427">
        <f t="shared" si="135"/>
        <v>8.25</v>
      </c>
      <c r="M175" s="64">
        <f t="shared" si="147"/>
        <v>30</v>
      </c>
      <c r="N175" s="838">
        <f t="shared" si="136"/>
        <v>51.60068030882281</v>
      </c>
      <c r="O175" s="68">
        <f>LOOKUP(N175,'Circuit Breakers'!$B$5:$B$38,'Circuit Breakers'!$C$5:$C$38)</f>
        <v>60</v>
      </c>
      <c r="P175" s="199">
        <f t="shared" si="137"/>
        <v>30</v>
      </c>
      <c r="Q175" s="1056">
        <f t="shared" si="148"/>
        <v>77.688000000000002</v>
      </c>
      <c r="R175" s="1064">
        <f>LOOKUP(Q175,'Circuit Breakers'!$B$5:$B$38,'Circuit Breakers'!$C$5:$C$38)</f>
        <v>80</v>
      </c>
      <c r="S175" s="64">
        <f t="shared" si="138"/>
        <v>30</v>
      </c>
      <c r="T175" s="25">
        <f t="shared" si="149"/>
        <v>78</v>
      </c>
      <c r="U175" s="158">
        <f>LOOKUP(T175,'Circuit Breakers'!$B$5:$B$38,'Circuit Breakers'!$C$5:$C$38)</f>
        <v>80</v>
      </c>
      <c r="V175" s="64">
        <f t="shared" si="150"/>
        <v>15</v>
      </c>
      <c r="W175" s="25">
        <f t="shared" si="151"/>
        <v>45.646755657804789</v>
      </c>
      <c r="X175" s="68" t="str">
        <f>LOOKUP(W175,'Wire-Cables Ampacities'!$B$5:$B$35,'Wire-Cables Ampacities'!$C$5:$C$35)</f>
        <v>#8</v>
      </c>
      <c r="Y175" s="64">
        <f t="shared" si="152"/>
        <v>10</v>
      </c>
      <c r="Z175" s="25">
        <f t="shared" si="153"/>
        <v>65.736000000000004</v>
      </c>
      <c r="AA175" s="68" t="str">
        <f>LOOKUP(Z175,'Wire-Cables Ampacities'!$B$5:$B$35,'Wire-Cables Ampacities'!$C$5:$C$35)</f>
        <v>#6</v>
      </c>
      <c r="AB175" s="64">
        <f t="shared" si="154"/>
        <v>10</v>
      </c>
      <c r="AC175" s="25">
        <f t="shared" si="155"/>
        <v>66</v>
      </c>
      <c r="AD175" s="68" t="str">
        <f>LOOKUP(AC175,'Wire-Cables Ampacities'!$B$5:$B$35,'Wire-Cables Ampacities'!$C$5:$C$35)</f>
        <v>#6</v>
      </c>
      <c r="AE175" s="81">
        <f t="shared" si="156"/>
        <v>0.69750000000000001</v>
      </c>
      <c r="AF175" s="56">
        <f t="shared" si="139"/>
        <v>2379.9690449999998</v>
      </c>
      <c r="AG175" s="72">
        <f t="shared" si="157"/>
        <v>40</v>
      </c>
      <c r="AH175" s="15">
        <f t="shared" si="157"/>
        <v>55</v>
      </c>
      <c r="AI175" s="64">
        <f t="shared" si="157"/>
        <v>20</v>
      </c>
      <c r="AJ175" s="56">
        <f t="shared" si="158"/>
        <v>98.207999999999984</v>
      </c>
      <c r="AK175" s="271">
        <f t="shared" si="159"/>
        <v>0.98207999999999984</v>
      </c>
      <c r="AL175" s="277">
        <f t="shared" si="160"/>
        <v>0.49103999999999992</v>
      </c>
      <c r="AM175" s="58">
        <v>800</v>
      </c>
      <c r="AN175" s="25">
        <v>34</v>
      </c>
      <c r="AO175" s="3">
        <v>48</v>
      </c>
      <c r="AP175" s="3">
        <v>28</v>
      </c>
      <c r="AQ175" s="281">
        <f t="shared" si="161"/>
        <v>47.944444444444443</v>
      </c>
      <c r="AR175" s="287">
        <f t="shared" si="140"/>
        <v>1481.0107116666663</v>
      </c>
      <c r="AS175" s="93"/>
      <c r="AT175" s="4"/>
    </row>
    <row r="176" spans="1:46">
      <c r="A176" s="98">
        <f t="shared" si="141"/>
        <v>36</v>
      </c>
      <c r="B176" s="99">
        <v>2.4500000000000002</v>
      </c>
      <c r="C176" s="100">
        <f t="shared" si="142"/>
        <v>88.2</v>
      </c>
      <c r="D176" s="101">
        <v>75</v>
      </c>
      <c r="E176" s="100">
        <f t="shared" si="143"/>
        <v>208</v>
      </c>
      <c r="F176" s="102">
        <f t="shared" si="144"/>
        <v>29.145085704283996</v>
      </c>
      <c r="G176" s="103">
        <f t="shared" si="145"/>
        <v>12</v>
      </c>
      <c r="H176" s="296">
        <f t="shared" si="132"/>
        <v>45.27955200000001</v>
      </c>
      <c r="I176" s="104">
        <f t="shared" si="133"/>
        <v>78.426484607956979</v>
      </c>
      <c r="J176" s="180">
        <f t="shared" si="146"/>
        <v>20</v>
      </c>
      <c r="K176" s="104">
        <f t="shared" si="134"/>
        <v>74.7</v>
      </c>
      <c r="L176" s="428">
        <f t="shared" si="135"/>
        <v>10.5</v>
      </c>
      <c r="M176" s="106">
        <f t="shared" si="147"/>
        <v>30</v>
      </c>
      <c r="N176" s="1060">
        <f t="shared" si="136"/>
        <v>37.888611415569194</v>
      </c>
      <c r="O176" s="101">
        <f>LOOKUP(N176,'Circuit Breakers'!$B$5:$B$38,'Circuit Breakers'!$C$5:$C$38)</f>
        <v>40</v>
      </c>
      <c r="P176" s="262">
        <f t="shared" si="137"/>
        <v>30</v>
      </c>
      <c r="Q176" s="1057">
        <f t="shared" si="148"/>
        <v>97.110000000000014</v>
      </c>
      <c r="R176" s="1065">
        <f>LOOKUP(Q176,'Circuit Breakers'!$B$5:$B$38,'Circuit Breakers'!$C$5:$C$38)</f>
        <v>100</v>
      </c>
      <c r="S176" s="106">
        <f t="shared" si="138"/>
        <v>30</v>
      </c>
      <c r="T176" s="104">
        <f t="shared" si="149"/>
        <v>97.5</v>
      </c>
      <c r="U176" s="477">
        <f>LOOKUP(T176,'Circuit Breakers'!$B$5:$B$38,'Circuit Breakers'!$C$5:$C$38)</f>
        <v>100</v>
      </c>
      <c r="V176" s="106">
        <f t="shared" si="150"/>
        <v>15</v>
      </c>
      <c r="W176" s="104">
        <f t="shared" si="151"/>
        <v>33.516848559926594</v>
      </c>
      <c r="X176" s="101" t="str">
        <f>LOOKUP(W176,'Wire-Cables Ampacities'!$B$5:$B$35,'Wire-Cables Ampacities'!$C$5:$C$35)</f>
        <v>#10</v>
      </c>
      <c r="Y176" s="106">
        <f t="shared" si="152"/>
        <v>10</v>
      </c>
      <c r="Z176" s="104">
        <f t="shared" si="153"/>
        <v>82.170000000000016</v>
      </c>
      <c r="AA176" s="101" t="str">
        <f>LOOKUP(Z176,'Wire-Cables Ampacities'!$B$5:$B$35,'Wire-Cables Ampacities'!$C$5:$C$35)</f>
        <v>#4</v>
      </c>
      <c r="AB176" s="106">
        <f t="shared" si="154"/>
        <v>10</v>
      </c>
      <c r="AC176" s="104">
        <f t="shared" si="155"/>
        <v>82.5</v>
      </c>
      <c r="AD176" s="101" t="str">
        <f>LOOKUP(AC176,'Wire-Cables Ampacities'!$B$5:$B$35,'Wire-Cables Ampacities'!$C$5:$C$35)</f>
        <v>#4</v>
      </c>
      <c r="AE176" s="107">
        <f t="shared" si="156"/>
        <v>0.88500000000000012</v>
      </c>
      <c r="AF176" s="105">
        <f t="shared" si="139"/>
        <v>3019.7456700000002</v>
      </c>
      <c r="AG176" s="98">
        <f t="shared" si="157"/>
        <v>40</v>
      </c>
      <c r="AH176" s="99">
        <f t="shared" si="157"/>
        <v>55</v>
      </c>
      <c r="AI176" s="106">
        <f t="shared" si="157"/>
        <v>20</v>
      </c>
      <c r="AJ176" s="105">
        <f t="shared" si="158"/>
        <v>124.608</v>
      </c>
      <c r="AK176" s="272">
        <f t="shared" si="159"/>
        <v>1.2460800000000001</v>
      </c>
      <c r="AL176" s="278">
        <f t="shared" si="160"/>
        <v>0.62304000000000004</v>
      </c>
      <c r="AM176" s="109">
        <v>800</v>
      </c>
      <c r="AN176" s="104">
        <v>34</v>
      </c>
      <c r="AO176" s="110">
        <v>48</v>
      </c>
      <c r="AP176" s="110">
        <v>28</v>
      </c>
      <c r="AQ176" s="282">
        <f t="shared" si="161"/>
        <v>47.944444444444443</v>
      </c>
      <c r="AR176" s="288">
        <f t="shared" si="140"/>
        <v>2120.7873366666668</v>
      </c>
      <c r="AS176" s="93"/>
      <c r="AT176" s="4"/>
    </row>
    <row r="177" spans="1:46">
      <c r="A177" s="72">
        <f t="shared" si="141"/>
        <v>36</v>
      </c>
      <c r="B177" s="15">
        <v>2.4500000000000002</v>
      </c>
      <c r="C177" s="66">
        <f t="shared" si="142"/>
        <v>88.2</v>
      </c>
      <c r="D177" s="68">
        <v>100</v>
      </c>
      <c r="E177" s="66">
        <f t="shared" si="143"/>
        <v>208</v>
      </c>
      <c r="F177" s="45">
        <f t="shared" si="144"/>
        <v>38.860114272378659</v>
      </c>
      <c r="G177" s="94">
        <f t="shared" si="145"/>
        <v>12</v>
      </c>
      <c r="H177" s="295">
        <f t="shared" si="132"/>
        <v>45.27955200000001</v>
      </c>
      <c r="I177" s="25">
        <f t="shared" si="133"/>
        <v>78.426484607956979</v>
      </c>
      <c r="J177" s="52">
        <f t="shared" si="146"/>
        <v>20</v>
      </c>
      <c r="K177" s="25">
        <f t="shared" si="134"/>
        <v>99.6</v>
      </c>
      <c r="L177" s="157">
        <f t="shared" si="135"/>
        <v>14</v>
      </c>
      <c r="M177" s="64">
        <f t="shared" si="147"/>
        <v>30</v>
      </c>
      <c r="N177" s="838">
        <f t="shared" si="136"/>
        <v>50.518148554092257</v>
      </c>
      <c r="O177" s="68">
        <f>LOOKUP(N177,'Circuit Breakers'!$B$5:$B$38,'Circuit Breakers'!$C$5:$C$38)</f>
        <v>60</v>
      </c>
      <c r="P177" s="199">
        <f t="shared" si="137"/>
        <v>30</v>
      </c>
      <c r="Q177" s="1056">
        <f t="shared" si="148"/>
        <v>129.47999999999999</v>
      </c>
      <c r="R177" s="1064">
        <f>LOOKUP(Q177,'Circuit Breakers'!$B$5:$B$38,'Circuit Breakers'!$C$5:$C$38)</f>
        <v>150</v>
      </c>
      <c r="S177" s="64">
        <f t="shared" si="138"/>
        <v>30</v>
      </c>
      <c r="T177" s="25">
        <f t="shared" si="149"/>
        <v>130</v>
      </c>
      <c r="U177" s="158">
        <f>LOOKUP(T177,'Circuit Breakers'!$B$5:$B$38,'Circuit Breakers'!$C$5:$C$38)</f>
        <v>150</v>
      </c>
      <c r="V177" s="64">
        <f t="shared" si="150"/>
        <v>15</v>
      </c>
      <c r="W177" s="25">
        <f t="shared" si="151"/>
        <v>44.689131413235458</v>
      </c>
      <c r="X177" s="68" t="str">
        <f>LOOKUP(W177,'Wire-Cables Ampacities'!$B$5:$B$35,'Wire-Cables Ampacities'!$C$5:$C$35)</f>
        <v>#8</v>
      </c>
      <c r="Y177" s="64">
        <f t="shared" si="152"/>
        <v>10</v>
      </c>
      <c r="Z177" s="25">
        <f t="shared" si="153"/>
        <v>109.56</v>
      </c>
      <c r="AA177" s="68" t="str">
        <f>LOOKUP(Z177,'Wire-Cables Ampacities'!$B$5:$B$35,'Wire-Cables Ampacities'!$C$5:$C$35)</f>
        <v>#3</v>
      </c>
      <c r="AB177" s="64">
        <f t="shared" si="154"/>
        <v>10</v>
      </c>
      <c r="AC177" s="25">
        <f t="shared" si="155"/>
        <v>110.00000000000001</v>
      </c>
      <c r="AD177" s="68" t="str">
        <f>LOOKUP(AC177,'Wire-Cables Ampacities'!$B$5:$B$35,'Wire-Cables Ampacities'!$C$5:$C$35)</f>
        <v>#3</v>
      </c>
      <c r="AE177" s="81">
        <f t="shared" si="156"/>
        <v>1.18</v>
      </c>
      <c r="AF177" s="56">
        <f t="shared" si="139"/>
        <v>4026.3275599999993</v>
      </c>
      <c r="AG177" s="72">
        <f t="shared" si="157"/>
        <v>40</v>
      </c>
      <c r="AH177" s="15">
        <f t="shared" si="157"/>
        <v>55</v>
      </c>
      <c r="AI177" s="64">
        <f t="shared" si="157"/>
        <v>20</v>
      </c>
      <c r="AJ177" s="56">
        <f t="shared" si="158"/>
        <v>166.14399999999998</v>
      </c>
      <c r="AK177" s="271">
        <f t="shared" si="159"/>
        <v>1.6614399999999998</v>
      </c>
      <c r="AL177" s="277">
        <f t="shared" si="160"/>
        <v>0.8307199999999999</v>
      </c>
      <c r="AM177" s="58">
        <v>800</v>
      </c>
      <c r="AN177" s="25">
        <v>34</v>
      </c>
      <c r="AO177" s="3">
        <v>48</v>
      </c>
      <c r="AP177" s="3">
        <v>28</v>
      </c>
      <c r="AQ177" s="281">
        <f t="shared" si="161"/>
        <v>47.944444444444443</v>
      </c>
      <c r="AR177" s="287">
        <f t="shared" si="140"/>
        <v>3127.3692266666658</v>
      </c>
      <c r="AS177" s="93"/>
      <c r="AT177" s="4"/>
    </row>
    <row r="178" spans="1:46">
      <c r="A178" s="72">
        <f t="shared" si="141"/>
        <v>36</v>
      </c>
      <c r="B178" s="15">
        <v>2.4500000000000002</v>
      </c>
      <c r="C178" s="66">
        <f t="shared" si="142"/>
        <v>88.2</v>
      </c>
      <c r="D178" s="68">
        <v>125</v>
      </c>
      <c r="E178" s="66">
        <f t="shared" si="143"/>
        <v>240</v>
      </c>
      <c r="F178" s="45">
        <f t="shared" si="144"/>
        <v>40.895644067598489</v>
      </c>
      <c r="G178" s="94">
        <f t="shared" si="145"/>
        <v>12</v>
      </c>
      <c r="H178" s="295">
        <f t="shared" si="132"/>
        <v>45.27955200000001</v>
      </c>
      <c r="I178" s="25">
        <f t="shared" si="133"/>
        <v>78.426484607956979</v>
      </c>
      <c r="J178" s="52">
        <f t="shared" si="146"/>
        <v>20</v>
      </c>
      <c r="K178" s="25">
        <f t="shared" si="134"/>
        <v>124.5</v>
      </c>
      <c r="L178" s="157">
        <f t="shared" si="135"/>
        <v>17</v>
      </c>
      <c r="M178" s="64">
        <f t="shared" si="147"/>
        <v>30</v>
      </c>
      <c r="N178" s="838">
        <f t="shared" si="136"/>
        <v>53.164337287878041</v>
      </c>
      <c r="O178" s="68">
        <f>LOOKUP(N178,'Circuit Breakers'!$B$5:$B$38,'Circuit Breakers'!$C$5:$C$38)</f>
        <v>60</v>
      </c>
      <c r="P178" s="199">
        <f t="shared" si="137"/>
        <v>30</v>
      </c>
      <c r="Q178" s="1056">
        <f t="shared" si="148"/>
        <v>161.85</v>
      </c>
      <c r="R178" s="1064">
        <f>LOOKUP(Q178,'Circuit Breakers'!$B$5:$B$38,'Circuit Breakers'!$C$5:$C$38)</f>
        <v>175</v>
      </c>
      <c r="S178" s="64">
        <f t="shared" si="138"/>
        <v>30</v>
      </c>
      <c r="T178" s="25">
        <f t="shared" si="149"/>
        <v>162.5</v>
      </c>
      <c r="U178" s="158">
        <f>LOOKUP(T178,'Circuit Breakers'!$B$5:$B$38,'Circuit Breakers'!$C$5:$C$38)</f>
        <v>175</v>
      </c>
      <c r="V178" s="64">
        <f t="shared" si="150"/>
        <v>15</v>
      </c>
      <c r="W178" s="25">
        <f t="shared" si="151"/>
        <v>47.029990677738262</v>
      </c>
      <c r="X178" s="68" t="str">
        <f>LOOKUP(W178,'Wire-Cables Ampacities'!$B$5:$B$35,'Wire-Cables Ampacities'!$C$5:$C$35)</f>
        <v>#8</v>
      </c>
      <c r="Y178" s="64">
        <f t="shared" si="152"/>
        <v>10</v>
      </c>
      <c r="Z178" s="25">
        <f t="shared" si="153"/>
        <v>136.95000000000002</v>
      </c>
      <c r="AA178" s="68" t="str">
        <f>LOOKUP(Z178,'Wire-Cables Ampacities'!$B$5:$B$35,'Wire-Cables Ampacities'!$C$5:$C$35)</f>
        <v>#2</v>
      </c>
      <c r="AB178" s="64">
        <f t="shared" si="154"/>
        <v>10</v>
      </c>
      <c r="AC178" s="25">
        <f t="shared" si="155"/>
        <v>137.5</v>
      </c>
      <c r="AD178" s="68" t="str">
        <f>LOOKUP(AC178,'Wire-Cables Ampacities'!$B$5:$B$35,'Wire-Cables Ampacities'!$C$5:$C$35)</f>
        <v>#2</v>
      </c>
      <c r="AE178" s="81">
        <f t="shared" si="156"/>
        <v>1.4400000000000002</v>
      </c>
      <c r="AF178" s="56">
        <f t="shared" si="139"/>
        <v>4913.4844800000001</v>
      </c>
      <c r="AG178" s="72">
        <f t="shared" si="157"/>
        <v>40</v>
      </c>
      <c r="AH178" s="15">
        <f t="shared" si="157"/>
        <v>55</v>
      </c>
      <c r="AI178" s="64">
        <f t="shared" si="157"/>
        <v>20</v>
      </c>
      <c r="AJ178" s="56">
        <f t="shared" si="158"/>
        <v>202.75200000000001</v>
      </c>
      <c r="AK178" s="271">
        <f t="shared" si="159"/>
        <v>2.02752</v>
      </c>
      <c r="AL178" s="277">
        <f t="shared" si="160"/>
        <v>1.01376</v>
      </c>
      <c r="AM178" s="58">
        <v>800</v>
      </c>
      <c r="AN178" s="25">
        <v>34</v>
      </c>
      <c r="AO178" s="3">
        <v>48</v>
      </c>
      <c r="AP178" s="3">
        <v>28</v>
      </c>
      <c r="AQ178" s="281">
        <f t="shared" si="161"/>
        <v>47.944444444444443</v>
      </c>
      <c r="AR178" s="287">
        <f t="shared" si="140"/>
        <v>4014.5261466666666</v>
      </c>
      <c r="AS178" s="93"/>
      <c r="AT178" s="4"/>
    </row>
    <row r="179" spans="1:46">
      <c r="A179" s="98">
        <f t="shared" si="141"/>
        <v>36</v>
      </c>
      <c r="B179" s="99">
        <v>2.4500000000000002</v>
      </c>
      <c r="C179" s="100">
        <f t="shared" si="142"/>
        <v>88.2</v>
      </c>
      <c r="D179" s="101">
        <v>150</v>
      </c>
      <c r="E179" s="100">
        <f t="shared" si="143"/>
        <v>480</v>
      </c>
      <c r="F179" s="102">
        <f t="shared" si="144"/>
        <v>25.259074277046128</v>
      </c>
      <c r="G179" s="103">
        <f t="shared" si="145"/>
        <v>12</v>
      </c>
      <c r="H179" s="296">
        <f t="shared" si="132"/>
        <v>45.27955200000001</v>
      </c>
      <c r="I179" s="104">
        <f t="shared" si="133"/>
        <v>78.426484607956979</v>
      </c>
      <c r="J179" s="180">
        <f t="shared" si="146"/>
        <v>20</v>
      </c>
      <c r="K179" s="104">
        <f t="shared" si="134"/>
        <v>149.4</v>
      </c>
      <c r="L179" s="263">
        <f t="shared" si="135"/>
        <v>21</v>
      </c>
      <c r="M179" s="106">
        <f t="shared" si="147"/>
        <v>30</v>
      </c>
      <c r="N179" s="1060">
        <f t="shared" si="136"/>
        <v>32.836796560159968</v>
      </c>
      <c r="O179" s="101">
        <f>LOOKUP(N179,'Circuit Breakers'!$B$5:$B$38,'Circuit Breakers'!$C$5:$C$38)</f>
        <v>40</v>
      </c>
      <c r="P179" s="262">
        <f t="shared" si="137"/>
        <v>30</v>
      </c>
      <c r="Q179" s="1057">
        <f t="shared" si="148"/>
        <v>194.22000000000003</v>
      </c>
      <c r="R179" s="1065">
        <f>LOOKUP(Q179,'Circuit Breakers'!$B$5:$B$38,'Circuit Breakers'!$C$5:$C$38)</f>
        <v>200</v>
      </c>
      <c r="S179" s="106">
        <f t="shared" si="138"/>
        <v>30</v>
      </c>
      <c r="T179" s="104">
        <f t="shared" si="149"/>
        <v>195</v>
      </c>
      <c r="U179" s="477">
        <f>LOOKUP(T179,'Circuit Breakers'!$B$5:$B$38,'Circuit Breakers'!$C$5:$C$38)</f>
        <v>200</v>
      </c>
      <c r="V179" s="106">
        <f t="shared" si="150"/>
        <v>15</v>
      </c>
      <c r="W179" s="104">
        <f t="shared" si="151"/>
        <v>29.047935418603046</v>
      </c>
      <c r="X179" s="101" t="str">
        <f>LOOKUP(W179,'Wire-Cables Ampacities'!$B$5:$B$35,'Wire-Cables Ampacities'!$C$5:$C$35)</f>
        <v>#10</v>
      </c>
      <c r="Y179" s="106">
        <f t="shared" si="152"/>
        <v>10</v>
      </c>
      <c r="Z179" s="104">
        <f t="shared" si="153"/>
        <v>164.34000000000003</v>
      </c>
      <c r="AA179" s="101" t="str">
        <f>LOOKUP(Z179,'Wire-Cables Ampacities'!$B$5:$B$35,'Wire-Cables Ampacities'!$C$5:$C$35)</f>
        <v>#1</v>
      </c>
      <c r="AB179" s="106">
        <f t="shared" si="154"/>
        <v>10</v>
      </c>
      <c r="AC179" s="104">
        <f t="shared" si="155"/>
        <v>165</v>
      </c>
      <c r="AD179" s="101" t="str">
        <f>LOOKUP(AC179,'Wire-Cables Ampacities'!$B$5:$B$35,'Wire-Cables Ampacities'!$C$5:$C$35)</f>
        <v>#1</v>
      </c>
      <c r="AE179" s="107">
        <f t="shared" si="156"/>
        <v>1.7700000000000002</v>
      </c>
      <c r="AF179" s="105">
        <f t="shared" si="139"/>
        <v>6039.4913400000005</v>
      </c>
      <c r="AG179" s="98">
        <f t="shared" si="157"/>
        <v>40</v>
      </c>
      <c r="AH179" s="99">
        <f t="shared" si="157"/>
        <v>55</v>
      </c>
      <c r="AI179" s="106">
        <f t="shared" si="157"/>
        <v>20</v>
      </c>
      <c r="AJ179" s="105">
        <f t="shared" si="158"/>
        <v>249.21600000000001</v>
      </c>
      <c r="AK179" s="272">
        <f t="shared" si="159"/>
        <v>2.4921600000000002</v>
      </c>
      <c r="AL179" s="278">
        <f t="shared" si="160"/>
        <v>1.2460800000000001</v>
      </c>
      <c r="AM179" s="109">
        <v>800</v>
      </c>
      <c r="AN179" s="104">
        <v>34</v>
      </c>
      <c r="AO179" s="110">
        <v>48</v>
      </c>
      <c r="AP179" s="110">
        <v>28</v>
      </c>
      <c r="AQ179" s="282">
        <f t="shared" si="161"/>
        <v>47.944444444444443</v>
      </c>
      <c r="AR179" s="288">
        <f t="shared" si="140"/>
        <v>5140.5330066666675</v>
      </c>
      <c r="AS179" s="93"/>
      <c r="AT179" s="4"/>
    </row>
    <row r="180" spans="1:46">
      <c r="A180" s="72">
        <f t="shared" si="141"/>
        <v>36</v>
      </c>
      <c r="B180" s="15">
        <v>2.4500000000000002</v>
      </c>
      <c r="C180" s="66">
        <f t="shared" si="142"/>
        <v>88.2</v>
      </c>
      <c r="D180" s="68">
        <v>175</v>
      </c>
      <c r="E180" s="66">
        <f t="shared" si="143"/>
        <v>480</v>
      </c>
      <c r="F180" s="45">
        <f t="shared" si="144"/>
        <v>28.867513459481291</v>
      </c>
      <c r="G180" s="94">
        <f t="shared" si="145"/>
        <v>12</v>
      </c>
      <c r="H180" s="295">
        <f t="shared" si="132"/>
        <v>45.27955200000001</v>
      </c>
      <c r="I180" s="25">
        <f t="shared" si="133"/>
        <v>78.426484607956979</v>
      </c>
      <c r="J180" s="52">
        <f t="shared" si="146"/>
        <v>20</v>
      </c>
      <c r="K180" s="25">
        <f t="shared" si="134"/>
        <v>174.29999999999998</v>
      </c>
      <c r="L180" s="157">
        <f t="shared" si="135"/>
        <v>24</v>
      </c>
      <c r="M180" s="64">
        <f t="shared" si="147"/>
        <v>30</v>
      </c>
      <c r="N180" s="838">
        <f t="shared" si="136"/>
        <v>37.527767497325677</v>
      </c>
      <c r="O180" s="68">
        <f>LOOKUP(N180,'Circuit Breakers'!$B$5:$B$38,'Circuit Breakers'!$C$5:$C$38)</f>
        <v>40</v>
      </c>
      <c r="P180" s="199">
        <f t="shared" si="137"/>
        <v>30</v>
      </c>
      <c r="Q180" s="1056">
        <f t="shared" si="148"/>
        <v>226.58999999999997</v>
      </c>
      <c r="R180" s="1064">
        <f>LOOKUP(Q180,'Circuit Breakers'!$B$5:$B$38,'Circuit Breakers'!$C$5:$C$38)</f>
        <v>250</v>
      </c>
      <c r="S180" s="64">
        <f t="shared" si="138"/>
        <v>30</v>
      </c>
      <c r="T180" s="25">
        <f t="shared" si="149"/>
        <v>227.5</v>
      </c>
      <c r="U180" s="158">
        <f>LOOKUP(T180,'Circuit Breakers'!$B$5:$B$38,'Circuit Breakers'!$C$5:$C$38)</f>
        <v>250</v>
      </c>
      <c r="V180" s="64">
        <f t="shared" si="150"/>
        <v>15</v>
      </c>
      <c r="W180" s="25">
        <f t="shared" si="151"/>
        <v>33.197640478403486</v>
      </c>
      <c r="X180" s="68" t="str">
        <f>LOOKUP(W180,'Wire-Cables Ampacities'!$B$5:$B$35,'Wire-Cables Ampacities'!$C$5:$C$35)</f>
        <v>#10</v>
      </c>
      <c r="Y180" s="64">
        <f t="shared" si="152"/>
        <v>10</v>
      </c>
      <c r="Z180" s="25">
        <f t="shared" si="153"/>
        <v>191.73</v>
      </c>
      <c r="AA180" s="68" t="str">
        <f>LOOKUP(Z180,'Wire-Cables Ampacities'!$B$5:$B$35,'Wire-Cables Ampacities'!$C$5:$C$35)</f>
        <v>#1/0</v>
      </c>
      <c r="AB180" s="64">
        <f t="shared" si="154"/>
        <v>10</v>
      </c>
      <c r="AC180" s="25">
        <f t="shared" si="155"/>
        <v>192.50000000000003</v>
      </c>
      <c r="AD180" s="68" t="str">
        <f>LOOKUP(AC180,'Wire-Cables Ampacities'!$B$5:$B$35,'Wire-Cables Ampacities'!$C$5:$C$35)</f>
        <v>#1/0</v>
      </c>
      <c r="AE180" s="81">
        <f t="shared" si="156"/>
        <v>2.0300000000000002</v>
      </c>
      <c r="AF180" s="56">
        <f t="shared" si="139"/>
        <v>6926.6482599999999</v>
      </c>
      <c r="AG180" s="72">
        <f t="shared" si="157"/>
        <v>40</v>
      </c>
      <c r="AH180" s="15">
        <f t="shared" si="157"/>
        <v>55</v>
      </c>
      <c r="AI180" s="64">
        <f t="shared" si="157"/>
        <v>20</v>
      </c>
      <c r="AJ180" s="56">
        <f t="shared" si="158"/>
        <v>285.82400000000001</v>
      </c>
      <c r="AK180" s="271">
        <f t="shared" si="159"/>
        <v>2.8582400000000003</v>
      </c>
      <c r="AL180" s="277">
        <f t="shared" si="160"/>
        <v>1.4291200000000002</v>
      </c>
      <c r="AM180" s="58">
        <v>1200</v>
      </c>
      <c r="AN180" s="25">
        <v>38</v>
      </c>
      <c r="AO180" s="3">
        <v>70</v>
      </c>
      <c r="AP180" s="3">
        <v>28</v>
      </c>
      <c r="AQ180" s="281">
        <f t="shared" si="161"/>
        <v>71.555555555555557</v>
      </c>
      <c r="AR180" s="287">
        <f t="shared" si="140"/>
        <v>5584.981593333333</v>
      </c>
      <c r="AS180" s="93"/>
      <c r="AT180" s="4"/>
    </row>
    <row r="181" spans="1:46">
      <c r="A181" s="72">
        <f t="shared" si="141"/>
        <v>36</v>
      </c>
      <c r="B181" s="15">
        <v>2.4500000000000002</v>
      </c>
      <c r="C181" s="66">
        <f t="shared" si="142"/>
        <v>88.2</v>
      </c>
      <c r="D181" s="68">
        <v>200</v>
      </c>
      <c r="E181" s="66">
        <f t="shared" si="143"/>
        <v>480</v>
      </c>
      <c r="F181" s="45">
        <f t="shared" si="144"/>
        <v>33.678765702728171</v>
      </c>
      <c r="G181" s="94">
        <f t="shared" si="145"/>
        <v>12</v>
      </c>
      <c r="H181" s="295">
        <f t="shared" si="132"/>
        <v>45.27955200000001</v>
      </c>
      <c r="I181" s="25">
        <f t="shared" si="133"/>
        <v>78.426484607956979</v>
      </c>
      <c r="J181" s="52">
        <f t="shared" si="146"/>
        <v>20</v>
      </c>
      <c r="K181" s="25">
        <f t="shared" si="134"/>
        <v>199.2</v>
      </c>
      <c r="L181" s="157">
        <f t="shared" si="135"/>
        <v>28</v>
      </c>
      <c r="M181" s="64">
        <f t="shared" si="147"/>
        <v>30</v>
      </c>
      <c r="N181" s="838">
        <f t="shared" si="136"/>
        <v>43.782395413546624</v>
      </c>
      <c r="O181" s="68">
        <f>LOOKUP(N181,'Circuit Breakers'!$B$5:$B$38,'Circuit Breakers'!$C$5:$C$38)</f>
        <v>50</v>
      </c>
      <c r="P181" s="199">
        <f t="shared" si="137"/>
        <v>30</v>
      </c>
      <c r="Q181" s="1056">
        <f t="shared" si="148"/>
        <v>258.95999999999998</v>
      </c>
      <c r="R181" s="1064">
        <f>LOOKUP(Q181,'Circuit Breakers'!$B$5:$B$38,'Circuit Breakers'!$C$5:$C$38)</f>
        <v>300</v>
      </c>
      <c r="S181" s="64">
        <f t="shared" si="138"/>
        <v>30</v>
      </c>
      <c r="T181" s="25">
        <f t="shared" si="149"/>
        <v>260</v>
      </c>
      <c r="U181" s="158">
        <f>LOOKUP(T181,'Circuit Breakers'!$B$5:$B$38,'Circuit Breakers'!$C$5:$C$38)</f>
        <v>300</v>
      </c>
      <c r="V181" s="64">
        <f t="shared" si="150"/>
        <v>15</v>
      </c>
      <c r="W181" s="25">
        <f t="shared" si="151"/>
        <v>38.73058055813739</v>
      </c>
      <c r="X181" s="68" t="str">
        <f>LOOKUP(W181,'Wire-Cables Ampacities'!$B$5:$B$35,'Wire-Cables Ampacities'!$C$5:$C$35)</f>
        <v>#10</v>
      </c>
      <c r="Y181" s="64">
        <f t="shared" si="152"/>
        <v>10</v>
      </c>
      <c r="Z181" s="25">
        <f t="shared" si="153"/>
        <v>219.12</v>
      </c>
      <c r="AA181" s="68" t="str">
        <f>LOOKUP(Z181,'Wire-Cables Ampacities'!$B$5:$B$35,'Wire-Cables Ampacities'!$C$5:$C$35)</f>
        <v>#2/0</v>
      </c>
      <c r="AB181" s="64">
        <f t="shared" si="154"/>
        <v>10</v>
      </c>
      <c r="AC181" s="25">
        <f t="shared" si="155"/>
        <v>220.00000000000003</v>
      </c>
      <c r="AD181" s="68" t="str">
        <f>LOOKUP(AC181,'Wire-Cables Ampacities'!$B$5:$B$35,'Wire-Cables Ampacities'!$C$5:$C$35)</f>
        <v>#2/0</v>
      </c>
      <c r="AE181" s="81">
        <f t="shared" si="156"/>
        <v>2.36</v>
      </c>
      <c r="AF181" s="56">
        <f t="shared" si="139"/>
        <v>8052.6551199999985</v>
      </c>
      <c r="AG181" s="72">
        <f t="shared" si="157"/>
        <v>40</v>
      </c>
      <c r="AH181" s="15">
        <f t="shared" si="157"/>
        <v>55</v>
      </c>
      <c r="AI181" s="64">
        <f t="shared" si="157"/>
        <v>20</v>
      </c>
      <c r="AJ181" s="56">
        <f t="shared" si="158"/>
        <v>332.28799999999995</v>
      </c>
      <c r="AK181" s="271">
        <f t="shared" si="159"/>
        <v>3.3228799999999996</v>
      </c>
      <c r="AL181" s="277">
        <f t="shared" si="160"/>
        <v>1.6614399999999998</v>
      </c>
      <c r="AM181" s="58">
        <v>1200</v>
      </c>
      <c r="AN181" s="25">
        <v>38</v>
      </c>
      <c r="AO181" s="3">
        <v>70</v>
      </c>
      <c r="AP181" s="3">
        <v>28</v>
      </c>
      <c r="AQ181" s="281">
        <f t="shared" si="161"/>
        <v>71.555555555555557</v>
      </c>
      <c r="AR181" s="287">
        <f t="shared" si="140"/>
        <v>6710.9884533333316</v>
      </c>
      <c r="AS181" s="93"/>
      <c r="AT181" s="4"/>
    </row>
    <row r="182" spans="1:46">
      <c r="A182" s="98">
        <f t="shared" si="141"/>
        <v>36</v>
      </c>
      <c r="B182" s="99">
        <v>2.4500000000000002</v>
      </c>
      <c r="C182" s="100">
        <f t="shared" si="142"/>
        <v>88.2</v>
      </c>
      <c r="D182" s="101">
        <v>250</v>
      </c>
      <c r="E182" s="100">
        <f t="shared" si="143"/>
        <v>480</v>
      </c>
      <c r="F182" s="102">
        <f t="shared" si="144"/>
        <v>40.895644067598489</v>
      </c>
      <c r="G182" s="103">
        <f t="shared" si="145"/>
        <v>12</v>
      </c>
      <c r="H182" s="296">
        <f t="shared" si="132"/>
        <v>45.27955200000001</v>
      </c>
      <c r="I182" s="104">
        <f t="shared" si="133"/>
        <v>78.426484607956979</v>
      </c>
      <c r="J182" s="180">
        <f t="shared" si="146"/>
        <v>20</v>
      </c>
      <c r="K182" s="104">
        <f t="shared" si="134"/>
        <v>249</v>
      </c>
      <c r="L182" s="263">
        <f t="shared" si="135"/>
        <v>34</v>
      </c>
      <c r="M182" s="106">
        <f t="shared" si="147"/>
        <v>30</v>
      </c>
      <c r="N182" s="1060">
        <f t="shared" si="136"/>
        <v>53.164337287878041</v>
      </c>
      <c r="O182" s="101">
        <f>LOOKUP(N182,'Circuit Breakers'!$B$5:$B$38,'Circuit Breakers'!$C$5:$C$38)</f>
        <v>60</v>
      </c>
      <c r="P182" s="262">
        <f t="shared" si="137"/>
        <v>30</v>
      </c>
      <c r="Q182" s="1057">
        <f t="shared" si="148"/>
        <v>323.7</v>
      </c>
      <c r="R182" s="1065">
        <f>LOOKUP(Q182,'Circuit Breakers'!$B$5:$B$38,'Circuit Breakers'!$C$5:$C$38)</f>
        <v>350</v>
      </c>
      <c r="S182" s="106">
        <f t="shared" si="138"/>
        <v>30</v>
      </c>
      <c r="T182" s="104">
        <f t="shared" si="149"/>
        <v>325</v>
      </c>
      <c r="U182" s="477">
        <f>LOOKUP(T182,'Circuit Breakers'!$B$5:$B$38,'Circuit Breakers'!$C$5:$C$38)</f>
        <v>350</v>
      </c>
      <c r="V182" s="106">
        <f t="shared" si="150"/>
        <v>15</v>
      </c>
      <c r="W182" s="104">
        <f t="shared" si="151"/>
        <v>47.029990677738262</v>
      </c>
      <c r="X182" s="101" t="str">
        <f>LOOKUP(W182,'Wire-Cables Ampacities'!$B$5:$B$35,'Wire-Cables Ampacities'!$C$5:$C$35)</f>
        <v>#8</v>
      </c>
      <c r="Y182" s="106">
        <f t="shared" si="152"/>
        <v>10</v>
      </c>
      <c r="Z182" s="104">
        <f t="shared" si="153"/>
        <v>273.90000000000003</v>
      </c>
      <c r="AA182" s="101" t="str">
        <f>LOOKUP(Z182,'Wire-Cables Ampacities'!$B$5:$B$35,'Wire-Cables Ampacities'!$C$5:$C$35)</f>
        <v>#4/0</v>
      </c>
      <c r="AB182" s="106">
        <f t="shared" si="154"/>
        <v>10</v>
      </c>
      <c r="AC182" s="104">
        <f t="shared" si="155"/>
        <v>275</v>
      </c>
      <c r="AD182" s="101" t="str">
        <f>LOOKUP(AC182,'Wire-Cables Ampacities'!$B$5:$B$35,'Wire-Cables Ampacities'!$C$5:$C$35)</f>
        <v>#4/0</v>
      </c>
      <c r="AE182" s="107">
        <f t="shared" si="156"/>
        <v>2.8800000000000003</v>
      </c>
      <c r="AF182" s="105">
        <f t="shared" si="139"/>
        <v>9826.9689600000002</v>
      </c>
      <c r="AG182" s="98">
        <f t="shared" si="157"/>
        <v>40</v>
      </c>
      <c r="AH182" s="99">
        <f t="shared" si="157"/>
        <v>55</v>
      </c>
      <c r="AI182" s="106">
        <f t="shared" si="157"/>
        <v>20</v>
      </c>
      <c r="AJ182" s="105">
        <f t="shared" si="158"/>
        <v>405.50400000000002</v>
      </c>
      <c r="AK182" s="272">
        <f t="shared" si="159"/>
        <v>4.05504</v>
      </c>
      <c r="AL182" s="278">
        <f t="shared" si="160"/>
        <v>2.02752</v>
      </c>
      <c r="AM182" s="109">
        <v>1200</v>
      </c>
      <c r="AN182" s="104">
        <v>38</v>
      </c>
      <c r="AO182" s="110">
        <v>70</v>
      </c>
      <c r="AP182" s="110">
        <v>28</v>
      </c>
      <c r="AQ182" s="282">
        <f t="shared" si="161"/>
        <v>71.555555555555557</v>
      </c>
      <c r="AR182" s="288">
        <f t="shared" si="140"/>
        <v>8485.3022933333341</v>
      </c>
      <c r="AS182" s="93"/>
      <c r="AT182" s="4"/>
    </row>
    <row r="183" spans="1:46">
      <c r="A183" s="72">
        <f t="shared" si="141"/>
        <v>36</v>
      </c>
      <c r="B183" s="15">
        <v>2.4500000000000002</v>
      </c>
      <c r="C183" s="66">
        <f t="shared" si="142"/>
        <v>88.2</v>
      </c>
      <c r="D183" s="68">
        <v>300</v>
      </c>
      <c r="E183" s="66">
        <f t="shared" si="143"/>
        <v>480</v>
      </c>
      <c r="F183" s="45">
        <f t="shared" si="144"/>
        <v>49.315335493280543</v>
      </c>
      <c r="G183" s="94">
        <f t="shared" si="145"/>
        <v>12</v>
      </c>
      <c r="H183" s="295">
        <f t="shared" si="132"/>
        <v>45.27955200000001</v>
      </c>
      <c r="I183" s="25">
        <f t="shared" si="133"/>
        <v>78.426484607956979</v>
      </c>
      <c r="J183" s="52">
        <f t="shared" si="146"/>
        <v>20</v>
      </c>
      <c r="K183" s="25">
        <f t="shared" si="134"/>
        <v>298.8</v>
      </c>
      <c r="L183" s="157">
        <f t="shared" si="135"/>
        <v>41</v>
      </c>
      <c r="M183" s="64">
        <f t="shared" si="147"/>
        <v>30</v>
      </c>
      <c r="N183" s="838">
        <f t="shared" si="136"/>
        <v>64.109936141264711</v>
      </c>
      <c r="O183" s="68">
        <f>LOOKUP(N183,'Circuit Breakers'!$B$5:$B$38,'Circuit Breakers'!$C$5:$C$38)</f>
        <v>70</v>
      </c>
      <c r="P183" s="199">
        <f t="shared" si="137"/>
        <v>30</v>
      </c>
      <c r="Q183" s="1056">
        <f t="shared" si="148"/>
        <v>388.44000000000005</v>
      </c>
      <c r="R183" s="1064">
        <f>LOOKUP(Q183,'Circuit Breakers'!$B$5:$B$38,'Circuit Breakers'!$C$5:$C$38)</f>
        <v>400</v>
      </c>
      <c r="S183" s="64">
        <f t="shared" si="138"/>
        <v>30</v>
      </c>
      <c r="T183" s="25">
        <f t="shared" si="149"/>
        <v>390</v>
      </c>
      <c r="U183" s="158">
        <f>LOOKUP(T183,'Circuit Breakers'!$B$5:$B$38,'Circuit Breakers'!$C$5:$C$38)</f>
        <v>400</v>
      </c>
      <c r="V183" s="64">
        <f t="shared" si="150"/>
        <v>15</v>
      </c>
      <c r="W183" s="25">
        <f t="shared" si="151"/>
        <v>56.71263581727262</v>
      </c>
      <c r="X183" s="68" t="str">
        <f>LOOKUP(W183,'Wire-Cables Ampacities'!$B$5:$B$35,'Wire-Cables Ampacities'!$C$5:$C$35)</f>
        <v>#8</v>
      </c>
      <c r="Y183" s="64">
        <f t="shared" si="152"/>
        <v>10</v>
      </c>
      <c r="Z183" s="25">
        <f t="shared" si="153"/>
        <v>328.68000000000006</v>
      </c>
      <c r="AA183" s="68" t="str">
        <f>LOOKUP(Z183,'Wire-Cables Ampacities'!$B$5:$B$35,'Wire-Cables Ampacities'!$C$5:$C$35)</f>
        <v>250MCM</v>
      </c>
      <c r="AB183" s="64">
        <f t="shared" si="154"/>
        <v>10</v>
      </c>
      <c r="AC183" s="25">
        <f t="shared" si="155"/>
        <v>330</v>
      </c>
      <c r="AD183" s="68" t="str">
        <f>LOOKUP(AC183,'Wire-Cables Ampacities'!$B$5:$B$35,'Wire-Cables Ampacities'!$C$5:$C$35)</f>
        <v>250MCM</v>
      </c>
      <c r="AE183" s="81">
        <f t="shared" si="156"/>
        <v>3.47</v>
      </c>
      <c r="AF183" s="56">
        <f t="shared" si="139"/>
        <v>11840.132739999999</v>
      </c>
      <c r="AG183" s="72">
        <f t="shared" si="157"/>
        <v>40</v>
      </c>
      <c r="AH183" s="15">
        <f t="shared" si="157"/>
        <v>55</v>
      </c>
      <c r="AI183" s="64">
        <f t="shared" si="157"/>
        <v>20</v>
      </c>
      <c r="AJ183" s="56">
        <f t="shared" si="158"/>
        <v>488.57600000000002</v>
      </c>
      <c r="AK183" s="271">
        <f t="shared" si="159"/>
        <v>4.8857600000000003</v>
      </c>
      <c r="AL183" s="277">
        <f t="shared" si="160"/>
        <v>2.4428800000000002</v>
      </c>
      <c r="AM183" s="58">
        <v>1200</v>
      </c>
      <c r="AN183" s="25">
        <v>38</v>
      </c>
      <c r="AO183" s="3">
        <v>70</v>
      </c>
      <c r="AP183" s="3">
        <v>28</v>
      </c>
      <c r="AQ183" s="281">
        <f t="shared" si="161"/>
        <v>71.555555555555557</v>
      </c>
      <c r="AR183" s="287">
        <f t="shared" ref="AR183:AR194" si="162">AF183+(1.25*AQ183*(AG183-AH183))</f>
        <v>10498.466073333333</v>
      </c>
      <c r="AS183" s="93"/>
      <c r="AT183" s="4"/>
    </row>
    <row r="184" spans="1:46">
      <c r="A184" s="72">
        <f t="shared" si="141"/>
        <v>36</v>
      </c>
      <c r="B184" s="15">
        <v>2.4500000000000002</v>
      </c>
      <c r="C184" s="66">
        <f t="shared" si="142"/>
        <v>88.2</v>
      </c>
      <c r="D184" s="68">
        <v>350</v>
      </c>
      <c r="E184" s="66">
        <f t="shared" si="143"/>
        <v>480</v>
      </c>
      <c r="F184" s="45">
        <f t="shared" si="144"/>
        <v>57.735026918962582</v>
      </c>
      <c r="G184" s="94">
        <f t="shared" si="145"/>
        <v>12</v>
      </c>
      <c r="H184" s="295">
        <f t="shared" si="132"/>
        <v>45.27955200000001</v>
      </c>
      <c r="I184" s="25">
        <f t="shared" si="133"/>
        <v>78.426484607956979</v>
      </c>
      <c r="J184" s="52">
        <f t="shared" si="146"/>
        <v>20</v>
      </c>
      <c r="K184" s="25">
        <f t="shared" si="134"/>
        <v>348.59999999999997</v>
      </c>
      <c r="L184" s="157">
        <f t="shared" si="135"/>
        <v>48</v>
      </c>
      <c r="M184" s="64">
        <f t="shared" si="147"/>
        <v>30</v>
      </c>
      <c r="N184" s="838">
        <f t="shared" si="136"/>
        <v>75.055534994651353</v>
      </c>
      <c r="O184" s="68">
        <f>LOOKUP(N184,'Circuit Breakers'!$B$5:$B$38,'Circuit Breakers'!$C$5:$C$38)</f>
        <v>80</v>
      </c>
      <c r="P184" s="199">
        <f t="shared" si="137"/>
        <v>30</v>
      </c>
      <c r="Q184" s="1056">
        <f t="shared" si="148"/>
        <v>453.17999999999995</v>
      </c>
      <c r="R184" s="1064">
        <f>LOOKUP(Q184,'Circuit Breakers'!$B$5:$B$38,'Circuit Breakers'!$C$5:$C$38)</f>
        <v>500</v>
      </c>
      <c r="S184" s="64">
        <f t="shared" si="138"/>
        <v>30</v>
      </c>
      <c r="T184" s="25">
        <f t="shared" si="149"/>
        <v>455</v>
      </c>
      <c r="U184" s="158">
        <f>LOOKUP(T184,'Circuit Breakers'!$B$5:$B$38,'Circuit Breakers'!$C$5:$C$38)</f>
        <v>500</v>
      </c>
      <c r="V184" s="64">
        <f t="shared" si="150"/>
        <v>15</v>
      </c>
      <c r="W184" s="25">
        <f t="shared" si="151"/>
        <v>66.395280956806971</v>
      </c>
      <c r="X184" s="68" t="str">
        <f>LOOKUP(W184,'Wire-Cables Ampacities'!$B$5:$B$35,'Wire-Cables Ampacities'!$C$5:$C$35)</f>
        <v>#6</v>
      </c>
      <c r="Y184" s="64">
        <f t="shared" si="152"/>
        <v>10</v>
      </c>
      <c r="Z184" s="25">
        <f t="shared" si="153"/>
        <v>383.46</v>
      </c>
      <c r="AA184" s="68" t="str">
        <f>LOOKUP(Z184,'Wire-Cables Ampacities'!$B$5:$B$35,'Wire-Cables Ampacities'!$C$5:$C$35)</f>
        <v>#2/0 2x</v>
      </c>
      <c r="AB184" s="64">
        <f t="shared" si="154"/>
        <v>10</v>
      </c>
      <c r="AC184" s="25">
        <f t="shared" si="155"/>
        <v>385.00000000000006</v>
      </c>
      <c r="AD184" s="68" t="str">
        <f>LOOKUP(AC184,'Wire-Cables Ampacities'!$B$5:$B$35,'Wire-Cables Ampacities'!$C$5:$C$35)</f>
        <v>#2/0 2x</v>
      </c>
      <c r="AE184" s="81">
        <f t="shared" si="156"/>
        <v>4.0600000000000005</v>
      </c>
      <c r="AF184" s="56">
        <f t="shared" si="139"/>
        <v>13853.29652</v>
      </c>
      <c r="AG184" s="72">
        <f t="shared" si="157"/>
        <v>40</v>
      </c>
      <c r="AH184" s="15">
        <f t="shared" si="157"/>
        <v>55</v>
      </c>
      <c r="AI184" s="64">
        <f t="shared" si="157"/>
        <v>20</v>
      </c>
      <c r="AJ184" s="56">
        <f t="shared" si="158"/>
        <v>571.64800000000002</v>
      </c>
      <c r="AK184" s="271">
        <f t="shared" si="159"/>
        <v>5.7164800000000007</v>
      </c>
      <c r="AL184" s="277">
        <f t="shared" si="160"/>
        <v>2.8582400000000003</v>
      </c>
      <c r="AM184" s="58">
        <v>1200</v>
      </c>
      <c r="AN184" s="25">
        <v>38</v>
      </c>
      <c r="AO184" s="3">
        <v>70</v>
      </c>
      <c r="AP184" s="3">
        <v>28</v>
      </c>
      <c r="AQ184" s="281">
        <f t="shared" si="161"/>
        <v>71.555555555555557</v>
      </c>
      <c r="AR184" s="287">
        <f t="shared" si="162"/>
        <v>12511.629853333334</v>
      </c>
      <c r="AS184" s="93"/>
      <c r="AT184" s="4"/>
    </row>
    <row r="185" spans="1:46">
      <c r="A185" s="98">
        <f t="shared" si="141"/>
        <v>36</v>
      </c>
      <c r="B185" s="99">
        <v>2.4500000000000002</v>
      </c>
      <c r="C185" s="100">
        <f t="shared" si="142"/>
        <v>88.2</v>
      </c>
      <c r="D185" s="101">
        <v>400</v>
      </c>
      <c r="E185" s="100">
        <f t="shared" si="143"/>
        <v>480</v>
      </c>
      <c r="F185" s="102">
        <f t="shared" si="144"/>
        <v>66.154718344644621</v>
      </c>
      <c r="G185" s="103">
        <f t="shared" si="145"/>
        <v>12</v>
      </c>
      <c r="H185" s="296">
        <f t="shared" si="132"/>
        <v>45.27955200000001</v>
      </c>
      <c r="I185" s="104">
        <f t="shared" si="133"/>
        <v>78.426484607956979</v>
      </c>
      <c r="J185" s="180">
        <f t="shared" si="146"/>
        <v>20</v>
      </c>
      <c r="K185" s="104">
        <f t="shared" si="134"/>
        <v>398.4</v>
      </c>
      <c r="L185" s="263">
        <f t="shared" si="135"/>
        <v>55</v>
      </c>
      <c r="M185" s="106">
        <f t="shared" si="147"/>
        <v>30</v>
      </c>
      <c r="N185" s="1060">
        <f t="shared" si="136"/>
        <v>86.001133848038009</v>
      </c>
      <c r="O185" s="101">
        <f>LOOKUP(N185,'Circuit Breakers'!$B$5:$B$38,'Circuit Breakers'!$C$5:$C$38)</f>
        <v>90</v>
      </c>
      <c r="P185" s="262">
        <f t="shared" si="137"/>
        <v>30</v>
      </c>
      <c r="Q185" s="1057">
        <f t="shared" si="148"/>
        <v>517.91999999999996</v>
      </c>
      <c r="R185" s="1065">
        <f>LOOKUP(Q185,'Circuit Breakers'!$B$5:$B$38,'Circuit Breakers'!$C$5:$C$38)</f>
        <v>600</v>
      </c>
      <c r="S185" s="106">
        <f t="shared" si="138"/>
        <v>30</v>
      </c>
      <c r="T185" s="104">
        <f t="shared" si="149"/>
        <v>520</v>
      </c>
      <c r="U185" s="477">
        <f>LOOKUP(T185,'Circuit Breakers'!$B$5:$B$38,'Circuit Breakers'!$C$5:$C$38)</f>
        <v>600</v>
      </c>
      <c r="V185" s="106">
        <f t="shared" si="150"/>
        <v>15</v>
      </c>
      <c r="W185" s="104">
        <f t="shared" si="151"/>
        <v>76.077926096341315</v>
      </c>
      <c r="X185" s="101" t="str">
        <f>LOOKUP(W185,'Wire-Cables Ampacities'!$B$5:$B$35,'Wire-Cables Ampacities'!$C$5:$C$35)</f>
        <v>#6</v>
      </c>
      <c r="Y185" s="106">
        <f t="shared" si="152"/>
        <v>10</v>
      </c>
      <c r="Z185" s="104">
        <f t="shared" si="153"/>
        <v>438.24</v>
      </c>
      <c r="AA185" s="101" t="str">
        <f>LOOKUP(Z185,'Wire-Cables Ampacities'!$B$5:$B$35,'Wire-Cables Ampacities'!$C$5:$C$35)</f>
        <v>#3/0 2x</v>
      </c>
      <c r="AB185" s="106">
        <f t="shared" si="154"/>
        <v>10</v>
      </c>
      <c r="AC185" s="104">
        <f t="shared" si="155"/>
        <v>440.00000000000006</v>
      </c>
      <c r="AD185" s="101" t="str">
        <f>LOOKUP(AC185,'Wire-Cables Ampacities'!$B$5:$B$35,'Wire-Cables Ampacities'!$C$5:$C$35)</f>
        <v>#3/0 2x</v>
      </c>
      <c r="AE185" s="107">
        <f t="shared" si="156"/>
        <v>4.6500000000000004</v>
      </c>
      <c r="AF185" s="105">
        <f t="shared" si="139"/>
        <v>15866.460300000001</v>
      </c>
      <c r="AG185" s="98">
        <f t="shared" si="157"/>
        <v>40</v>
      </c>
      <c r="AH185" s="99">
        <f t="shared" si="157"/>
        <v>55</v>
      </c>
      <c r="AI185" s="106">
        <f t="shared" si="157"/>
        <v>20</v>
      </c>
      <c r="AJ185" s="105">
        <f t="shared" si="158"/>
        <v>654.72</v>
      </c>
      <c r="AK185" s="272">
        <f t="shared" si="159"/>
        <v>6.5472000000000001</v>
      </c>
      <c r="AL185" s="278">
        <f t="shared" si="160"/>
        <v>3.2736000000000001</v>
      </c>
      <c r="AM185" s="109">
        <v>1200</v>
      </c>
      <c r="AN185" s="104">
        <v>38</v>
      </c>
      <c r="AO185" s="110">
        <v>70</v>
      </c>
      <c r="AP185" s="110">
        <v>28</v>
      </c>
      <c r="AQ185" s="282">
        <f t="shared" si="161"/>
        <v>71.555555555555557</v>
      </c>
      <c r="AR185" s="288">
        <f t="shared" si="162"/>
        <v>14524.793633333335</v>
      </c>
      <c r="AS185" s="93"/>
      <c r="AT185" s="4"/>
    </row>
    <row r="186" spans="1:46">
      <c r="A186" s="72">
        <f t="shared" si="141"/>
        <v>36</v>
      </c>
      <c r="B186" s="15">
        <v>2.4500000000000002</v>
      </c>
      <c r="C186" s="66">
        <f t="shared" si="142"/>
        <v>88.2</v>
      </c>
      <c r="D186" s="68">
        <v>450</v>
      </c>
      <c r="E186" s="66">
        <f t="shared" si="143"/>
        <v>480</v>
      </c>
      <c r="F186" s="45">
        <f t="shared" si="144"/>
        <v>73.371596709514947</v>
      </c>
      <c r="G186" s="94">
        <f t="shared" si="145"/>
        <v>12</v>
      </c>
      <c r="H186" s="295">
        <f t="shared" si="132"/>
        <v>45.27955200000001</v>
      </c>
      <c r="I186" s="25">
        <f t="shared" si="133"/>
        <v>78.426484607956979</v>
      </c>
      <c r="J186" s="52">
        <f t="shared" si="146"/>
        <v>20</v>
      </c>
      <c r="K186" s="25">
        <f t="shared" si="134"/>
        <v>448.2</v>
      </c>
      <c r="L186" s="157">
        <f t="shared" si="135"/>
        <v>61</v>
      </c>
      <c r="M186" s="64">
        <f t="shared" si="147"/>
        <v>30</v>
      </c>
      <c r="N186" s="838">
        <f t="shared" si="136"/>
        <v>95.383075722369441</v>
      </c>
      <c r="O186" s="68">
        <f>LOOKUP(N186,'Circuit Breakers'!$B$5:$B$38,'Circuit Breakers'!$C$5:$C$38)</f>
        <v>100</v>
      </c>
      <c r="P186" s="199">
        <f t="shared" si="137"/>
        <v>30</v>
      </c>
      <c r="Q186" s="1056">
        <f t="shared" si="148"/>
        <v>582.66</v>
      </c>
      <c r="R186" s="1064">
        <f>LOOKUP(Q186,'Circuit Breakers'!$B$5:$B$38,'Circuit Breakers'!$C$5:$C$38)</f>
        <v>600</v>
      </c>
      <c r="S186" s="64">
        <f t="shared" si="138"/>
        <v>30</v>
      </c>
      <c r="T186" s="25">
        <f t="shared" si="149"/>
        <v>585</v>
      </c>
      <c r="U186" s="158">
        <f>LOOKUP(T186,'Circuit Breakers'!$B$5:$B$38,'Circuit Breakers'!$C$5:$C$38)</f>
        <v>600</v>
      </c>
      <c r="V186" s="64">
        <f t="shared" si="150"/>
        <v>15</v>
      </c>
      <c r="W186" s="25">
        <f t="shared" si="151"/>
        <v>84.377336215942179</v>
      </c>
      <c r="X186" s="68" t="str">
        <f>LOOKUP(W186,'Wire-Cables Ampacities'!$B$5:$B$35,'Wire-Cables Ampacities'!$C$5:$C$35)</f>
        <v>#4</v>
      </c>
      <c r="Y186" s="64">
        <f t="shared" si="152"/>
        <v>10</v>
      </c>
      <c r="Z186" s="25">
        <f t="shared" si="153"/>
        <v>493.02000000000004</v>
      </c>
      <c r="AA186" s="68" t="str">
        <f>LOOKUP(Z186,'Wire-Cables Ampacities'!$B$5:$B$35,'Wire-Cables Ampacities'!$C$5:$C$35)</f>
        <v>#3/0 2x</v>
      </c>
      <c r="AB186" s="64">
        <f t="shared" si="154"/>
        <v>10</v>
      </c>
      <c r="AC186" s="25">
        <f t="shared" si="155"/>
        <v>495.00000000000006</v>
      </c>
      <c r="AD186" s="68" t="str">
        <f>LOOKUP(AC186,'Wire-Cables Ampacities'!$B$5:$B$35,'Wire-Cables Ampacities'!$C$5:$C$35)</f>
        <v>#3/0 2x</v>
      </c>
      <c r="AE186" s="81">
        <f t="shared" si="156"/>
        <v>5.1700000000000008</v>
      </c>
      <c r="AF186" s="56">
        <f t="shared" si="139"/>
        <v>17640.774140000001</v>
      </c>
      <c r="AG186" s="72">
        <f t="shared" si="157"/>
        <v>40</v>
      </c>
      <c r="AH186" s="15">
        <f t="shared" si="157"/>
        <v>55</v>
      </c>
      <c r="AI186" s="64">
        <f t="shared" si="157"/>
        <v>20</v>
      </c>
      <c r="AJ186" s="56">
        <f t="shared" si="158"/>
        <v>727.93600000000004</v>
      </c>
      <c r="AK186" s="271">
        <f t="shared" si="159"/>
        <v>7.2793600000000005</v>
      </c>
      <c r="AL186" s="277">
        <f t="shared" si="160"/>
        <v>3.6396800000000002</v>
      </c>
      <c r="AM186" s="58">
        <v>1200</v>
      </c>
      <c r="AN186" s="25">
        <v>38</v>
      </c>
      <c r="AO186" s="3">
        <v>70</v>
      </c>
      <c r="AP186" s="3">
        <v>28</v>
      </c>
      <c r="AQ186" s="281">
        <f t="shared" si="161"/>
        <v>71.555555555555557</v>
      </c>
      <c r="AR186" s="287">
        <f t="shared" si="162"/>
        <v>16299.107473333335</v>
      </c>
      <c r="AS186" s="93"/>
      <c r="AT186" s="4"/>
    </row>
    <row r="187" spans="1:46">
      <c r="A187" s="72">
        <f t="shared" si="141"/>
        <v>36</v>
      </c>
      <c r="B187" s="15">
        <v>2.4500000000000002</v>
      </c>
      <c r="C187" s="66">
        <f t="shared" si="142"/>
        <v>88.2</v>
      </c>
      <c r="D187" s="68">
        <v>500</v>
      </c>
      <c r="E187" s="66">
        <f t="shared" si="143"/>
        <v>480</v>
      </c>
      <c r="F187" s="45">
        <f t="shared" si="144"/>
        <v>81.791288135196979</v>
      </c>
      <c r="G187" s="94">
        <f t="shared" si="145"/>
        <v>12</v>
      </c>
      <c r="H187" s="295">
        <f t="shared" si="132"/>
        <v>45.27955200000001</v>
      </c>
      <c r="I187" s="25">
        <f t="shared" si="133"/>
        <v>78.426484607956979</v>
      </c>
      <c r="J187" s="52">
        <f t="shared" si="146"/>
        <v>20</v>
      </c>
      <c r="K187" s="25">
        <f t="shared" si="134"/>
        <v>498</v>
      </c>
      <c r="L187" s="157">
        <f t="shared" si="135"/>
        <v>68</v>
      </c>
      <c r="M187" s="64">
        <f t="shared" si="147"/>
        <v>30</v>
      </c>
      <c r="N187" s="838">
        <f t="shared" si="136"/>
        <v>106.32867457575608</v>
      </c>
      <c r="O187" s="68">
        <f>LOOKUP(N187,'Circuit Breakers'!$B$5:$B$38,'Circuit Breakers'!$C$5:$C$38)</f>
        <v>110</v>
      </c>
      <c r="P187" s="199">
        <f t="shared" si="137"/>
        <v>30</v>
      </c>
      <c r="Q187" s="1056">
        <f t="shared" si="148"/>
        <v>647.4</v>
      </c>
      <c r="R187" s="1064">
        <f>LOOKUP(Q187,'Circuit Breakers'!$B$5:$B$38,'Circuit Breakers'!$C$5:$C$38)</f>
        <v>700</v>
      </c>
      <c r="S187" s="64">
        <f t="shared" si="138"/>
        <v>30</v>
      </c>
      <c r="T187" s="25">
        <f t="shared" si="149"/>
        <v>650</v>
      </c>
      <c r="U187" s="158">
        <f>LOOKUP(T187,'Circuit Breakers'!$B$5:$B$38,'Circuit Breakers'!$C$5:$C$38)</f>
        <v>700</v>
      </c>
      <c r="V187" s="64">
        <f t="shared" si="150"/>
        <v>15</v>
      </c>
      <c r="W187" s="25">
        <f t="shared" si="151"/>
        <v>94.059981355476523</v>
      </c>
      <c r="X187" s="68" t="str">
        <f>LOOKUP(W187,'Wire-Cables Ampacities'!$B$5:$B$35,'Wire-Cables Ampacities'!$C$5:$C$35)</f>
        <v>#4</v>
      </c>
      <c r="Y187" s="64">
        <f t="shared" si="152"/>
        <v>10</v>
      </c>
      <c r="Z187" s="25">
        <f t="shared" si="153"/>
        <v>547.80000000000007</v>
      </c>
      <c r="AA187" s="68" t="str">
        <f>LOOKUP(Z187,'Wire-Cables Ampacities'!$B$5:$B$35,'Wire-Cables Ampacities'!$C$5:$C$35)</f>
        <v>#4/0 2x</v>
      </c>
      <c r="AB187" s="64">
        <f t="shared" si="154"/>
        <v>10</v>
      </c>
      <c r="AC187" s="25">
        <f t="shared" si="155"/>
        <v>550</v>
      </c>
      <c r="AD187" s="68" t="str">
        <f>LOOKUP(AC187,'Wire-Cables Ampacities'!$B$5:$B$35,'Wire-Cables Ampacities'!$C$5:$C$35)</f>
        <v>#4/0 2x</v>
      </c>
      <c r="AE187" s="81">
        <f t="shared" si="156"/>
        <v>5.7600000000000007</v>
      </c>
      <c r="AF187" s="56">
        <f t="shared" si="139"/>
        <v>19653.93792</v>
      </c>
      <c r="AG187" s="72">
        <f t="shared" si="157"/>
        <v>40</v>
      </c>
      <c r="AH187" s="15">
        <f t="shared" si="157"/>
        <v>55</v>
      </c>
      <c r="AI187" s="64">
        <f t="shared" si="157"/>
        <v>20</v>
      </c>
      <c r="AJ187" s="56">
        <f t="shared" si="158"/>
        <v>811.00800000000004</v>
      </c>
      <c r="AK187" s="271">
        <f t="shared" si="159"/>
        <v>8.11008</v>
      </c>
      <c r="AL187" s="277">
        <f t="shared" si="160"/>
        <v>4.05504</v>
      </c>
      <c r="AM187" s="58">
        <v>1200</v>
      </c>
      <c r="AN187" s="25">
        <v>38</v>
      </c>
      <c r="AO187" s="3">
        <v>70</v>
      </c>
      <c r="AP187" s="3">
        <v>28</v>
      </c>
      <c r="AQ187" s="281">
        <f t="shared" si="161"/>
        <v>71.555555555555557</v>
      </c>
      <c r="AR187" s="287">
        <f t="shared" si="162"/>
        <v>18312.271253333332</v>
      </c>
      <c r="AS187" s="93"/>
      <c r="AT187" s="4"/>
    </row>
    <row r="188" spans="1:46">
      <c r="A188" s="98">
        <f t="shared" si="141"/>
        <v>36</v>
      </c>
      <c r="B188" s="99">
        <v>2.4500000000000002</v>
      </c>
      <c r="C188" s="100">
        <f t="shared" si="142"/>
        <v>88.2</v>
      </c>
      <c r="D188" s="101">
        <v>600</v>
      </c>
      <c r="E188" s="100">
        <f t="shared" si="143"/>
        <v>480</v>
      </c>
      <c r="F188" s="102">
        <f t="shared" si="144"/>
        <v>98.630670986561086</v>
      </c>
      <c r="G188" s="103">
        <f t="shared" si="145"/>
        <v>12</v>
      </c>
      <c r="H188" s="296">
        <f t="shared" si="132"/>
        <v>45.27955200000001</v>
      </c>
      <c r="I188" s="104">
        <f t="shared" si="133"/>
        <v>78.426484607956979</v>
      </c>
      <c r="J188" s="180">
        <f t="shared" si="146"/>
        <v>20</v>
      </c>
      <c r="K188" s="104">
        <f t="shared" si="134"/>
        <v>597.6</v>
      </c>
      <c r="L188" s="263">
        <f t="shared" si="135"/>
        <v>82</v>
      </c>
      <c r="M188" s="106">
        <f t="shared" si="147"/>
        <v>30</v>
      </c>
      <c r="N188" s="1060">
        <f t="shared" si="136"/>
        <v>128.21987228252942</v>
      </c>
      <c r="O188" s="101">
        <f>LOOKUP(N188,'Circuit Breakers'!$B$5:$B$38,'Circuit Breakers'!$C$5:$C$38)</f>
        <v>150</v>
      </c>
      <c r="P188" s="262">
        <f t="shared" si="137"/>
        <v>30</v>
      </c>
      <c r="Q188" s="1057">
        <f t="shared" si="148"/>
        <v>776.88000000000011</v>
      </c>
      <c r="R188" s="1065">
        <f>LOOKUP(Q188,'Circuit Breakers'!$B$5:$B$38,'Circuit Breakers'!$C$5:$C$38)</f>
        <v>800</v>
      </c>
      <c r="S188" s="106">
        <f t="shared" si="138"/>
        <v>30</v>
      </c>
      <c r="T188" s="104">
        <f t="shared" si="149"/>
        <v>780</v>
      </c>
      <c r="U188" s="477">
        <f>LOOKUP(T188,'Circuit Breakers'!$B$5:$B$38,'Circuit Breakers'!$C$5:$C$38)</f>
        <v>800</v>
      </c>
      <c r="V188" s="106">
        <f t="shared" si="150"/>
        <v>15</v>
      </c>
      <c r="W188" s="104">
        <f t="shared" si="151"/>
        <v>113.42527163454524</v>
      </c>
      <c r="X188" s="101" t="str">
        <f>LOOKUP(W188,'Wire-Cables Ampacities'!$B$5:$B$35,'Wire-Cables Ampacities'!$C$5:$C$35)</f>
        <v>#3</v>
      </c>
      <c r="Y188" s="106">
        <f t="shared" si="152"/>
        <v>10</v>
      </c>
      <c r="Z188" s="104">
        <f t="shared" si="153"/>
        <v>657.36000000000013</v>
      </c>
      <c r="AA188" s="101" t="str">
        <f>LOOKUP(Z188,'Wire-Cables Ampacities'!$B$5:$B$35,'Wire-Cables Ampacities'!$C$5:$C$35)</f>
        <v>300MCM 2x</v>
      </c>
      <c r="AB188" s="106">
        <f t="shared" si="154"/>
        <v>10</v>
      </c>
      <c r="AC188" s="104">
        <f t="shared" si="155"/>
        <v>660</v>
      </c>
      <c r="AD188" s="101" t="str">
        <f>LOOKUP(AC188,'Wire-Cables Ampacities'!$B$5:$B$35,'Wire-Cables Ampacities'!$C$5:$C$35)</f>
        <v>300MCM 2x</v>
      </c>
      <c r="AE188" s="107">
        <f t="shared" si="156"/>
        <v>6.94</v>
      </c>
      <c r="AF188" s="105">
        <f t="shared" si="139"/>
        <v>23680.265479999998</v>
      </c>
      <c r="AG188" s="98">
        <f t="shared" si="157"/>
        <v>40</v>
      </c>
      <c r="AH188" s="99">
        <f t="shared" si="157"/>
        <v>55</v>
      </c>
      <c r="AI188" s="106">
        <f t="shared" si="157"/>
        <v>20</v>
      </c>
      <c r="AJ188" s="105">
        <f t="shared" si="158"/>
        <v>977.15200000000004</v>
      </c>
      <c r="AK188" s="272">
        <f t="shared" si="159"/>
        <v>9.7715200000000006</v>
      </c>
      <c r="AL188" s="278">
        <f t="shared" si="160"/>
        <v>4.8857600000000003</v>
      </c>
      <c r="AM188" s="109">
        <v>1200</v>
      </c>
      <c r="AN188" s="104">
        <v>38</v>
      </c>
      <c r="AO188" s="110">
        <v>70</v>
      </c>
      <c r="AP188" s="110">
        <v>28</v>
      </c>
      <c r="AQ188" s="282">
        <f t="shared" si="161"/>
        <v>71.555555555555557</v>
      </c>
      <c r="AR188" s="288">
        <f t="shared" si="162"/>
        <v>22338.59881333333</v>
      </c>
      <c r="AS188" s="93"/>
      <c r="AT188" s="4"/>
    </row>
    <row r="189" spans="1:46">
      <c r="A189" s="72">
        <f t="shared" si="141"/>
        <v>36</v>
      </c>
      <c r="B189" s="15">
        <v>2.4500000000000002</v>
      </c>
      <c r="C189" s="66">
        <f t="shared" si="142"/>
        <v>88.2</v>
      </c>
      <c r="D189" s="68">
        <v>700</v>
      </c>
      <c r="E189" s="66">
        <f t="shared" si="143"/>
        <v>480</v>
      </c>
      <c r="F189" s="45">
        <f t="shared" si="144"/>
        <v>114.26724077711343</v>
      </c>
      <c r="G189" s="94">
        <f t="shared" si="145"/>
        <v>12</v>
      </c>
      <c r="H189" s="295">
        <f t="shared" si="132"/>
        <v>45.27955200000001</v>
      </c>
      <c r="I189" s="25">
        <f t="shared" si="133"/>
        <v>78.426484607956979</v>
      </c>
      <c r="J189" s="52">
        <f t="shared" si="146"/>
        <v>20</v>
      </c>
      <c r="K189" s="25">
        <f t="shared" si="134"/>
        <v>697.19999999999993</v>
      </c>
      <c r="L189" s="157">
        <f t="shared" si="135"/>
        <v>95</v>
      </c>
      <c r="M189" s="64">
        <f t="shared" si="147"/>
        <v>30</v>
      </c>
      <c r="N189" s="838">
        <f t="shared" si="136"/>
        <v>148.54741301024745</v>
      </c>
      <c r="O189" s="68">
        <f>LOOKUP(N189,'Circuit Breakers'!$B$5:$B$38,'Circuit Breakers'!$C$5:$C$38)</f>
        <v>150</v>
      </c>
      <c r="P189" s="199">
        <f t="shared" si="137"/>
        <v>30</v>
      </c>
      <c r="Q189" s="1056">
        <f t="shared" si="148"/>
        <v>906.3599999999999</v>
      </c>
      <c r="R189" s="1064">
        <f>LOOKUP(Q189,'Circuit Breakers'!$B$5:$B$38,'Circuit Breakers'!$C$5:$C$38)</f>
        <v>1000</v>
      </c>
      <c r="S189" s="64">
        <f t="shared" si="138"/>
        <v>30</v>
      </c>
      <c r="T189" s="25">
        <f t="shared" si="149"/>
        <v>910</v>
      </c>
      <c r="U189" s="158">
        <f>LOOKUP(T189,'Circuit Breakers'!$B$5:$B$38,'Circuit Breakers'!$C$5:$C$38)</f>
        <v>1000</v>
      </c>
      <c r="V189" s="64">
        <f t="shared" si="150"/>
        <v>15</v>
      </c>
      <c r="W189" s="25">
        <f t="shared" si="151"/>
        <v>131.40732689368042</v>
      </c>
      <c r="X189" s="68" t="str">
        <f>LOOKUP(W189,'Wire-Cables Ampacities'!$B$5:$B$35,'Wire-Cables Ampacities'!$C$5:$C$35)</f>
        <v>#2</v>
      </c>
      <c r="Y189" s="64">
        <f t="shared" si="152"/>
        <v>10</v>
      </c>
      <c r="Z189" s="25">
        <f t="shared" si="153"/>
        <v>766.92</v>
      </c>
      <c r="AA189" s="68" t="str">
        <f>LOOKUP(Z189,'Wire-Cables Ampacities'!$B$5:$B$35,'Wire-Cables Ampacities'!$C$5:$C$35)</f>
        <v>Buss</v>
      </c>
      <c r="AB189" s="64">
        <f t="shared" si="154"/>
        <v>10</v>
      </c>
      <c r="AC189" s="25">
        <f t="shared" si="155"/>
        <v>770.00000000000011</v>
      </c>
      <c r="AD189" s="68" t="str">
        <f>LOOKUP(AC189,'Wire-Cables Ampacities'!$B$5:$B$35,'Wire-Cables Ampacities'!$C$5:$C$35)</f>
        <v>Buss</v>
      </c>
      <c r="AE189" s="81">
        <f t="shared" si="156"/>
        <v>8.0500000000000007</v>
      </c>
      <c r="AF189" s="56">
        <f t="shared" si="139"/>
        <v>27467.7431</v>
      </c>
      <c r="AG189" s="72">
        <f t="shared" si="157"/>
        <v>40</v>
      </c>
      <c r="AH189" s="15">
        <f t="shared" si="157"/>
        <v>55</v>
      </c>
      <c r="AI189" s="64">
        <f t="shared" si="157"/>
        <v>20</v>
      </c>
      <c r="AJ189" s="56">
        <f t="shared" si="158"/>
        <v>1133.44</v>
      </c>
      <c r="AK189" s="271">
        <f t="shared" si="159"/>
        <v>11.3344</v>
      </c>
      <c r="AL189" s="277">
        <f t="shared" si="160"/>
        <v>5.6672000000000002</v>
      </c>
      <c r="AM189" s="58">
        <v>1200</v>
      </c>
      <c r="AN189" s="25">
        <v>38</v>
      </c>
      <c r="AO189" s="3">
        <v>70</v>
      </c>
      <c r="AP189" s="3">
        <v>28</v>
      </c>
      <c r="AQ189" s="281">
        <f t="shared" si="161"/>
        <v>71.555555555555557</v>
      </c>
      <c r="AR189" s="287">
        <f t="shared" si="162"/>
        <v>26126.076433333332</v>
      </c>
      <c r="AS189" s="93"/>
      <c r="AT189" s="4"/>
    </row>
    <row r="190" spans="1:46">
      <c r="A190" s="72">
        <f t="shared" si="141"/>
        <v>36</v>
      </c>
      <c r="B190" s="15">
        <v>2.4500000000000002</v>
      </c>
      <c r="C190" s="66">
        <f t="shared" si="142"/>
        <v>88.2</v>
      </c>
      <c r="D190" s="68">
        <v>800</v>
      </c>
      <c r="E190" s="66">
        <f t="shared" si="143"/>
        <v>480</v>
      </c>
      <c r="F190" s="45">
        <f t="shared" si="144"/>
        <v>131.10662362847754</v>
      </c>
      <c r="G190" s="94">
        <f t="shared" si="145"/>
        <v>12</v>
      </c>
      <c r="H190" s="295">
        <f t="shared" si="132"/>
        <v>45.27955200000001</v>
      </c>
      <c r="I190" s="25">
        <f t="shared" si="133"/>
        <v>78.426484607956979</v>
      </c>
      <c r="J190" s="52">
        <f t="shared" si="146"/>
        <v>20</v>
      </c>
      <c r="K190" s="25">
        <f t="shared" si="134"/>
        <v>796.8</v>
      </c>
      <c r="L190" s="157">
        <f t="shared" si="135"/>
        <v>109</v>
      </c>
      <c r="M190" s="64">
        <f t="shared" si="147"/>
        <v>30</v>
      </c>
      <c r="N190" s="838">
        <f t="shared" si="136"/>
        <v>170.43861071702079</v>
      </c>
      <c r="O190" s="68">
        <f>LOOKUP(N190,'Circuit Breakers'!$B$5:$B$38,'Circuit Breakers'!$C$5:$C$38)</f>
        <v>175</v>
      </c>
      <c r="P190" s="199">
        <f t="shared" si="137"/>
        <v>30</v>
      </c>
      <c r="Q190" s="1056">
        <f t="shared" si="148"/>
        <v>1035.8399999999999</v>
      </c>
      <c r="R190" s="1064">
        <f>LOOKUP(Q190,'Circuit Breakers'!$B$5:$B$38,'Circuit Breakers'!$C$5:$C$38)</f>
        <v>1200</v>
      </c>
      <c r="S190" s="64">
        <f t="shared" si="138"/>
        <v>30</v>
      </c>
      <c r="T190" s="25">
        <f t="shared" si="149"/>
        <v>1040</v>
      </c>
      <c r="U190" s="158">
        <f>LOOKUP(T190,'Circuit Breakers'!$B$5:$B$38,'Circuit Breakers'!$C$5:$C$38)</f>
        <v>1200</v>
      </c>
      <c r="V190" s="64">
        <f t="shared" si="150"/>
        <v>15</v>
      </c>
      <c r="W190" s="25">
        <f t="shared" si="151"/>
        <v>150.77261717274916</v>
      </c>
      <c r="X190" s="68" t="str">
        <f>LOOKUP(W190,'Wire-Cables Ampacities'!$B$5:$B$35,'Wire-Cables Ampacities'!$C$5:$C$35)</f>
        <v>#1</v>
      </c>
      <c r="Y190" s="64">
        <f t="shared" si="152"/>
        <v>10</v>
      </c>
      <c r="Z190" s="25">
        <f t="shared" si="153"/>
        <v>876.48</v>
      </c>
      <c r="AA190" s="68" t="str">
        <f>LOOKUP(Z190,'Wire-Cables Ampacities'!$B$5:$B$35,'Wire-Cables Ampacities'!$C$5:$C$35)</f>
        <v>Buss</v>
      </c>
      <c r="AB190" s="64">
        <f t="shared" si="154"/>
        <v>10</v>
      </c>
      <c r="AC190" s="25">
        <f t="shared" si="155"/>
        <v>880.00000000000011</v>
      </c>
      <c r="AD190" s="68" t="str">
        <f>LOOKUP(AC190,'Wire-Cables Ampacities'!$B$5:$B$35,'Wire-Cables Ampacities'!$C$5:$C$35)</f>
        <v>Buss</v>
      </c>
      <c r="AE190" s="81">
        <f t="shared" si="156"/>
        <v>9.23</v>
      </c>
      <c r="AF190" s="56">
        <f t="shared" si="139"/>
        <v>31494.070659999998</v>
      </c>
      <c r="AG190" s="72">
        <f t="shared" si="157"/>
        <v>40</v>
      </c>
      <c r="AH190" s="15">
        <f t="shared" si="157"/>
        <v>55</v>
      </c>
      <c r="AI190" s="64">
        <f t="shared" si="157"/>
        <v>20</v>
      </c>
      <c r="AJ190" s="56">
        <f t="shared" si="158"/>
        <v>1299.5840000000001</v>
      </c>
      <c r="AK190" s="271">
        <f t="shared" si="159"/>
        <v>12.995840000000001</v>
      </c>
      <c r="AL190" s="277">
        <f t="shared" si="160"/>
        <v>6.4979200000000006</v>
      </c>
      <c r="AM190" s="58">
        <v>1200</v>
      </c>
      <c r="AN190" s="25">
        <v>38</v>
      </c>
      <c r="AO190" s="3">
        <v>70</v>
      </c>
      <c r="AP190" s="3">
        <v>28</v>
      </c>
      <c r="AQ190" s="281">
        <f t="shared" si="161"/>
        <v>71.555555555555557</v>
      </c>
      <c r="AR190" s="287">
        <f t="shared" si="162"/>
        <v>30152.40399333333</v>
      </c>
      <c r="AS190" s="93"/>
      <c r="AT190" s="4"/>
    </row>
    <row r="191" spans="1:46">
      <c r="A191" s="98">
        <f t="shared" si="141"/>
        <v>36</v>
      </c>
      <c r="B191" s="99">
        <v>2.4500000000000002</v>
      </c>
      <c r="C191" s="100">
        <f t="shared" si="142"/>
        <v>88.2</v>
      </c>
      <c r="D191" s="101">
        <v>900</v>
      </c>
      <c r="E191" s="100">
        <f t="shared" si="143"/>
        <v>480</v>
      </c>
      <c r="F191" s="102">
        <f t="shared" si="144"/>
        <v>146.74319341902989</v>
      </c>
      <c r="G191" s="103">
        <f t="shared" si="145"/>
        <v>12</v>
      </c>
      <c r="H191" s="296">
        <f t="shared" si="132"/>
        <v>45.27955200000001</v>
      </c>
      <c r="I191" s="104">
        <f t="shared" si="133"/>
        <v>78.426484607956979</v>
      </c>
      <c r="J191" s="180">
        <f t="shared" si="146"/>
        <v>20</v>
      </c>
      <c r="K191" s="104">
        <f t="shared" si="134"/>
        <v>896.4</v>
      </c>
      <c r="L191" s="263">
        <f t="shared" si="135"/>
        <v>122</v>
      </c>
      <c r="M191" s="106">
        <f t="shared" si="147"/>
        <v>30</v>
      </c>
      <c r="N191" s="1060">
        <f t="shared" si="136"/>
        <v>190.76615144473888</v>
      </c>
      <c r="O191" s="101">
        <f>LOOKUP(N191,'Circuit Breakers'!$B$5:$B$38,'Circuit Breakers'!$C$5:$C$38)</f>
        <v>200</v>
      </c>
      <c r="P191" s="262">
        <f t="shared" si="137"/>
        <v>30</v>
      </c>
      <c r="Q191" s="1057">
        <f t="shared" si="148"/>
        <v>1165.32</v>
      </c>
      <c r="R191" s="1065">
        <f>LOOKUP(Q191,'Circuit Breakers'!$B$5:$B$38,'Circuit Breakers'!$C$5:$C$38)</f>
        <v>1200</v>
      </c>
      <c r="S191" s="106">
        <f t="shared" si="138"/>
        <v>30</v>
      </c>
      <c r="T191" s="104">
        <f t="shared" si="149"/>
        <v>1170</v>
      </c>
      <c r="U191" s="477">
        <f>LOOKUP(T191,'Circuit Breakers'!$B$5:$B$38,'Circuit Breakers'!$C$5:$C$38)</f>
        <v>1200</v>
      </c>
      <c r="V191" s="106">
        <f t="shared" si="150"/>
        <v>15</v>
      </c>
      <c r="W191" s="104">
        <f t="shared" si="151"/>
        <v>168.75467243188436</v>
      </c>
      <c r="X191" s="101" t="str">
        <f>LOOKUP(W191,'Wire-Cables Ampacities'!$B$5:$B$35,'Wire-Cables Ampacities'!$C$5:$C$35)</f>
        <v>#1/0</v>
      </c>
      <c r="Y191" s="106">
        <f t="shared" si="152"/>
        <v>10</v>
      </c>
      <c r="Z191" s="104">
        <f t="shared" si="153"/>
        <v>986.04000000000008</v>
      </c>
      <c r="AA191" s="101" t="str">
        <f>LOOKUP(Z191,'Wire-Cables Ampacities'!$B$5:$B$35,'Wire-Cables Ampacities'!$C$5:$C$35)</f>
        <v>Buss</v>
      </c>
      <c r="AB191" s="106">
        <f t="shared" si="154"/>
        <v>10</v>
      </c>
      <c r="AC191" s="104">
        <f t="shared" si="155"/>
        <v>990.00000000000011</v>
      </c>
      <c r="AD191" s="101" t="str">
        <f>LOOKUP(AC191,'Wire-Cables Ampacities'!$B$5:$B$35,'Wire-Cables Ampacities'!$C$5:$C$35)</f>
        <v>Buss</v>
      </c>
      <c r="AE191" s="107">
        <f t="shared" si="156"/>
        <v>10.340000000000002</v>
      </c>
      <c r="AF191" s="105">
        <f t="shared" si="139"/>
        <v>35281.548280000003</v>
      </c>
      <c r="AG191" s="98">
        <f t="shared" si="157"/>
        <v>40</v>
      </c>
      <c r="AH191" s="99">
        <f t="shared" si="157"/>
        <v>55</v>
      </c>
      <c r="AI191" s="106">
        <f t="shared" si="157"/>
        <v>20</v>
      </c>
      <c r="AJ191" s="105">
        <f t="shared" si="158"/>
        <v>1455.8720000000001</v>
      </c>
      <c r="AK191" s="272">
        <f t="shared" si="159"/>
        <v>14.558720000000001</v>
      </c>
      <c r="AL191" s="278">
        <f t="shared" si="160"/>
        <v>7.2793600000000005</v>
      </c>
      <c r="AM191" s="109">
        <v>1200</v>
      </c>
      <c r="AN191" s="104">
        <v>38</v>
      </c>
      <c r="AO191" s="110">
        <v>70</v>
      </c>
      <c r="AP191" s="110">
        <v>28</v>
      </c>
      <c r="AQ191" s="282">
        <f t="shared" si="161"/>
        <v>71.555555555555557</v>
      </c>
      <c r="AR191" s="288">
        <f t="shared" si="162"/>
        <v>33939.881613333338</v>
      </c>
      <c r="AS191" s="93"/>
      <c r="AT191" s="4"/>
    </row>
    <row r="192" spans="1:46">
      <c r="A192" s="72">
        <f t="shared" si="141"/>
        <v>36</v>
      </c>
      <c r="B192" s="794">
        <v>2.4500000000000002</v>
      </c>
      <c r="C192" s="66">
        <f t="shared" si="142"/>
        <v>88.2</v>
      </c>
      <c r="D192" s="68">
        <v>1000</v>
      </c>
      <c r="E192" s="66">
        <f t="shared" si="143"/>
        <v>480</v>
      </c>
      <c r="F192" s="45">
        <f t="shared" si="144"/>
        <v>163.58257627039396</v>
      </c>
      <c r="G192" s="94">
        <f t="shared" si="145"/>
        <v>12</v>
      </c>
      <c r="H192" s="295">
        <f t="shared" si="132"/>
        <v>45.27955200000001</v>
      </c>
      <c r="I192" s="25">
        <f t="shared" si="133"/>
        <v>78.426484607956979</v>
      </c>
      <c r="J192" s="52">
        <f t="shared" si="146"/>
        <v>20</v>
      </c>
      <c r="K192" s="25">
        <f t="shared" si="134"/>
        <v>996</v>
      </c>
      <c r="L192" s="157">
        <f t="shared" si="135"/>
        <v>136</v>
      </c>
      <c r="M192" s="64">
        <f t="shared" si="147"/>
        <v>30</v>
      </c>
      <c r="N192" s="838">
        <f t="shared" si="136"/>
        <v>212.65734915151216</v>
      </c>
      <c r="O192" s="68">
        <f>LOOKUP(N192,'Circuit Breakers'!$B$5:$B$38,'Circuit Breakers'!$C$5:$C$38)</f>
        <v>225</v>
      </c>
      <c r="P192" s="199">
        <f t="shared" si="137"/>
        <v>30</v>
      </c>
      <c r="Q192" s="1056">
        <f t="shared" si="148"/>
        <v>1294.8</v>
      </c>
      <c r="R192" s="1064" t="str">
        <f>LOOKUP(Q192,'Circuit Breakers'!$B$5:$B$38,'Circuit Breakers'!$C$5:$C$38)</f>
        <v>Check</v>
      </c>
      <c r="S192" s="64">
        <f t="shared" si="138"/>
        <v>30</v>
      </c>
      <c r="T192" s="25">
        <f t="shared" si="149"/>
        <v>1300</v>
      </c>
      <c r="U192" s="158" t="str">
        <f>LOOKUP(T192,'Circuit Breakers'!$B$5:$B$38,'Circuit Breakers'!$C$5:$C$38)</f>
        <v>Check</v>
      </c>
      <c r="V192" s="64">
        <f t="shared" si="150"/>
        <v>15</v>
      </c>
      <c r="W192" s="25">
        <f t="shared" si="151"/>
        <v>188.11996271095305</v>
      </c>
      <c r="X192" s="68" t="str">
        <f>LOOKUP(W192,'Wire-Cables Ampacities'!$B$5:$B$35,'Wire-Cables Ampacities'!$C$5:$C$35)</f>
        <v>#1/0</v>
      </c>
      <c r="Y192" s="64">
        <f t="shared" si="152"/>
        <v>10</v>
      </c>
      <c r="Z192" s="25">
        <f t="shared" si="153"/>
        <v>1095.6000000000001</v>
      </c>
      <c r="AA192" s="68" t="str">
        <f>LOOKUP(Z192,'Wire-Cables Ampacities'!$B$5:$B$35,'Wire-Cables Ampacities'!$C$5:$C$35)</f>
        <v>Buss</v>
      </c>
      <c r="AB192" s="64">
        <f t="shared" si="154"/>
        <v>10</v>
      </c>
      <c r="AC192" s="25">
        <f t="shared" si="155"/>
        <v>1100</v>
      </c>
      <c r="AD192" s="68" t="str">
        <f>LOOKUP(AC192,'Wire-Cables Ampacities'!$B$5:$B$35,'Wire-Cables Ampacities'!$C$5:$C$35)</f>
        <v>Buss</v>
      </c>
      <c r="AE192" s="81">
        <f t="shared" si="156"/>
        <v>11.520000000000001</v>
      </c>
      <c r="AF192" s="56">
        <f t="shared" si="139"/>
        <v>39307.875840000001</v>
      </c>
      <c r="AG192" s="72">
        <f t="shared" si="157"/>
        <v>40</v>
      </c>
      <c r="AH192" s="15">
        <f t="shared" si="157"/>
        <v>55</v>
      </c>
      <c r="AI192" s="64">
        <f t="shared" si="157"/>
        <v>20</v>
      </c>
      <c r="AJ192" s="56">
        <f t="shared" si="158"/>
        <v>1622.0160000000001</v>
      </c>
      <c r="AK192" s="271">
        <f t="shared" si="159"/>
        <v>16.22016</v>
      </c>
      <c r="AL192" s="277">
        <f t="shared" si="160"/>
        <v>8.11008</v>
      </c>
      <c r="AM192" s="58">
        <v>1200</v>
      </c>
      <c r="AN192" s="25">
        <v>38</v>
      </c>
      <c r="AO192" s="3">
        <v>70</v>
      </c>
      <c r="AP192" s="3">
        <v>28</v>
      </c>
      <c r="AQ192" s="281">
        <f t="shared" si="161"/>
        <v>71.555555555555557</v>
      </c>
      <c r="AR192" s="287">
        <f t="shared" si="162"/>
        <v>37966.209173333336</v>
      </c>
      <c r="AS192" s="93"/>
      <c r="AT192" s="4"/>
    </row>
    <row r="193" spans="1:46">
      <c r="A193" s="72">
        <f t="shared" si="141"/>
        <v>36</v>
      </c>
      <c r="B193" s="15">
        <v>2.4500000000000002</v>
      </c>
      <c r="C193" s="66">
        <f t="shared" si="142"/>
        <v>88.2</v>
      </c>
      <c r="D193" s="68">
        <v>1100</v>
      </c>
      <c r="E193" s="66">
        <f t="shared" si="143"/>
        <v>480</v>
      </c>
      <c r="F193" s="45">
        <f t="shared" si="144"/>
        <v>179.21914606094634</v>
      </c>
      <c r="G193" s="94">
        <f t="shared" si="145"/>
        <v>12</v>
      </c>
      <c r="H193" s="295">
        <f t="shared" si="132"/>
        <v>45.27955200000001</v>
      </c>
      <c r="I193" s="25">
        <f t="shared" si="133"/>
        <v>78.426484607956979</v>
      </c>
      <c r="J193" s="52">
        <f t="shared" si="146"/>
        <v>20</v>
      </c>
      <c r="K193" s="25">
        <f t="shared" si="134"/>
        <v>1095.5999999999999</v>
      </c>
      <c r="L193" s="157">
        <f t="shared" si="135"/>
        <v>149</v>
      </c>
      <c r="M193" s="64">
        <f t="shared" si="147"/>
        <v>30</v>
      </c>
      <c r="N193" s="838">
        <f t="shared" si="136"/>
        <v>232.98488987923025</v>
      </c>
      <c r="O193" s="68">
        <f>LOOKUP(N193,'Circuit Breakers'!$B$5:$B$38,'Circuit Breakers'!$C$5:$C$38)</f>
        <v>250</v>
      </c>
      <c r="P193" s="199">
        <f t="shared" si="137"/>
        <v>30</v>
      </c>
      <c r="Q193" s="1056">
        <f t="shared" si="148"/>
        <v>1424.28</v>
      </c>
      <c r="R193" s="1064" t="str">
        <f>LOOKUP(Q193,'Circuit Breakers'!$B$5:$B$38,'Circuit Breakers'!$C$5:$C$38)</f>
        <v>Check</v>
      </c>
      <c r="S193" s="64">
        <f t="shared" si="138"/>
        <v>30</v>
      </c>
      <c r="T193" s="25">
        <f t="shared" si="149"/>
        <v>1430</v>
      </c>
      <c r="U193" s="158" t="str">
        <f>LOOKUP(T193,'Circuit Breakers'!$B$5:$B$38,'Circuit Breakers'!$C$5:$C$38)</f>
        <v>Check</v>
      </c>
      <c r="V193" s="64">
        <f t="shared" si="150"/>
        <v>15</v>
      </c>
      <c r="W193" s="25">
        <f t="shared" si="151"/>
        <v>206.10201797008827</v>
      </c>
      <c r="X193" s="68" t="str">
        <f>LOOKUP(W193,'Wire-Cables Ampacities'!$B$5:$B$35,'Wire-Cables Ampacities'!$C$5:$C$35)</f>
        <v>#2/0</v>
      </c>
      <c r="Y193" s="64">
        <f t="shared" si="152"/>
        <v>10</v>
      </c>
      <c r="Z193" s="25">
        <f t="shared" si="153"/>
        <v>1205.1600000000001</v>
      </c>
      <c r="AA193" s="68" t="str">
        <f>LOOKUP(Z193,'Wire-Cables Ampacities'!$B$5:$B$35,'Wire-Cables Ampacities'!$C$5:$C$35)</f>
        <v>Buss</v>
      </c>
      <c r="AB193" s="64">
        <f t="shared" si="154"/>
        <v>10</v>
      </c>
      <c r="AC193" s="25">
        <f t="shared" si="155"/>
        <v>1210</v>
      </c>
      <c r="AD193" s="68" t="str">
        <f>LOOKUP(AC193,'Wire-Cables Ampacities'!$B$5:$B$35,'Wire-Cables Ampacities'!$C$5:$C$35)</f>
        <v>Buss</v>
      </c>
      <c r="AE193" s="81">
        <f t="shared" si="156"/>
        <v>12.630000000000003</v>
      </c>
      <c r="AF193" s="56">
        <f t="shared" si="139"/>
        <v>43095.353460000006</v>
      </c>
      <c r="AG193" s="72">
        <f t="shared" si="157"/>
        <v>40</v>
      </c>
      <c r="AH193" s="15">
        <f t="shared" si="157"/>
        <v>55</v>
      </c>
      <c r="AI193" s="64">
        <f t="shared" si="157"/>
        <v>20</v>
      </c>
      <c r="AJ193" s="56">
        <f t="shared" si="158"/>
        <v>1778.3040000000003</v>
      </c>
      <c r="AK193" s="271">
        <f t="shared" si="159"/>
        <v>17.783040000000003</v>
      </c>
      <c r="AL193" s="277">
        <f t="shared" si="160"/>
        <v>8.8915200000000016</v>
      </c>
      <c r="AM193" s="58">
        <v>1200</v>
      </c>
      <c r="AN193" s="25">
        <v>38</v>
      </c>
      <c r="AO193" s="3">
        <v>70</v>
      </c>
      <c r="AP193" s="3">
        <v>28</v>
      </c>
      <c r="AQ193" s="281">
        <f t="shared" si="161"/>
        <v>71.555555555555557</v>
      </c>
      <c r="AR193" s="287">
        <f t="shared" si="162"/>
        <v>41753.686793333341</v>
      </c>
      <c r="AS193" s="93"/>
      <c r="AT193" s="4"/>
    </row>
    <row r="194" spans="1:46" ht="13.5" thickBot="1">
      <c r="A194" s="253">
        <f t="shared" si="141"/>
        <v>36</v>
      </c>
      <c r="B194" s="254">
        <v>2.4500000000000002</v>
      </c>
      <c r="C194" s="258">
        <f t="shared" si="142"/>
        <v>88.2</v>
      </c>
      <c r="D194" s="259">
        <v>1200</v>
      </c>
      <c r="E194" s="258">
        <f t="shared" si="143"/>
        <v>480</v>
      </c>
      <c r="F194" s="260">
        <f t="shared" si="144"/>
        <v>196.05852891231041</v>
      </c>
      <c r="G194" s="261">
        <f t="shared" si="145"/>
        <v>12</v>
      </c>
      <c r="H194" s="297">
        <f t="shared" si="132"/>
        <v>45.27955200000001</v>
      </c>
      <c r="I194" s="264">
        <f t="shared" si="133"/>
        <v>78.426484607956979</v>
      </c>
      <c r="J194" s="265">
        <f t="shared" si="146"/>
        <v>20</v>
      </c>
      <c r="K194" s="264">
        <f t="shared" si="134"/>
        <v>1195.2</v>
      </c>
      <c r="L194" s="266">
        <f t="shared" si="135"/>
        <v>163</v>
      </c>
      <c r="M194" s="267">
        <f t="shared" si="147"/>
        <v>30</v>
      </c>
      <c r="N194" s="1061">
        <f t="shared" si="136"/>
        <v>254.87608758600354</v>
      </c>
      <c r="O194" s="259">
        <f>LOOKUP(N194,'Circuit Breakers'!$B$5:$B$38,'Circuit Breakers'!$C$5:$C$38)</f>
        <v>300</v>
      </c>
      <c r="P194" s="333">
        <f t="shared" si="137"/>
        <v>30</v>
      </c>
      <c r="Q194" s="1058">
        <f t="shared" si="148"/>
        <v>1553.7600000000002</v>
      </c>
      <c r="R194" s="1066" t="str">
        <f>LOOKUP(Q194,'Circuit Breakers'!$B$5:$B$38,'Circuit Breakers'!$C$5:$C$38)</f>
        <v>Check</v>
      </c>
      <c r="S194" s="267">
        <f t="shared" si="138"/>
        <v>30</v>
      </c>
      <c r="T194" s="264">
        <f t="shared" si="149"/>
        <v>1560</v>
      </c>
      <c r="U194" s="478" t="str">
        <f>LOOKUP(T194,'Circuit Breakers'!$B$5:$B$38,'Circuit Breakers'!$C$5:$C$38)</f>
        <v>Check</v>
      </c>
      <c r="V194" s="267">
        <f t="shared" si="150"/>
        <v>15</v>
      </c>
      <c r="W194" s="264">
        <f t="shared" si="151"/>
        <v>225.46730824915696</v>
      </c>
      <c r="X194" s="259" t="str">
        <f>LOOKUP(W194,'Wire-Cables Ampacities'!$B$5:$B$35,'Wire-Cables Ampacities'!$C$5:$C$35)</f>
        <v>#2/0</v>
      </c>
      <c r="Y194" s="267">
        <f t="shared" si="152"/>
        <v>10</v>
      </c>
      <c r="Z194" s="264">
        <f t="shared" si="153"/>
        <v>1314.7200000000003</v>
      </c>
      <c r="AA194" s="259" t="str">
        <f>LOOKUP(Z194,'Wire-Cables Ampacities'!$B$5:$B$35,'Wire-Cables Ampacities'!$C$5:$C$35)</f>
        <v>Buss</v>
      </c>
      <c r="AB194" s="267">
        <f t="shared" si="154"/>
        <v>10</v>
      </c>
      <c r="AC194" s="264">
        <f t="shared" si="155"/>
        <v>1320</v>
      </c>
      <c r="AD194" s="259" t="str">
        <f>LOOKUP(AC194,'Wire-Cables Ampacities'!$B$5:$B$35,'Wire-Cables Ampacities'!$C$5:$C$35)</f>
        <v>Buss</v>
      </c>
      <c r="AE194" s="270">
        <f t="shared" si="156"/>
        <v>13.810000000000002</v>
      </c>
      <c r="AF194" s="268">
        <f t="shared" si="139"/>
        <v>47121.681020000004</v>
      </c>
      <c r="AG194" s="253">
        <f t="shared" si="157"/>
        <v>40</v>
      </c>
      <c r="AH194" s="254">
        <f t="shared" si="157"/>
        <v>55</v>
      </c>
      <c r="AI194" s="267">
        <f t="shared" si="157"/>
        <v>20</v>
      </c>
      <c r="AJ194" s="268">
        <f t="shared" si="158"/>
        <v>1944.4480000000003</v>
      </c>
      <c r="AK194" s="273">
        <f t="shared" si="159"/>
        <v>19.444480000000002</v>
      </c>
      <c r="AL194" s="279">
        <f t="shared" si="160"/>
        <v>9.7222400000000011</v>
      </c>
      <c r="AM194" s="275">
        <v>1200</v>
      </c>
      <c r="AN194" s="264">
        <v>38</v>
      </c>
      <c r="AO194" s="276">
        <v>70</v>
      </c>
      <c r="AP194" s="276">
        <v>28</v>
      </c>
      <c r="AQ194" s="283">
        <f t="shared" si="161"/>
        <v>71.555555555555557</v>
      </c>
      <c r="AR194" s="289">
        <f t="shared" si="162"/>
        <v>45780.014353333339</v>
      </c>
      <c r="AS194" s="93"/>
      <c r="AT194" s="4"/>
    </row>
    <row r="196" spans="1:46" ht="13.5" thickBot="1"/>
    <row r="197" spans="1:46" ht="16.5" thickBot="1">
      <c r="A197" s="95" t="s">
        <v>77</v>
      </c>
      <c r="B197" s="96"/>
      <c r="C197" s="44"/>
      <c r="D197" s="86"/>
      <c r="E197" s="86"/>
      <c r="F197" s="86"/>
      <c r="G197" s="87"/>
      <c r="H197" s="290" t="s">
        <v>102</v>
      </c>
      <c r="I197" s="42"/>
      <c r="J197" s="51"/>
      <c r="K197" s="42"/>
      <c r="L197" s="40"/>
      <c r="M197" s="290" t="s">
        <v>83</v>
      </c>
      <c r="N197" s="42"/>
      <c r="O197" s="327"/>
      <c r="P197" s="44"/>
      <c r="Q197" s="44"/>
      <c r="R197" s="327"/>
      <c r="S197" s="44"/>
      <c r="T197" s="44"/>
      <c r="U197" s="185"/>
      <c r="V197" s="184" t="s">
        <v>84</v>
      </c>
      <c r="W197" s="44"/>
      <c r="X197" s="327"/>
      <c r="Y197" s="44"/>
      <c r="Z197" s="44"/>
      <c r="AA197" s="327"/>
      <c r="AB197" s="44"/>
      <c r="AC197" s="44"/>
      <c r="AD197" s="185"/>
      <c r="AE197" s="291" t="s">
        <v>62</v>
      </c>
      <c r="AF197" s="80"/>
      <c r="AG197" s="290" t="s">
        <v>90</v>
      </c>
      <c r="AH197" s="40"/>
      <c r="AI197" s="292" t="s">
        <v>87</v>
      </c>
      <c r="AJ197" s="90"/>
      <c r="AK197" s="90"/>
      <c r="AL197" s="49"/>
      <c r="AM197" s="189" t="s">
        <v>88</v>
      </c>
      <c r="AN197" s="90"/>
      <c r="AO197" s="90"/>
      <c r="AP197" s="90"/>
      <c r="AQ197" s="90"/>
      <c r="AR197" s="6"/>
      <c r="AS197" s="7"/>
    </row>
    <row r="198" spans="1:46" ht="13.5" thickBot="1">
      <c r="A198" s="97" t="s">
        <v>23</v>
      </c>
      <c r="B198" s="48"/>
      <c r="C198" s="189" t="s">
        <v>76</v>
      </c>
      <c r="D198" s="190"/>
      <c r="E198" s="189" t="s">
        <v>57</v>
      </c>
      <c r="F198" s="191"/>
      <c r="G198" s="192"/>
      <c r="H198" s="76"/>
      <c r="I198" s="90"/>
      <c r="J198" s="175"/>
      <c r="K198" s="90"/>
      <c r="L198" s="49"/>
      <c r="M198" s="47" t="s">
        <v>81</v>
      </c>
      <c r="N198" s="96"/>
      <c r="O198" s="192"/>
      <c r="P198" s="47" t="s">
        <v>82</v>
      </c>
      <c r="Q198" s="96"/>
      <c r="R198" s="192"/>
      <c r="S198" s="47" t="s">
        <v>80</v>
      </c>
      <c r="T198" s="96"/>
      <c r="U198" s="192"/>
      <c r="V198" s="76" t="s">
        <v>78</v>
      </c>
      <c r="W198" s="96"/>
      <c r="X198" s="190"/>
      <c r="Y198" s="76" t="s">
        <v>79</v>
      </c>
      <c r="Z198" s="96"/>
      <c r="AA198" s="190"/>
      <c r="AB198" s="47" t="s">
        <v>80</v>
      </c>
      <c r="AC198" s="96"/>
      <c r="AD198" s="190"/>
      <c r="AE198" s="176"/>
      <c r="AF198" s="177"/>
      <c r="AG198" s="205" t="s">
        <v>94</v>
      </c>
      <c r="AH198" s="179" t="s">
        <v>95</v>
      </c>
      <c r="AI198" s="178"/>
      <c r="AJ198" s="198"/>
      <c r="AK198" s="206" t="s">
        <v>66</v>
      </c>
      <c r="AL198" s="198" t="s">
        <v>66</v>
      </c>
      <c r="AM198" s="47" t="s">
        <v>68</v>
      </c>
      <c r="AN198" s="90"/>
      <c r="AO198" s="90"/>
      <c r="AP198" s="90"/>
      <c r="AQ198" s="49"/>
      <c r="AR198" s="80"/>
      <c r="AS198" s="7"/>
    </row>
    <row r="199" spans="1:46">
      <c r="A199" s="65">
        <v>120</v>
      </c>
      <c r="B199" s="67" t="s">
        <v>92</v>
      </c>
      <c r="C199" s="65" t="s">
        <v>93</v>
      </c>
      <c r="D199" s="67" t="s">
        <v>16</v>
      </c>
      <c r="E199" s="65" t="s">
        <v>54</v>
      </c>
      <c r="F199" s="18" t="s">
        <v>58</v>
      </c>
      <c r="G199" s="1234" t="s">
        <v>55</v>
      </c>
      <c r="H199" s="65" t="s">
        <v>50</v>
      </c>
      <c r="I199" s="18" t="s">
        <v>51</v>
      </c>
      <c r="J199" s="310" t="s">
        <v>56</v>
      </c>
      <c r="K199" s="18" t="s">
        <v>28</v>
      </c>
      <c r="L199" s="156" t="s">
        <v>29</v>
      </c>
      <c r="M199" s="1077">
        <v>30</v>
      </c>
      <c r="N199" s="1078" t="s">
        <v>60</v>
      </c>
      <c r="O199" s="1079" t="s">
        <v>361</v>
      </c>
      <c r="P199" s="1077">
        <v>30</v>
      </c>
      <c r="Q199" s="1078" t="s">
        <v>60</v>
      </c>
      <c r="R199" s="1079" t="s">
        <v>361</v>
      </c>
      <c r="S199" s="1077">
        <v>30</v>
      </c>
      <c r="T199" s="1078"/>
      <c r="U199" s="1079" t="s">
        <v>60</v>
      </c>
      <c r="V199" s="171">
        <v>15</v>
      </c>
      <c r="W199" s="139" t="s">
        <v>60</v>
      </c>
      <c r="X199" s="1173" t="s">
        <v>85</v>
      </c>
      <c r="Y199" s="171">
        <v>10</v>
      </c>
      <c r="Z199" s="139" t="s">
        <v>60</v>
      </c>
      <c r="AA199" s="1173" t="s">
        <v>85</v>
      </c>
      <c r="AB199" s="171">
        <v>10</v>
      </c>
      <c r="AC199" s="139" t="s">
        <v>60</v>
      </c>
      <c r="AD199" s="1131" t="s">
        <v>85</v>
      </c>
      <c r="AE199" s="77"/>
      <c r="AF199" s="204"/>
      <c r="AG199" s="70">
        <v>40</v>
      </c>
      <c r="AH199" s="19">
        <v>55</v>
      </c>
      <c r="AI199" s="337">
        <v>20</v>
      </c>
      <c r="AJ199" s="71" t="s">
        <v>64</v>
      </c>
      <c r="AK199" s="79">
        <v>100</v>
      </c>
      <c r="AL199" s="19">
        <v>200</v>
      </c>
      <c r="AM199" s="284" t="s">
        <v>91</v>
      </c>
      <c r="AN199" s="18" t="s">
        <v>69</v>
      </c>
      <c r="AO199" s="18" t="s">
        <v>70</v>
      </c>
      <c r="AP199" s="18" t="s">
        <v>71</v>
      </c>
      <c r="AQ199" s="19" t="s">
        <v>73</v>
      </c>
      <c r="AR199" s="285" t="s">
        <v>64</v>
      </c>
      <c r="AS199" s="92"/>
    </row>
    <row r="200" spans="1:46" ht="13.5" thickBot="1">
      <c r="A200" s="187" t="s">
        <v>24</v>
      </c>
      <c r="B200" s="188" t="s">
        <v>53</v>
      </c>
      <c r="C200" s="306" t="s">
        <v>53</v>
      </c>
      <c r="D200" s="255" t="s">
        <v>22</v>
      </c>
      <c r="E200" s="187" t="s">
        <v>53</v>
      </c>
      <c r="F200" s="16" t="s">
        <v>22</v>
      </c>
      <c r="G200" s="311">
        <v>12</v>
      </c>
      <c r="H200" s="187" t="s">
        <v>42</v>
      </c>
      <c r="I200" s="16" t="s">
        <v>42</v>
      </c>
      <c r="J200" s="298">
        <v>20</v>
      </c>
      <c r="K200" s="16" t="s">
        <v>43</v>
      </c>
      <c r="L200" s="195" t="s">
        <v>44</v>
      </c>
      <c r="M200" s="298" t="s">
        <v>59</v>
      </c>
      <c r="N200" s="1055" t="s">
        <v>22</v>
      </c>
      <c r="O200" s="188" t="s">
        <v>22</v>
      </c>
      <c r="P200" s="298" t="s">
        <v>59</v>
      </c>
      <c r="Q200" s="1055" t="s">
        <v>22</v>
      </c>
      <c r="R200" s="188" t="s">
        <v>22</v>
      </c>
      <c r="S200" s="299" t="s">
        <v>59</v>
      </c>
      <c r="T200" s="1055" t="s">
        <v>22</v>
      </c>
      <c r="U200" s="188" t="s">
        <v>22</v>
      </c>
      <c r="V200" s="298" t="s">
        <v>59</v>
      </c>
      <c r="W200" s="16" t="s">
        <v>22</v>
      </c>
      <c r="X200" s="188" t="s">
        <v>86</v>
      </c>
      <c r="Y200" s="298" t="s">
        <v>59</v>
      </c>
      <c r="Z200" s="16" t="s">
        <v>22</v>
      </c>
      <c r="AA200" s="188" t="s">
        <v>86</v>
      </c>
      <c r="AB200" s="298" t="s">
        <v>59</v>
      </c>
      <c r="AC200" s="16" t="s">
        <v>22</v>
      </c>
      <c r="AD200" s="188" t="s">
        <v>86</v>
      </c>
      <c r="AE200" s="75" t="s">
        <v>63</v>
      </c>
      <c r="AF200" s="202" t="s">
        <v>67</v>
      </c>
      <c r="AG200" s="75" t="s">
        <v>61</v>
      </c>
      <c r="AH200" s="17" t="s">
        <v>61</v>
      </c>
      <c r="AI200" s="298" t="s">
        <v>59</v>
      </c>
      <c r="AJ200" s="17" t="s">
        <v>65</v>
      </c>
      <c r="AK200" s="207" t="s">
        <v>89</v>
      </c>
      <c r="AL200" s="17" t="s">
        <v>89</v>
      </c>
      <c r="AM200" s="75" t="s">
        <v>72</v>
      </c>
      <c r="AN200" s="16" t="s">
        <v>74</v>
      </c>
      <c r="AO200" s="16" t="s">
        <v>74</v>
      </c>
      <c r="AP200" s="16" t="s">
        <v>74</v>
      </c>
      <c r="AQ200" s="17" t="s">
        <v>75</v>
      </c>
      <c r="AR200" s="200" t="s">
        <v>67</v>
      </c>
      <c r="AS200" s="46"/>
    </row>
    <row r="201" spans="1:46">
      <c r="A201" s="70"/>
      <c r="B201" s="19"/>
      <c r="C201" s="65"/>
      <c r="D201" s="67"/>
      <c r="E201" s="65"/>
      <c r="F201" s="18"/>
      <c r="G201" s="19"/>
      <c r="H201" s="65"/>
      <c r="I201" s="18"/>
      <c r="J201" s="73"/>
      <c r="K201" s="18"/>
      <c r="L201" s="156"/>
      <c r="M201" s="54"/>
      <c r="N201" s="1049"/>
      <c r="O201" s="67"/>
      <c r="P201" s="203"/>
      <c r="Q201" s="1049"/>
      <c r="R201" s="1063"/>
      <c r="S201" s="54"/>
      <c r="T201" s="1059"/>
      <c r="U201" s="67"/>
      <c r="V201" s="54"/>
      <c r="W201" s="269"/>
      <c r="X201" s="156"/>
      <c r="Y201" s="54"/>
      <c r="Z201" s="269"/>
      <c r="AA201" s="156"/>
      <c r="AB201" s="54"/>
      <c r="AC201" s="269"/>
      <c r="AD201" s="156"/>
      <c r="AE201" s="70"/>
      <c r="AF201" s="197"/>
      <c r="AG201" s="70"/>
      <c r="AH201" s="19"/>
      <c r="AI201" s="203"/>
      <c r="AJ201" s="19"/>
      <c r="AK201" s="70"/>
      <c r="AL201" s="197"/>
      <c r="AM201" s="70"/>
      <c r="AN201" s="18"/>
      <c r="AO201" s="18"/>
      <c r="AP201" s="18"/>
      <c r="AQ201" s="19"/>
      <c r="AR201" s="286"/>
      <c r="AS201" s="7"/>
    </row>
    <row r="202" spans="1:46">
      <c r="A202" s="72">
        <f>A$199/2</f>
        <v>60</v>
      </c>
      <c r="B202" s="15">
        <v>2.4500000000000002</v>
      </c>
      <c r="C202" s="66">
        <f>A202*B202</f>
        <v>147</v>
      </c>
      <c r="D202" s="68">
        <v>5</v>
      </c>
      <c r="E202" s="66">
        <f>IF(L202*1000/120/SQRT(3)*1.5&lt;65,120,IF(L202*1000/208/SQRT(3)*1.5&lt;65,208,IF(L202*1000/240/SQRT(3)*1.5&lt;65,240,480)))</f>
        <v>120</v>
      </c>
      <c r="F202" s="45">
        <f>L202*1000/E202/SQRT(3)</f>
        <v>6.0140653040586018</v>
      </c>
      <c r="G202" s="94">
        <f>G$200</f>
        <v>12</v>
      </c>
      <c r="H202" s="295">
        <f t="shared" ref="H202:H230" si="163">IF(C202&lt;150,0.428*(1+G202/100)*C202+3,0.428*(1+G202/100)*C202)</f>
        <v>73.465920000000011</v>
      </c>
      <c r="I202" s="25">
        <f t="shared" ref="I202:I230" si="164">SQRT(3)*H202</f>
        <v>127.24670606479054</v>
      </c>
      <c r="J202" s="52">
        <f>J$200</f>
        <v>20</v>
      </c>
      <c r="K202" s="25">
        <f t="shared" ref="K202:K230" si="165">(1+J202/100)*D202*0.83</f>
        <v>4.9799999999999995</v>
      </c>
      <c r="L202" s="427">
        <f t="shared" ref="L202:L230" si="166">IF(CEILING(I202*K202*SQRT(3)/1000,0.25)&lt;10,CEILING(I202*K202*SQRT(3)/1000,0.25),IF(CEILING(I202*K202*SQRT(3)/1000,0.25)&lt;20,CEILING(I202*K202*SQRT(3)/1000,0.5),CEILING(I202*K202*SQRT(3)/1000,1)))</f>
        <v>1.25</v>
      </c>
      <c r="M202" s="55">
        <f>M$199</f>
        <v>30</v>
      </c>
      <c r="N202" s="838">
        <f t="shared" ref="N202:N230" si="167">(1+M202/100)*F202</f>
        <v>7.8182848952761823</v>
      </c>
      <c r="O202" s="68">
        <f>LOOKUP(N202,'Circuit Breakers'!$B$5:$B$38,'Circuit Breakers'!$C$5:$C$38)</f>
        <v>10</v>
      </c>
      <c r="P202" s="199">
        <f t="shared" ref="P202:P230" si="168">P$199</f>
        <v>30</v>
      </c>
      <c r="Q202" s="1056">
        <f>(1+P202/100)*K202</f>
        <v>6.4739999999999993</v>
      </c>
      <c r="R202" s="1064">
        <f>LOOKUP(Q202,'Circuit Breakers'!$B$5:$B$38,'Circuit Breakers'!$C$5:$C$38)</f>
        <v>10</v>
      </c>
      <c r="S202" s="64">
        <f t="shared" ref="S202:S230" si="169">S$199</f>
        <v>30</v>
      </c>
      <c r="T202" s="25">
        <f>(1+S202/100)*D202</f>
        <v>6.5</v>
      </c>
      <c r="U202" s="158">
        <f>LOOKUP(T202,'Circuit Breakers'!$B$5:$B$38,'Circuit Breakers'!$C$5:$C$38)</f>
        <v>10</v>
      </c>
      <c r="V202" s="55">
        <f>V$199</f>
        <v>15</v>
      </c>
      <c r="W202" s="25">
        <f>(1+V202/100)*F202</f>
        <v>6.9161750996673916</v>
      </c>
      <c r="X202" s="68" t="str">
        <f>LOOKUP(W202,'Wire-Cables Ampacities'!$B$5:$B$35,'Wire-Cables Ampacities'!$C$5:$C$35)</f>
        <v>#10</v>
      </c>
      <c r="Y202" s="55">
        <f>Y$199</f>
        <v>10</v>
      </c>
      <c r="Z202" s="25">
        <f>(1+Y202/100)*K202</f>
        <v>5.4779999999999998</v>
      </c>
      <c r="AA202" s="68" t="str">
        <f>LOOKUP(Z202,'Wire-Cables Ampacities'!$B$5:$B$35,'Wire-Cables Ampacities'!$C$5:$C$35)</f>
        <v>#10</v>
      </c>
      <c r="AB202" s="55">
        <f>AB$199</f>
        <v>10</v>
      </c>
      <c r="AC202" s="25">
        <f>(1+AB202/100)*D202</f>
        <v>5.5</v>
      </c>
      <c r="AD202" s="68" t="str">
        <f>LOOKUP(AC202,'Wire-Cables Ampacities'!$B$5:$B$35,'Wire-Cables Ampacities'!$C$5:$C$35)</f>
        <v>#10</v>
      </c>
      <c r="AE202" s="81">
        <f>(2*D202+0.07*L202*1000)/1000</f>
        <v>9.7500000000000017E-2</v>
      </c>
      <c r="AF202" s="53">
        <f t="shared" ref="AF202:AF230" si="170">AE202*3.412142*1000</f>
        <v>332.68384500000002</v>
      </c>
      <c r="AG202" s="72">
        <f>AG$199</f>
        <v>40</v>
      </c>
      <c r="AH202" s="15">
        <f>AH$199</f>
        <v>55</v>
      </c>
      <c r="AI202" s="1080">
        <f>AI$199</f>
        <v>20</v>
      </c>
      <c r="AJ202" s="56">
        <f>1760*AE202/(AH202-AG202)*(1+AI202/100)</f>
        <v>13.728000000000002</v>
      </c>
      <c r="AK202" s="271">
        <f>AJ202/AK$19</f>
        <v>0.13728000000000001</v>
      </c>
      <c r="AL202" s="277">
        <f>AJ202/AL$19</f>
        <v>6.8640000000000007E-2</v>
      </c>
      <c r="AM202" s="58">
        <v>450</v>
      </c>
      <c r="AN202" s="25">
        <v>24</v>
      </c>
      <c r="AO202" s="3">
        <v>30</v>
      </c>
      <c r="AP202" s="3">
        <v>16</v>
      </c>
      <c r="AQ202" s="281">
        <f>((2*AO202*AN202)+2*(AO202*AP202)+(AN202*AP202))/144</f>
        <v>19.333333333333332</v>
      </c>
      <c r="AR202" s="287">
        <f t="shared" ref="AR202:AR218" si="171">AF202+(1.25*AQ202*(AG202-AH202))</f>
        <v>-29.816154999999924</v>
      </c>
      <c r="AS202" s="93"/>
      <c r="AT202" s="4"/>
    </row>
    <row r="203" spans="1:46">
      <c r="A203" s="98">
        <f t="shared" ref="A203:A230" si="172">A$199/2</f>
        <v>60</v>
      </c>
      <c r="B203" s="99">
        <v>2.4500000000000002</v>
      </c>
      <c r="C203" s="100">
        <f t="shared" ref="C203:C230" si="173">A203*B203</f>
        <v>147</v>
      </c>
      <c r="D203" s="101">
        <v>10</v>
      </c>
      <c r="E203" s="100">
        <f t="shared" ref="E203:E230" si="174">IF(L203*1000/120/SQRT(3)*1.5&lt;65,120,IF(L203*1000/208/SQRT(3)*1.5&lt;65,208,IF(L203*1000/240/SQRT(3)*1.5&lt;65,240,480)))</f>
        <v>120</v>
      </c>
      <c r="F203" s="102">
        <f t="shared" ref="F203:F230" si="175">L203*1000/E203/SQRT(3)</f>
        <v>10.825317547305485</v>
      </c>
      <c r="G203" s="103">
        <f t="shared" ref="G203:G230" si="176">G$200</f>
        <v>12</v>
      </c>
      <c r="H203" s="296">
        <f t="shared" si="163"/>
        <v>73.465920000000011</v>
      </c>
      <c r="I203" s="104">
        <f t="shared" si="164"/>
        <v>127.24670606479054</v>
      </c>
      <c r="J203" s="180">
        <f t="shared" ref="J203:J230" si="177">J$200</f>
        <v>20</v>
      </c>
      <c r="K203" s="104">
        <f t="shared" si="165"/>
        <v>9.9599999999999991</v>
      </c>
      <c r="L203" s="428">
        <f t="shared" si="166"/>
        <v>2.25</v>
      </c>
      <c r="M203" s="106">
        <f t="shared" ref="M203:M230" si="178">M$199</f>
        <v>30</v>
      </c>
      <c r="N203" s="1060">
        <f t="shared" si="167"/>
        <v>14.07291281149713</v>
      </c>
      <c r="O203" s="101">
        <f>LOOKUP(N203,'Circuit Breakers'!$B$5:$B$38,'Circuit Breakers'!$C$5:$C$38)</f>
        <v>15</v>
      </c>
      <c r="P203" s="262">
        <f t="shared" si="168"/>
        <v>30</v>
      </c>
      <c r="Q203" s="1057">
        <f t="shared" ref="Q203:Q230" si="179">(1+P203/100)*K203</f>
        <v>12.947999999999999</v>
      </c>
      <c r="R203" s="1065">
        <f>LOOKUP(Q203,'Circuit Breakers'!$B$5:$B$38,'Circuit Breakers'!$C$5:$C$38)</f>
        <v>15</v>
      </c>
      <c r="S203" s="106">
        <f t="shared" si="169"/>
        <v>30</v>
      </c>
      <c r="T203" s="104">
        <f t="shared" ref="T203:T230" si="180">(1+S203/100)*D203</f>
        <v>13</v>
      </c>
      <c r="U203" s="477">
        <f>LOOKUP(T203,'Circuit Breakers'!$B$5:$B$38,'Circuit Breakers'!$C$5:$C$38)</f>
        <v>15</v>
      </c>
      <c r="V203" s="106">
        <f t="shared" ref="V203:V230" si="181">V$199</f>
        <v>15</v>
      </c>
      <c r="W203" s="104">
        <f t="shared" ref="W203:W230" si="182">(1+V203/100)*F203</f>
        <v>12.449115179401307</v>
      </c>
      <c r="X203" s="101" t="str">
        <f>LOOKUP(W203,'Wire-Cables Ampacities'!$B$5:$B$35,'Wire-Cables Ampacities'!$C$5:$C$35)</f>
        <v>#10</v>
      </c>
      <c r="Y203" s="106">
        <f t="shared" ref="Y203:Y230" si="183">Y$199</f>
        <v>10</v>
      </c>
      <c r="Z203" s="104">
        <f t="shared" ref="Z203:Z230" si="184">(1+Y203/100)*K203</f>
        <v>10.956</v>
      </c>
      <c r="AA203" s="101" t="str">
        <f>LOOKUP(Z203,'Wire-Cables Ampacities'!$B$5:$B$35,'Wire-Cables Ampacities'!$C$5:$C$35)</f>
        <v>#10</v>
      </c>
      <c r="AB203" s="106">
        <f t="shared" ref="AB203:AB230" si="185">AB$199</f>
        <v>10</v>
      </c>
      <c r="AC203" s="104">
        <f t="shared" ref="AC203:AC230" si="186">(1+AB203/100)*D203</f>
        <v>11</v>
      </c>
      <c r="AD203" s="101" t="str">
        <f>LOOKUP(AC203,'Wire-Cables Ampacities'!$B$5:$B$35,'Wire-Cables Ampacities'!$C$5:$C$35)</f>
        <v>#10</v>
      </c>
      <c r="AE203" s="107">
        <f t="shared" ref="AE203:AE230" si="187">(2*D203+0.07*L203*1000)/1000</f>
        <v>0.17750000000000002</v>
      </c>
      <c r="AF203" s="331">
        <f t="shared" si="170"/>
        <v>605.65520500000002</v>
      </c>
      <c r="AG203" s="98">
        <f t="shared" ref="AG203:AI230" si="188">AG$199</f>
        <v>40</v>
      </c>
      <c r="AH203" s="99">
        <f t="shared" si="188"/>
        <v>55</v>
      </c>
      <c r="AI203" s="262">
        <f t="shared" si="188"/>
        <v>20</v>
      </c>
      <c r="AJ203" s="105">
        <f t="shared" ref="AJ203:AJ230" si="189">1760*AE203/(AH203-AG203)*(1+AI203/100)</f>
        <v>24.992000000000001</v>
      </c>
      <c r="AK203" s="272">
        <f t="shared" ref="AK203:AK230" si="190">AJ203/AK$19</f>
        <v>0.24992</v>
      </c>
      <c r="AL203" s="278">
        <f t="shared" ref="AL203:AL230" si="191">AJ203/AL$19</f>
        <v>0.12496</v>
      </c>
      <c r="AM203" s="109">
        <v>450</v>
      </c>
      <c r="AN203" s="104">
        <v>24</v>
      </c>
      <c r="AO203" s="110">
        <v>30</v>
      </c>
      <c r="AP203" s="110">
        <v>16</v>
      </c>
      <c r="AQ203" s="282">
        <f t="shared" ref="AQ203:AQ230" si="192">((2*AO203*AN203)+2*(AO203*AP203)+(AN203*AP203))/144</f>
        <v>19.333333333333332</v>
      </c>
      <c r="AR203" s="288">
        <f t="shared" si="171"/>
        <v>243.15520500000008</v>
      </c>
      <c r="AS203" s="93"/>
      <c r="AT203" s="4"/>
    </row>
    <row r="204" spans="1:46">
      <c r="A204" s="72">
        <f t="shared" si="172"/>
        <v>60</v>
      </c>
      <c r="B204" s="15">
        <v>2.4500000000000002</v>
      </c>
      <c r="C204" s="66">
        <f t="shared" si="173"/>
        <v>147</v>
      </c>
      <c r="D204" s="68">
        <v>15</v>
      </c>
      <c r="E204" s="66">
        <f t="shared" si="174"/>
        <v>120</v>
      </c>
      <c r="F204" s="45">
        <f t="shared" si="175"/>
        <v>16.839382851364086</v>
      </c>
      <c r="G204" s="94">
        <f t="shared" si="176"/>
        <v>12</v>
      </c>
      <c r="H204" s="295">
        <f t="shared" si="163"/>
        <v>73.465920000000011</v>
      </c>
      <c r="I204" s="25">
        <f t="shared" si="164"/>
        <v>127.24670606479054</v>
      </c>
      <c r="J204" s="52">
        <f t="shared" si="177"/>
        <v>20</v>
      </c>
      <c r="K204" s="25">
        <f t="shared" si="165"/>
        <v>14.94</v>
      </c>
      <c r="L204" s="427">
        <f t="shared" si="166"/>
        <v>3.5</v>
      </c>
      <c r="M204" s="64">
        <f t="shared" si="178"/>
        <v>30</v>
      </c>
      <c r="N204" s="838">
        <f t="shared" si="167"/>
        <v>21.891197706773312</v>
      </c>
      <c r="O204" s="68">
        <f>LOOKUP(N204,'Circuit Breakers'!$B$5:$B$38,'Circuit Breakers'!$C$5:$C$38)</f>
        <v>25</v>
      </c>
      <c r="P204" s="199">
        <f t="shared" si="168"/>
        <v>30</v>
      </c>
      <c r="Q204" s="1056">
        <f t="shared" si="179"/>
        <v>19.422000000000001</v>
      </c>
      <c r="R204" s="1064">
        <f>LOOKUP(Q204,'Circuit Breakers'!$B$5:$B$38,'Circuit Breakers'!$C$5:$C$38)</f>
        <v>20</v>
      </c>
      <c r="S204" s="64">
        <f t="shared" si="169"/>
        <v>30</v>
      </c>
      <c r="T204" s="25">
        <f t="shared" si="180"/>
        <v>19.5</v>
      </c>
      <c r="U204" s="158">
        <f>LOOKUP(T204,'Circuit Breakers'!$B$5:$B$38,'Circuit Breakers'!$C$5:$C$38)</f>
        <v>20</v>
      </c>
      <c r="V204" s="64">
        <f t="shared" si="181"/>
        <v>15</v>
      </c>
      <c r="W204" s="25">
        <f t="shared" si="182"/>
        <v>19.365290279068695</v>
      </c>
      <c r="X204" s="68" t="str">
        <f>LOOKUP(W204,'Wire-Cables Ampacities'!$B$5:$B$35,'Wire-Cables Ampacities'!$C$5:$C$35)</f>
        <v>#10</v>
      </c>
      <c r="Y204" s="64">
        <f t="shared" si="183"/>
        <v>10</v>
      </c>
      <c r="Z204" s="25">
        <f t="shared" si="184"/>
        <v>16.434000000000001</v>
      </c>
      <c r="AA204" s="68" t="str">
        <f>LOOKUP(Z204,'Wire-Cables Ampacities'!$B$5:$B$35,'Wire-Cables Ampacities'!$C$5:$C$35)</f>
        <v>#10</v>
      </c>
      <c r="AB204" s="64">
        <f t="shared" si="185"/>
        <v>10</v>
      </c>
      <c r="AC204" s="25">
        <f t="shared" si="186"/>
        <v>16.5</v>
      </c>
      <c r="AD204" s="68" t="str">
        <f>LOOKUP(AC204,'Wire-Cables Ampacities'!$B$5:$B$35,'Wire-Cables Ampacities'!$C$5:$C$35)</f>
        <v>#10</v>
      </c>
      <c r="AE204" s="81">
        <f t="shared" si="187"/>
        <v>0.27500000000000002</v>
      </c>
      <c r="AF204" s="53">
        <f t="shared" si="170"/>
        <v>938.33905000000004</v>
      </c>
      <c r="AG204" s="72">
        <f t="shared" si="188"/>
        <v>40</v>
      </c>
      <c r="AH204" s="15">
        <f t="shared" si="188"/>
        <v>55</v>
      </c>
      <c r="AI204" s="199">
        <f t="shared" si="188"/>
        <v>20</v>
      </c>
      <c r="AJ204" s="56">
        <f t="shared" si="189"/>
        <v>38.720000000000006</v>
      </c>
      <c r="AK204" s="271">
        <f t="shared" si="190"/>
        <v>0.38720000000000004</v>
      </c>
      <c r="AL204" s="277">
        <f t="shared" si="191"/>
        <v>0.19360000000000002</v>
      </c>
      <c r="AM204" s="58">
        <v>600</v>
      </c>
      <c r="AN204" s="25">
        <v>24</v>
      </c>
      <c r="AO204" s="3">
        <v>48</v>
      </c>
      <c r="AP204" s="3">
        <v>16</v>
      </c>
      <c r="AQ204" s="281">
        <f t="shared" si="192"/>
        <v>29.333333333333332</v>
      </c>
      <c r="AR204" s="287">
        <f t="shared" si="171"/>
        <v>388.33905000000004</v>
      </c>
      <c r="AS204" s="93"/>
      <c r="AT204" s="4"/>
    </row>
    <row r="205" spans="1:46">
      <c r="A205" s="72">
        <f t="shared" si="172"/>
        <v>60</v>
      </c>
      <c r="B205" s="15">
        <v>2.4500000000000002</v>
      </c>
      <c r="C205" s="66">
        <f t="shared" si="173"/>
        <v>147</v>
      </c>
      <c r="D205" s="68">
        <v>20</v>
      </c>
      <c r="E205" s="66">
        <f t="shared" si="174"/>
        <v>120</v>
      </c>
      <c r="F205" s="45">
        <f t="shared" si="175"/>
        <v>21.650635094610969</v>
      </c>
      <c r="G205" s="94">
        <f t="shared" si="176"/>
        <v>12</v>
      </c>
      <c r="H205" s="295">
        <f t="shared" si="163"/>
        <v>73.465920000000011</v>
      </c>
      <c r="I205" s="25">
        <f t="shared" si="164"/>
        <v>127.24670606479054</v>
      </c>
      <c r="J205" s="52">
        <f t="shared" si="177"/>
        <v>20</v>
      </c>
      <c r="K205" s="25">
        <f t="shared" si="165"/>
        <v>19.919999999999998</v>
      </c>
      <c r="L205" s="427">
        <f t="shared" si="166"/>
        <v>4.5</v>
      </c>
      <c r="M205" s="55">
        <f t="shared" si="178"/>
        <v>30</v>
      </c>
      <c r="N205" s="838">
        <f t="shared" si="167"/>
        <v>28.145825622994259</v>
      </c>
      <c r="O205" s="68">
        <f>LOOKUP(N205,'Circuit Breakers'!$B$5:$B$38,'Circuit Breakers'!$C$5:$C$38)</f>
        <v>30</v>
      </c>
      <c r="P205" s="199">
        <f t="shared" si="168"/>
        <v>30</v>
      </c>
      <c r="Q205" s="1056">
        <f t="shared" si="179"/>
        <v>25.895999999999997</v>
      </c>
      <c r="R205" s="1064">
        <f>LOOKUP(Q205,'Circuit Breakers'!$B$5:$B$38,'Circuit Breakers'!$C$5:$C$38)</f>
        <v>30</v>
      </c>
      <c r="S205" s="64">
        <f t="shared" si="169"/>
        <v>30</v>
      </c>
      <c r="T205" s="25">
        <f t="shared" si="180"/>
        <v>26</v>
      </c>
      <c r="U205" s="158">
        <f>LOOKUP(T205,'Circuit Breakers'!$B$5:$B$38,'Circuit Breakers'!$C$5:$C$38)</f>
        <v>30</v>
      </c>
      <c r="V205" s="64">
        <f t="shared" si="181"/>
        <v>15</v>
      </c>
      <c r="W205" s="25">
        <f t="shared" si="182"/>
        <v>24.898230358802614</v>
      </c>
      <c r="X205" s="68" t="str">
        <f>LOOKUP(W205,'Wire-Cables Ampacities'!$B$5:$B$35,'Wire-Cables Ampacities'!$C$5:$C$35)</f>
        <v>#10</v>
      </c>
      <c r="Y205" s="64">
        <f t="shared" si="183"/>
        <v>10</v>
      </c>
      <c r="Z205" s="25">
        <f t="shared" si="184"/>
        <v>21.911999999999999</v>
      </c>
      <c r="AA205" s="68" t="str">
        <f>LOOKUP(Z205,'Wire-Cables Ampacities'!$B$5:$B$35,'Wire-Cables Ampacities'!$C$5:$C$35)</f>
        <v>#10</v>
      </c>
      <c r="AB205" s="64">
        <f t="shared" si="185"/>
        <v>10</v>
      </c>
      <c r="AC205" s="25">
        <f t="shared" si="186"/>
        <v>22</v>
      </c>
      <c r="AD205" s="68" t="str">
        <f>LOOKUP(AC205,'Wire-Cables Ampacities'!$B$5:$B$35,'Wire-Cables Ampacities'!$C$5:$C$35)</f>
        <v>#10</v>
      </c>
      <c r="AE205" s="81">
        <f t="shared" si="187"/>
        <v>0.35500000000000004</v>
      </c>
      <c r="AF205" s="53">
        <f t="shared" si="170"/>
        <v>1211.31041</v>
      </c>
      <c r="AG205" s="72">
        <f t="shared" si="188"/>
        <v>40</v>
      </c>
      <c r="AH205" s="15">
        <f t="shared" si="188"/>
        <v>55</v>
      </c>
      <c r="AI205" s="199">
        <f t="shared" si="188"/>
        <v>20</v>
      </c>
      <c r="AJ205" s="56">
        <f t="shared" si="189"/>
        <v>49.984000000000002</v>
      </c>
      <c r="AK205" s="271">
        <f t="shared" si="190"/>
        <v>0.49984000000000001</v>
      </c>
      <c r="AL205" s="277">
        <f t="shared" si="191"/>
        <v>0.24992</v>
      </c>
      <c r="AM205" s="58">
        <v>600</v>
      </c>
      <c r="AN205" s="25">
        <v>24</v>
      </c>
      <c r="AO205" s="3">
        <v>48</v>
      </c>
      <c r="AP205" s="3">
        <v>16</v>
      </c>
      <c r="AQ205" s="281">
        <f t="shared" si="192"/>
        <v>29.333333333333332</v>
      </c>
      <c r="AR205" s="287">
        <f t="shared" si="171"/>
        <v>661.31041000000005</v>
      </c>
      <c r="AS205" s="93"/>
      <c r="AT205" s="4"/>
    </row>
    <row r="206" spans="1:46">
      <c r="A206" s="98">
        <f t="shared" si="172"/>
        <v>60</v>
      </c>
      <c r="B206" s="99">
        <v>2.4500000000000002</v>
      </c>
      <c r="C206" s="100">
        <f t="shared" si="173"/>
        <v>147</v>
      </c>
      <c r="D206" s="101">
        <v>25</v>
      </c>
      <c r="E206" s="100">
        <f t="shared" si="174"/>
        <v>120</v>
      </c>
      <c r="F206" s="102">
        <f t="shared" si="175"/>
        <v>26.461887337857849</v>
      </c>
      <c r="G206" s="103">
        <f t="shared" si="176"/>
        <v>12</v>
      </c>
      <c r="H206" s="296">
        <f t="shared" si="163"/>
        <v>73.465920000000011</v>
      </c>
      <c r="I206" s="104">
        <f t="shared" si="164"/>
        <v>127.24670606479054</v>
      </c>
      <c r="J206" s="180">
        <f t="shared" si="177"/>
        <v>20</v>
      </c>
      <c r="K206" s="104">
        <f t="shared" si="165"/>
        <v>24.9</v>
      </c>
      <c r="L206" s="428">
        <f t="shared" si="166"/>
        <v>5.5</v>
      </c>
      <c r="M206" s="106">
        <f t="shared" si="178"/>
        <v>30</v>
      </c>
      <c r="N206" s="1060">
        <f t="shared" si="167"/>
        <v>34.400453539215206</v>
      </c>
      <c r="O206" s="101">
        <f>LOOKUP(N206,'Circuit Breakers'!$B$5:$B$38,'Circuit Breakers'!$C$5:$C$38)</f>
        <v>40</v>
      </c>
      <c r="P206" s="262">
        <f t="shared" si="168"/>
        <v>30</v>
      </c>
      <c r="Q206" s="1057">
        <f t="shared" si="179"/>
        <v>32.369999999999997</v>
      </c>
      <c r="R206" s="1065">
        <f>LOOKUP(Q206,'Circuit Breakers'!$B$5:$B$38,'Circuit Breakers'!$C$5:$C$38)</f>
        <v>40</v>
      </c>
      <c r="S206" s="106">
        <f t="shared" si="169"/>
        <v>30</v>
      </c>
      <c r="T206" s="104">
        <f t="shared" si="180"/>
        <v>32.5</v>
      </c>
      <c r="U206" s="477">
        <f>LOOKUP(T206,'Circuit Breakers'!$B$5:$B$38,'Circuit Breakers'!$C$5:$C$38)</f>
        <v>40</v>
      </c>
      <c r="V206" s="106">
        <f t="shared" si="181"/>
        <v>15</v>
      </c>
      <c r="W206" s="104">
        <f t="shared" si="182"/>
        <v>30.431170438536522</v>
      </c>
      <c r="X206" s="101" t="str">
        <f>LOOKUP(W206,'Wire-Cables Ampacities'!$B$5:$B$35,'Wire-Cables Ampacities'!$C$5:$C$35)</f>
        <v>#10</v>
      </c>
      <c r="Y206" s="106">
        <f t="shared" si="183"/>
        <v>10</v>
      </c>
      <c r="Z206" s="104">
        <f t="shared" si="184"/>
        <v>27.39</v>
      </c>
      <c r="AA206" s="101" t="str">
        <f>LOOKUP(Z206,'Wire-Cables Ampacities'!$B$5:$B$35,'Wire-Cables Ampacities'!$C$5:$C$35)</f>
        <v>#10</v>
      </c>
      <c r="AB206" s="106">
        <f t="shared" si="185"/>
        <v>10</v>
      </c>
      <c r="AC206" s="104">
        <f t="shared" si="186"/>
        <v>27.500000000000004</v>
      </c>
      <c r="AD206" s="101" t="str">
        <f>LOOKUP(AC206,'Wire-Cables Ampacities'!$B$5:$B$35,'Wire-Cables Ampacities'!$C$5:$C$35)</f>
        <v>#10</v>
      </c>
      <c r="AE206" s="107">
        <f t="shared" si="187"/>
        <v>0.435</v>
      </c>
      <c r="AF206" s="331">
        <f t="shared" si="170"/>
        <v>1484.2817700000001</v>
      </c>
      <c r="AG206" s="98">
        <f t="shared" si="188"/>
        <v>40</v>
      </c>
      <c r="AH206" s="99">
        <f t="shared" si="188"/>
        <v>55</v>
      </c>
      <c r="AI206" s="262">
        <f t="shared" si="188"/>
        <v>20</v>
      </c>
      <c r="AJ206" s="105">
        <f t="shared" si="189"/>
        <v>61.247999999999998</v>
      </c>
      <c r="AK206" s="272">
        <f t="shared" si="190"/>
        <v>0.61248000000000002</v>
      </c>
      <c r="AL206" s="278">
        <f t="shared" si="191"/>
        <v>0.30624000000000001</v>
      </c>
      <c r="AM206" s="109">
        <v>600</v>
      </c>
      <c r="AN206" s="104">
        <v>24</v>
      </c>
      <c r="AO206" s="110">
        <v>48</v>
      </c>
      <c r="AP206" s="110">
        <v>16</v>
      </c>
      <c r="AQ206" s="282">
        <f t="shared" si="192"/>
        <v>29.333333333333332</v>
      </c>
      <c r="AR206" s="288">
        <f t="shared" si="171"/>
        <v>934.28177000000005</v>
      </c>
      <c r="AS206" s="93"/>
      <c r="AT206" s="4"/>
    </row>
    <row r="207" spans="1:46" s="2184" customFormat="1">
      <c r="A207" s="2157">
        <f t="shared" si="172"/>
        <v>60</v>
      </c>
      <c r="B207" s="2158">
        <v>2.4500000000000002</v>
      </c>
      <c r="C207" s="2159">
        <v>176</v>
      </c>
      <c r="D207" s="2160">
        <v>30</v>
      </c>
      <c r="E207" s="2159">
        <f t="shared" si="174"/>
        <v>120</v>
      </c>
      <c r="F207" s="2161">
        <f t="shared" si="175"/>
        <v>37.287204885163327</v>
      </c>
      <c r="G207" s="2162">
        <f t="shared" si="176"/>
        <v>12</v>
      </c>
      <c r="H207" s="2163">
        <f t="shared" si="163"/>
        <v>84.367360000000005</v>
      </c>
      <c r="I207" s="2164">
        <f t="shared" si="164"/>
        <v>146.1285540204542</v>
      </c>
      <c r="J207" s="2165">
        <f t="shared" si="177"/>
        <v>20</v>
      </c>
      <c r="K207" s="2164">
        <f t="shared" si="165"/>
        <v>29.88</v>
      </c>
      <c r="L207" s="2166">
        <f t="shared" si="166"/>
        <v>7.75</v>
      </c>
      <c r="M207" s="2167">
        <f t="shared" si="178"/>
        <v>30</v>
      </c>
      <c r="N207" s="2168">
        <f t="shared" si="167"/>
        <v>48.473366350712325</v>
      </c>
      <c r="O207" s="2160">
        <f>LOOKUP(N207,'Circuit Breakers'!$B$5:$B$38,'Circuit Breakers'!$C$5:$C$38)</f>
        <v>50</v>
      </c>
      <c r="P207" s="2169">
        <f t="shared" si="168"/>
        <v>30</v>
      </c>
      <c r="Q207" s="2170">
        <f t="shared" si="179"/>
        <v>38.844000000000001</v>
      </c>
      <c r="R207" s="2171">
        <f>LOOKUP(Q207,'Circuit Breakers'!$B$5:$B$38,'Circuit Breakers'!$C$5:$C$38)</f>
        <v>40</v>
      </c>
      <c r="S207" s="2167">
        <f t="shared" si="169"/>
        <v>30</v>
      </c>
      <c r="T207" s="2164">
        <f t="shared" si="180"/>
        <v>39</v>
      </c>
      <c r="U207" s="2172">
        <f>LOOKUP(T207,'Circuit Breakers'!$B$5:$B$38,'Circuit Breakers'!$C$5:$C$38)</f>
        <v>40</v>
      </c>
      <c r="V207" s="2167">
        <f t="shared" si="181"/>
        <v>15</v>
      </c>
      <c r="W207" s="2164">
        <f t="shared" si="182"/>
        <v>42.880285617937822</v>
      </c>
      <c r="X207" s="2160" t="str">
        <f>LOOKUP(W207,'Wire-Cables Ampacities'!$B$5:$B$35,'Wire-Cables Ampacities'!$C$5:$C$35)</f>
        <v>#8</v>
      </c>
      <c r="Y207" s="2167">
        <f t="shared" si="183"/>
        <v>10</v>
      </c>
      <c r="Z207" s="2164">
        <f t="shared" si="184"/>
        <v>32.868000000000002</v>
      </c>
      <c r="AA207" s="2160" t="str">
        <f>LOOKUP(Z207,'Wire-Cables Ampacities'!$B$5:$B$35,'Wire-Cables Ampacities'!$C$5:$C$35)</f>
        <v>#10</v>
      </c>
      <c r="AB207" s="2167">
        <f t="shared" si="185"/>
        <v>10</v>
      </c>
      <c r="AC207" s="2164">
        <f t="shared" si="186"/>
        <v>33</v>
      </c>
      <c r="AD207" s="2160" t="str">
        <f>LOOKUP(AC207,'Wire-Cables Ampacities'!$B$5:$B$35,'Wire-Cables Ampacities'!$C$5:$C$35)</f>
        <v>#10</v>
      </c>
      <c r="AE207" s="2173">
        <f t="shared" si="187"/>
        <v>0.60250000000000015</v>
      </c>
      <c r="AF207" s="2174">
        <f t="shared" si="170"/>
        <v>2055.8155550000006</v>
      </c>
      <c r="AG207" s="2157">
        <f t="shared" si="188"/>
        <v>40</v>
      </c>
      <c r="AH207" s="2158">
        <f t="shared" si="188"/>
        <v>55</v>
      </c>
      <c r="AI207" s="2169">
        <f t="shared" si="188"/>
        <v>20</v>
      </c>
      <c r="AJ207" s="2175">
        <f t="shared" si="189"/>
        <v>84.832000000000022</v>
      </c>
      <c r="AK207" s="2176">
        <f t="shared" si="190"/>
        <v>0.84832000000000019</v>
      </c>
      <c r="AL207" s="2177">
        <f t="shared" si="191"/>
        <v>0.42416000000000009</v>
      </c>
      <c r="AM207" s="2178">
        <v>600</v>
      </c>
      <c r="AN207" s="2164">
        <v>24</v>
      </c>
      <c r="AO207" s="2179">
        <v>48</v>
      </c>
      <c r="AP207" s="2179">
        <v>16</v>
      </c>
      <c r="AQ207" s="2180">
        <f t="shared" si="192"/>
        <v>29.333333333333332</v>
      </c>
      <c r="AR207" s="2181">
        <f t="shared" si="171"/>
        <v>1505.8155550000006</v>
      </c>
      <c r="AS207" s="2182"/>
      <c r="AT207" s="2183"/>
    </row>
    <row r="208" spans="1:46">
      <c r="A208" s="72">
        <f t="shared" si="172"/>
        <v>60</v>
      </c>
      <c r="B208" s="15">
        <v>2.4500000000000002</v>
      </c>
      <c r="C208" s="66">
        <v>166</v>
      </c>
      <c r="D208" s="68">
        <v>35</v>
      </c>
      <c r="E208" s="66">
        <f t="shared" si="174"/>
        <v>120</v>
      </c>
      <c r="F208" s="45">
        <f t="shared" si="175"/>
        <v>40.895644067598489</v>
      </c>
      <c r="G208" s="94">
        <f t="shared" si="176"/>
        <v>12</v>
      </c>
      <c r="H208" s="295">
        <f t="shared" si="163"/>
        <v>79.573760000000007</v>
      </c>
      <c r="I208" s="25">
        <f t="shared" si="164"/>
        <v>137.82579526929203</v>
      </c>
      <c r="J208" s="52">
        <f t="shared" si="177"/>
        <v>20</v>
      </c>
      <c r="K208" s="25">
        <f t="shared" si="165"/>
        <v>34.86</v>
      </c>
      <c r="L208" s="427">
        <f t="shared" si="166"/>
        <v>8.5</v>
      </c>
      <c r="M208" s="64">
        <f t="shared" si="178"/>
        <v>30</v>
      </c>
      <c r="N208" s="838">
        <f t="shared" si="167"/>
        <v>53.164337287878041</v>
      </c>
      <c r="O208" s="68">
        <f>LOOKUP(N208,'Circuit Breakers'!$B$5:$B$38,'Circuit Breakers'!$C$5:$C$38)</f>
        <v>60</v>
      </c>
      <c r="P208" s="199">
        <f t="shared" si="168"/>
        <v>30</v>
      </c>
      <c r="Q208" s="1056">
        <f t="shared" si="179"/>
        <v>45.317999999999998</v>
      </c>
      <c r="R208" s="1064">
        <f>LOOKUP(Q208,'Circuit Breakers'!$B$5:$B$38,'Circuit Breakers'!$C$5:$C$38)</f>
        <v>50</v>
      </c>
      <c r="S208" s="64">
        <f t="shared" si="169"/>
        <v>30</v>
      </c>
      <c r="T208" s="25">
        <f t="shared" si="180"/>
        <v>45.5</v>
      </c>
      <c r="U208" s="158">
        <f>LOOKUP(T208,'Circuit Breakers'!$B$5:$B$38,'Circuit Breakers'!$C$5:$C$38)</f>
        <v>50</v>
      </c>
      <c r="V208" s="64">
        <f t="shared" si="181"/>
        <v>15</v>
      </c>
      <c r="W208" s="25">
        <f t="shared" si="182"/>
        <v>47.029990677738262</v>
      </c>
      <c r="X208" s="68" t="str">
        <f>LOOKUP(W208,'Wire-Cables Ampacities'!$B$5:$B$35,'Wire-Cables Ampacities'!$C$5:$C$35)</f>
        <v>#8</v>
      </c>
      <c r="Y208" s="64">
        <f t="shared" si="183"/>
        <v>10</v>
      </c>
      <c r="Z208" s="25">
        <f t="shared" si="184"/>
        <v>38.346000000000004</v>
      </c>
      <c r="AA208" s="68" t="str">
        <f>LOOKUP(Z208,'Wire-Cables Ampacities'!$B$5:$B$35,'Wire-Cables Ampacities'!$C$5:$C$35)</f>
        <v>#10</v>
      </c>
      <c r="AB208" s="64">
        <f t="shared" si="185"/>
        <v>10</v>
      </c>
      <c r="AC208" s="25">
        <f t="shared" si="186"/>
        <v>38.5</v>
      </c>
      <c r="AD208" s="68" t="str">
        <f>LOOKUP(AC208,'Wire-Cables Ampacities'!$B$5:$B$35,'Wire-Cables Ampacities'!$C$5:$C$35)</f>
        <v>#10</v>
      </c>
      <c r="AE208" s="81">
        <f t="shared" si="187"/>
        <v>0.66500000000000015</v>
      </c>
      <c r="AF208" s="53">
        <f t="shared" si="170"/>
        <v>2269.0744300000001</v>
      </c>
      <c r="AG208" s="72">
        <f t="shared" si="188"/>
        <v>40</v>
      </c>
      <c r="AH208" s="15">
        <f t="shared" si="188"/>
        <v>55</v>
      </c>
      <c r="AI208" s="199">
        <f t="shared" si="188"/>
        <v>20</v>
      </c>
      <c r="AJ208" s="56">
        <f t="shared" si="189"/>
        <v>93.632000000000019</v>
      </c>
      <c r="AK208" s="271">
        <f t="shared" si="190"/>
        <v>0.93632000000000015</v>
      </c>
      <c r="AL208" s="277">
        <f t="shared" si="191"/>
        <v>0.46816000000000008</v>
      </c>
      <c r="AM208" s="58">
        <v>600</v>
      </c>
      <c r="AN208" s="25">
        <v>24</v>
      </c>
      <c r="AO208" s="3">
        <v>48</v>
      </c>
      <c r="AP208" s="3">
        <v>16</v>
      </c>
      <c r="AQ208" s="281">
        <f t="shared" si="192"/>
        <v>29.333333333333332</v>
      </c>
      <c r="AR208" s="287">
        <f t="shared" si="171"/>
        <v>1719.0744300000001</v>
      </c>
      <c r="AS208" s="93"/>
      <c r="AT208" s="4"/>
    </row>
    <row r="209" spans="1:46">
      <c r="A209" s="98">
        <f t="shared" si="172"/>
        <v>60</v>
      </c>
      <c r="B209" s="99">
        <v>2.4500000000000002</v>
      </c>
      <c r="C209" s="100">
        <f t="shared" si="173"/>
        <v>147</v>
      </c>
      <c r="D209" s="101">
        <v>40</v>
      </c>
      <c r="E209" s="100">
        <f t="shared" si="174"/>
        <v>120</v>
      </c>
      <c r="F209" s="102">
        <f t="shared" si="175"/>
        <v>43.301270189221938</v>
      </c>
      <c r="G209" s="103">
        <f t="shared" si="176"/>
        <v>12</v>
      </c>
      <c r="H209" s="296">
        <f t="shared" si="163"/>
        <v>73.465920000000011</v>
      </c>
      <c r="I209" s="104">
        <f t="shared" si="164"/>
        <v>127.24670606479054</v>
      </c>
      <c r="J209" s="180">
        <f t="shared" si="177"/>
        <v>20</v>
      </c>
      <c r="K209" s="104">
        <f t="shared" si="165"/>
        <v>39.839999999999996</v>
      </c>
      <c r="L209" s="428">
        <f t="shared" si="166"/>
        <v>9</v>
      </c>
      <c r="M209" s="106">
        <f t="shared" si="178"/>
        <v>30</v>
      </c>
      <c r="N209" s="1060">
        <f t="shared" si="167"/>
        <v>56.291651245988518</v>
      </c>
      <c r="O209" s="101">
        <f>LOOKUP(N209,'Circuit Breakers'!$B$5:$B$38,'Circuit Breakers'!$C$5:$C$38)</f>
        <v>60</v>
      </c>
      <c r="P209" s="262">
        <f t="shared" si="168"/>
        <v>30</v>
      </c>
      <c r="Q209" s="1057">
        <f t="shared" si="179"/>
        <v>51.791999999999994</v>
      </c>
      <c r="R209" s="1065">
        <f>LOOKUP(Q209,'Circuit Breakers'!$B$5:$B$38,'Circuit Breakers'!$C$5:$C$38)</f>
        <v>60</v>
      </c>
      <c r="S209" s="106">
        <f t="shared" si="169"/>
        <v>30</v>
      </c>
      <c r="T209" s="104">
        <f t="shared" si="180"/>
        <v>52</v>
      </c>
      <c r="U209" s="477">
        <f>LOOKUP(T209,'Circuit Breakers'!$B$5:$B$38,'Circuit Breakers'!$C$5:$C$38)</f>
        <v>60</v>
      </c>
      <c r="V209" s="106">
        <f t="shared" si="181"/>
        <v>15</v>
      </c>
      <c r="W209" s="104">
        <f t="shared" si="182"/>
        <v>49.796460717605228</v>
      </c>
      <c r="X209" s="101" t="str">
        <f>LOOKUP(W209,'Wire-Cables Ampacities'!$B$5:$B$35,'Wire-Cables Ampacities'!$C$5:$C$35)</f>
        <v>#8</v>
      </c>
      <c r="Y209" s="106">
        <f t="shared" si="183"/>
        <v>10</v>
      </c>
      <c r="Z209" s="104">
        <f t="shared" si="184"/>
        <v>43.823999999999998</v>
      </c>
      <c r="AA209" s="101" t="str">
        <f>LOOKUP(Z209,'Wire-Cables Ampacities'!$B$5:$B$35,'Wire-Cables Ampacities'!$C$5:$C$35)</f>
        <v>#8</v>
      </c>
      <c r="AB209" s="106">
        <f t="shared" si="185"/>
        <v>10</v>
      </c>
      <c r="AC209" s="104">
        <f t="shared" si="186"/>
        <v>44</v>
      </c>
      <c r="AD209" s="101" t="str">
        <f>LOOKUP(AC209,'Wire-Cables Ampacities'!$B$5:$B$35,'Wire-Cables Ampacities'!$C$5:$C$35)</f>
        <v>#8</v>
      </c>
      <c r="AE209" s="107">
        <f t="shared" si="187"/>
        <v>0.71000000000000008</v>
      </c>
      <c r="AF209" s="331">
        <f t="shared" si="170"/>
        <v>2422.6208200000001</v>
      </c>
      <c r="AG209" s="98">
        <f t="shared" si="188"/>
        <v>40</v>
      </c>
      <c r="AH209" s="99">
        <f t="shared" si="188"/>
        <v>55</v>
      </c>
      <c r="AI209" s="262">
        <f t="shared" si="188"/>
        <v>20</v>
      </c>
      <c r="AJ209" s="105">
        <f t="shared" si="189"/>
        <v>99.968000000000004</v>
      </c>
      <c r="AK209" s="272">
        <f t="shared" si="190"/>
        <v>0.99968000000000001</v>
      </c>
      <c r="AL209" s="278">
        <f t="shared" si="191"/>
        <v>0.49984000000000001</v>
      </c>
      <c r="AM209" s="109">
        <v>600</v>
      </c>
      <c r="AN209" s="104">
        <v>24</v>
      </c>
      <c r="AO209" s="110">
        <v>48</v>
      </c>
      <c r="AP209" s="110">
        <v>16</v>
      </c>
      <c r="AQ209" s="282">
        <f t="shared" si="192"/>
        <v>29.333333333333332</v>
      </c>
      <c r="AR209" s="288">
        <f t="shared" si="171"/>
        <v>1872.6208200000001</v>
      </c>
      <c r="AS209" s="93"/>
      <c r="AT209" s="4"/>
    </row>
    <row r="210" spans="1:46" s="812" customFormat="1">
      <c r="A210" s="793">
        <f t="shared" si="172"/>
        <v>60</v>
      </c>
      <c r="B210" s="794">
        <v>2.4500000000000002</v>
      </c>
      <c r="C210" s="795">
        <f t="shared" si="173"/>
        <v>147</v>
      </c>
      <c r="D210" s="796">
        <v>50</v>
      </c>
      <c r="E210" s="795">
        <f t="shared" si="174"/>
        <v>208</v>
      </c>
      <c r="F210" s="688">
        <f t="shared" si="175"/>
        <v>30.53294692829752</v>
      </c>
      <c r="G210" s="797">
        <f t="shared" si="176"/>
        <v>12</v>
      </c>
      <c r="H210" s="798">
        <f t="shared" si="163"/>
        <v>73.465920000000011</v>
      </c>
      <c r="I210" s="688">
        <f t="shared" si="164"/>
        <v>127.24670606479054</v>
      </c>
      <c r="J210" s="799">
        <f t="shared" si="177"/>
        <v>20</v>
      </c>
      <c r="K210" s="688">
        <f t="shared" si="165"/>
        <v>49.8</v>
      </c>
      <c r="L210" s="905">
        <f t="shared" si="166"/>
        <v>11</v>
      </c>
      <c r="M210" s="64">
        <f t="shared" si="178"/>
        <v>30</v>
      </c>
      <c r="N210" s="838">
        <f t="shared" si="167"/>
        <v>39.692831006786776</v>
      </c>
      <c r="O210" s="68">
        <f>LOOKUP(N210,'Circuit Breakers'!$B$5:$B$38,'Circuit Breakers'!$C$5:$C$38)</f>
        <v>40</v>
      </c>
      <c r="P210" s="199">
        <f t="shared" si="168"/>
        <v>30</v>
      </c>
      <c r="Q210" s="1056">
        <f t="shared" si="179"/>
        <v>64.739999999999995</v>
      </c>
      <c r="R210" s="1064">
        <f>LOOKUP(Q210,'Circuit Breakers'!$B$5:$B$38,'Circuit Breakers'!$C$5:$C$38)</f>
        <v>70</v>
      </c>
      <c r="S210" s="64">
        <f t="shared" si="169"/>
        <v>30</v>
      </c>
      <c r="T210" s="25">
        <f t="shared" si="180"/>
        <v>65</v>
      </c>
      <c r="U210" s="158">
        <f>LOOKUP(T210,'Circuit Breakers'!$B$5:$B$38,'Circuit Breakers'!$C$5:$C$38)</f>
        <v>70</v>
      </c>
      <c r="V210" s="801">
        <f t="shared" si="181"/>
        <v>15</v>
      </c>
      <c r="W210" s="688">
        <f t="shared" si="182"/>
        <v>35.112888967542148</v>
      </c>
      <c r="X210" s="1171" t="str">
        <f>LOOKUP(W210,'Wire-Cables Ampacities'!$B$5:$B$35,'Wire-Cables Ampacities'!$C$5:$C$35)</f>
        <v>#10</v>
      </c>
      <c r="Y210" s="801">
        <f t="shared" si="183"/>
        <v>10</v>
      </c>
      <c r="Z210" s="688">
        <f t="shared" si="184"/>
        <v>54.78</v>
      </c>
      <c r="AA210" s="1171" t="str">
        <f>LOOKUP(Z210,'Wire-Cables Ampacities'!$B$5:$B$35,'Wire-Cables Ampacities'!$C$5:$C$35)</f>
        <v>#8</v>
      </c>
      <c r="AB210" s="801">
        <f t="shared" si="185"/>
        <v>10</v>
      </c>
      <c r="AC210" s="688">
        <f t="shared" si="186"/>
        <v>55.000000000000007</v>
      </c>
      <c r="AD210" s="1171" t="str">
        <f>LOOKUP(AC210,'Wire-Cables Ampacities'!$B$5:$B$35,'Wire-Cables Ampacities'!$C$5:$C$35)</f>
        <v>#8</v>
      </c>
      <c r="AE210" s="802">
        <f t="shared" si="187"/>
        <v>0.87</v>
      </c>
      <c r="AF210" s="803">
        <f t="shared" si="170"/>
        <v>2968.5635400000001</v>
      </c>
      <c r="AG210" s="793">
        <f t="shared" si="188"/>
        <v>40</v>
      </c>
      <c r="AH210" s="794">
        <f t="shared" si="188"/>
        <v>55</v>
      </c>
      <c r="AI210" s="804">
        <f t="shared" si="188"/>
        <v>20</v>
      </c>
      <c r="AJ210" s="708">
        <f t="shared" si="189"/>
        <v>122.496</v>
      </c>
      <c r="AK210" s="805">
        <f t="shared" si="190"/>
        <v>1.22496</v>
      </c>
      <c r="AL210" s="806">
        <f t="shared" si="191"/>
        <v>0.61248000000000002</v>
      </c>
      <c r="AM210" s="807">
        <v>800</v>
      </c>
      <c r="AN210" s="688">
        <v>34</v>
      </c>
      <c r="AO210" s="721">
        <v>48</v>
      </c>
      <c r="AP210" s="721">
        <v>28</v>
      </c>
      <c r="AQ210" s="808">
        <f t="shared" si="192"/>
        <v>47.944444444444443</v>
      </c>
      <c r="AR210" s="809">
        <f t="shared" si="171"/>
        <v>2069.6052066666666</v>
      </c>
      <c r="AS210" s="810"/>
      <c r="AT210" s="811"/>
    </row>
    <row r="211" spans="1:46">
      <c r="A211" s="72">
        <f t="shared" si="172"/>
        <v>60</v>
      </c>
      <c r="B211" s="15">
        <v>2.4500000000000002</v>
      </c>
      <c r="C211" s="66">
        <f t="shared" si="173"/>
        <v>147</v>
      </c>
      <c r="D211" s="68">
        <v>60</v>
      </c>
      <c r="E211" s="66">
        <f t="shared" si="174"/>
        <v>208</v>
      </c>
      <c r="F211" s="45">
        <f t="shared" si="175"/>
        <v>37.47225304836514</v>
      </c>
      <c r="G211" s="94">
        <f t="shared" si="176"/>
        <v>12</v>
      </c>
      <c r="H211" s="295">
        <f t="shared" si="163"/>
        <v>73.465920000000011</v>
      </c>
      <c r="I211" s="25">
        <f t="shared" si="164"/>
        <v>127.24670606479054</v>
      </c>
      <c r="J211" s="52">
        <f t="shared" si="177"/>
        <v>20</v>
      </c>
      <c r="K211" s="25">
        <f>(1+J211/100)*D211*0.83</f>
        <v>59.76</v>
      </c>
      <c r="L211" s="157">
        <f t="shared" si="166"/>
        <v>13.5</v>
      </c>
      <c r="M211" s="64">
        <f t="shared" si="178"/>
        <v>30</v>
      </c>
      <c r="N211" s="838">
        <f t="shared" si="167"/>
        <v>48.713928962874682</v>
      </c>
      <c r="O211" s="68">
        <f>LOOKUP(N211,'Circuit Breakers'!$B$5:$B$38,'Circuit Breakers'!$C$5:$C$38)</f>
        <v>50</v>
      </c>
      <c r="P211" s="199">
        <f t="shared" si="168"/>
        <v>30</v>
      </c>
      <c r="Q211" s="1056">
        <f t="shared" si="179"/>
        <v>77.688000000000002</v>
      </c>
      <c r="R211" s="1064">
        <f>LOOKUP(Q211,'Circuit Breakers'!$B$5:$B$38,'Circuit Breakers'!$C$5:$C$38)</f>
        <v>80</v>
      </c>
      <c r="S211" s="64">
        <f t="shared" si="169"/>
        <v>30</v>
      </c>
      <c r="T211" s="25">
        <f t="shared" si="180"/>
        <v>78</v>
      </c>
      <c r="U211" s="158">
        <f>LOOKUP(T211,'Circuit Breakers'!$B$5:$B$38,'Circuit Breakers'!$C$5:$C$38)</f>
        <v>80</v>
      </c>
      <c r="V211" s="64">
        <f t="shared" si="181"/>
        <v>15</v>
      </c>
      <c r="W211" s="25">
        <f t="shared" si="182"/>
        <v>43.093091005619904</v>
      </c>
      <c r="X211" s="68" t="str">
        <f>LOOKUP(W211,'Wire-Cables Ampacities'!$B$5:$B$35,'Wire-Cables Ampacities'!$C$5:$C$35)</f>
        <v>#8</v>
      </c>
      <c r="Y211" s="64">
        <f t="shared" si="183"/>
        <v>10</v>
      </c>
      <c r="Z211" s="25">
        <f t="shared" si="184"/>
        <v>65.736000000000004</v>
      </c>
      <c r="AA211" s="68" t="str">
        <f>LOOKUP(Z211,'Wire-Cables Ampacities'!$B$5:$B$35,'Wire-Cables Ampacities'!$C$5:$C$35)</f>
        <v>#6</v>
      </c>
      <c r="AB211" s="64">
        <f t="shared" si="185"/>
        <v>10</v>
      </c>
      <c r="AC211" s="25">
        <f t="shared" si="186"/>
        <v>66</v>
      </c>
      <c r="AD211" s="68" t="str">
        <f>LOOKUP(AC211,'Wire-Cables Ampacities'!$B$5:$B$35,'Wire-Cables Ampacities'!$C$5:$C$35)</f>
        <v>#6</v>
      </c>
      <c r="AE211" s="81">
        <f t="shared" si="187"/>
        <v>1.0649999999999999</v>
      </c>
      <c r="AF211" s="53">
        <f t="shared" si="170"/>
        <v>3633.9312299999997</v>
      </c>
      <c r="AG211" s="72">
        <f t="shared" si="188"/>
        <v>40</v>
      </c>
      <c r="AH211" s="15">
        <f t="shared" si="188"/>
        <v>55</v>
      </c>
      <c r="AI211" s="199">
        <f t="shared" si="188"/>
        <v>20</v>
      </c>
      <c r="AJ211" s="56">
        <f t="shared" si="189"/>
        <v>149.952</v>
      </c>
      <c r="AK211" s="271">
        <f t="shared" si="190"/>
        <v>1.49952</v>
      </c>
      <c r="AL211" s="277">
        <f t="shared" si="191"/>
        <v>0.74975999999999998</v>
      </c>
      <c r="AM211" s="58">
        <v>800</v>
      </c>
      <c r="AN211" s="25">
        <v>34</v>
      </c>
      <c r="AO211" s="3">
        <v>48</v>
      </c>
      <c r="AP211" s="3">
        <v>28</v>
      </c>
      <c r="AQ211" s="281">
        <f t="shared" si="192"/>
        <v>47.944444444444443</v>
      </c>
      <c r="AR211" s="287">
        <f t="shared" si="171"/>
        <v>2734.9728966666662</v>
      </c>
      <c r="AS211" s="93"/>
      <c r="AT211" s="4"/>
    </row>
    <row r="212" spans="1:46">
      <c r="A212" s="98">
        <f t="shared" si="172"/>
        <v>60</v>
      </c>
      <c r="B212" s="99">
        <v>2.4500000000000002</v>
      </c>
      <c r="C212" s="100">
        <f t="shared" si="173"/>
        <v>147</v>
      </c>
      <c r="D212" s="101">
        <v>75</v>
      </c>
      <c r="E212" s="100">
        <f t="shared" si="174"/>
        <v>240</v>
      </c>
      <c r="F212" s="102">
        <f t="shared" si="175"/>
        <v>39.692831006786776</v>
      </c>
      <c r="G212" s="103">
        <f t="shared" si="176"/>
        <v>12</v>
      </c>
      <c r="H212" s="296">
        <f t="shared" si="163"/>
        <v>73.465920000000011</v>
      </c>
      <c r="I212" s="104">
        <f t="shared" si="164"/>
        <v>127.24670606479054</v>
      </c>
      <c r="J212" s="180">
        <f t="shared" si="177"/>
        <v>20</v>
      </c>
      <c r="K212" s="104">
        <f t="shared" si="165"/>
        <v>74.7</v>
      </c>
      <c r="L212" s="263">
        <f t="shared" si="166"/>
        <v>16.5</v>
      </c>
      <c r="M212" s="106">
        <f t="shared" si="178"/>
        <v>30</v>
      </c>
      <c r="N212" s="1060">
        <f t="shared" si="167"/>
        <v>51.60068030882281</v>
      </c>
      <c r="O212" s="101">
        <f>LOOKUP(N212,'Circuit Breakers'!$B$5:$B$38,'Circuit Breakers'!$C$5:$C$38)</f>
        <v>60</v>
      </c>
      <c r="P212" s="262">
        <f t="shared" si="168"/>
        <v>30</v>
      </c>
      <c r="Q212" s="1057">
        <f t="shared" si="179"/>
        <v>97.110000000000014</v>
      </c>
      <c r="R212" s="1065">
        <f>LOOKUP(Q212,'Circuit Breakers'!$B$5:$B$38,'Circuit Breakers'!$C$5:$C$38)</f>
        <v>100</v>
      </c>
      <c r="S212" s="106">
        <f t="shared" si="169"/>
        <v>30</v>
      </c>
      <c r="T212" s="104">
        <f t="shared" si="180"/>
        <v>97.5</v>
      </c>
      <c r="U212" s="477">
        <f>LOOKUP(T212,'Circuit Breakers'!$B$5:$B$38,'Circuit Breakers'!$C$5:$C$38)</f>
        <v>100</v>
      </c>
      <c r="V212" s="106">
        <f t="shared" si="181"/>
        <v>15</v>
      </c>
      <c r="W212" s="104">
        <f t="shared" si="182"/>
        <v>45.646755657804789</v>
      </c>
      <c r="X212" s="101" t="str">
        <f>LOOKUP(W212,'Wire-Cables Ampacities'!$B$5:$B$35,'Wire-Cables Ampacities'!$C$5:$C$35)</f>
        <v>#8</v>
      </c>
      <c r="Y212" s="106">
        <f t="shared" si="183"/>
        <v>10</v>
      </c>
      <c r="Z212" s="104">
        <f t="shared" si="184"/>
        <v>82.170000000000016</v>
      </c>
      <c r="AA212" s="101" t="str">
        <f>LOOKUP(Z212,'Wire-Cables Ampacities'!$B$5:$B$35,'Wire-Cables Ampacities'!$C$5:$C$35)</f>
        <v>#4</v>
      </c>
      <c r="AB212" s="106">
        <f t="shared" si="185"/>
        <v>10</v>
      </c>
      <c r="AC212" s="104">
        <f t="shared" si="186"/>
        <v>82.5</v>
      </c>
      <c r="AD212" s="101" t="str">
        <f>LOOKUP(AC212,'Wire-Cables Ampacities'!$B$5:$B$35,'Wire-Cables Ampacities'!$C$5:$C$35)</f>
        <v>#4</v>
      </c>
      <c r="AE212" s="107">
        <f t="shared" si="187"/>
        <v>1.3049999999999999</v>
      </c>
      <c r="AF212" s="331">
        <f t="shared" si="170"/>
        <v>4452.8453099999997</v>
      </c>
      <c r="AG212" s="98">
        <f t="shared" si="188"/>
        <v>40</v>
      </c>
      <c r="AH212" s="99">
        <f t="shared" si="188"/>
        <v>55</v>
      </c>
      <c r="AI212" s="262">
        <f t="shared" si="188"/>
        <v>20</v>
      </c>
      <c r="AJ212" s="105">
        <f t="shared" si="189"/>
        <v>183.74399999999997</v>
      </c>
      <c r="AK212" s="272">
        <f t="shared" si="190"/>
        <v>1.8374399999999997</v>
      </c>
      <c r="AL212" s="278">
        <f t="shared" si="191"/>
        <v>0.91871999999999987</v>
      </c>
      <c r="AM212" s="109">
        <v>800</v>
      </c>
      <c r="AN212" s="104">
        <v>34</v>
      </c>
      <c r="AO212" s="110">
        <v>48</v>
      </c>
      <c r="AP212" s="110">
        <v>28</v>
      </c>
      <c r="AQ212" s="282">
        <f t="shared" si="192"/>
        <v>47.944444444444443</v>
      </c>
      <c r="AR212" s="288">
        <f t="shared" si="171"/>
        <v>3553.8869766666662</v>
      </c>
      <c r="AS212" s="93"/>
      <c r="AT212" s="4"/>
    </row>
    <row r="213" spans="1:46">
      <c r="A213" s="72">
        <f t="shared" si="172"/>
        <v>60</v>
      </c>
      <c r="B213" s="15">
        <v>2.4500000000000002</v>
      </c>
      <c r="C213" s="66">
        <f t="shared" si="173"/>
        <v>147</v>
      </c>
      <c r="D213" s="68">
        <v>100</v>
      </c>
      <c r="E213" s="66">
        <f t="shared" si="174"/>
        <v>480</v>
      </c>
      <c r="F213" s="45">
        <f t="shared" si="175"/>
        <v>26.461887337857849</v>
      </c>
      <c r="G213" s="94">
        <f t="shared" si="176"/>
        <v>12</v>
      </c>
      <c r="H213" s="295">
        <f t="shared" si="163"/>
        <v>73.465920000000011</v>
      </c>
      <c r="I213" s="25">
        <f t="shared" si="164"/>
        <v>127.24670606479054</v>
      </c>
      <c r="J213" s="52">
        <f t="shared" si="177"/>
        <v>20</v>
      </c>
      <c r="K213" s="25">
        <f t="shared" si="165"/>
        <v>99.6</v>
      </c>
      <c r="L213" s="157">
        <f t="shared" si="166"/>
        <v>22</v>
      </c>
      <c r="M213" s="64">
        <f t="shared" si="178"/>
        <v>30</v>
      </c>
      <c r="N213" s="838">
        <f t="shared" si="167"/>
        <v>34.400453539215206</v>
      </c>
      <c r="O213" s="68">
        <f>LOOKUP(N213,'Circuit Breakers'!$B$5:$B$38,'Circuit Breakers'!$C$5:$C$38)</f>
        <v>40</v>
      </c>
      <c r="P213" s="199">
        <f t="shared" si="168"/>
        <v>30</v>
      </c>
      <c r="Q213" s="1056">
        <f t="shared" si="179"/>
        <v>129.47999999999999</v>
      </c>
      <c r="R213" s="1064">
        <f>LOOKUP(Q213,'Circuit Breakers'!$B$5:$B$38,'Circuit Breakers'!$C$5:$C$38)</f>
        <v>150</v>
      </c>
      <c r="S213" s="64">
        <f t="shared" si="169"/>
        <v>30</v>
      </c>
      <c r="T213" s="25">
        <f t="shared" si="180"/>
        <v>130</v>
      </c>
      <c r="U213" s="158">
        <f>LOOKUP(T213,'Circuit Breakers'!$B$5:$B$38,'Circuit Breakers'!$C$5:$C$38)</f>
        <v>150</v>
      </c>
      <c r="V213" s="64">
        <f t="shared" si="181"/>
        <v>15</v>
      </c>
      <c r="W213" s="25">
        <f t="shared" si="182"/>
        <v>30.431170438536522</v>
      </c>
      <c r="X213" s="68" t="str">
        <f>LOOKUP(W213,'Wire-Cables Ampacities'!$B$5:$B$35,'Wire-Cables Ampacities'!$C$5:$C$35)</f>
        <v>#10</v>
      </c>
      <c r="Y213" s="64">
        <f t="shared" si="183"/>
        <v>10</v>
      </c>
      <c r="Z213" s="25">
        <f t="shared" si="184"/>
        <v>109.56</v>
      </c>
      <c r="AA213" s="68" t="str">
        <f>LOOKUP(Z213,'Wire-Cables Ampacities'!$B$5:$B$35,'Wire-Cables Ampacities'!$C$5:$C$35)</f>
        <v>#3</v>
      </c>
      <c r="AB213" s="64">
        <f t="shared" si="185"/>
        <v>10</v>
      </c>
      <c r="AC213" s="25">
        <f t="shared" si="186"/>
        <v>110.00000000000001</v>
      </c>
      <c r="AD213" s="68" t="str">
        <f>LOOKUP(AC213,'Wire-Cables Ampacities'!$B$5:$B$35,'Wire-Cables Ampacities'!$C$5:$C$35)</f>
        <v>#3</v>
      </c>
      <c r="AE213" s="81">
        <f t="shared" si="187"/>
        <v>1.74</v>
      </c>
      <c r="AF213" s="53">
        <f t="shared" si="170"/>
        <v>5937.1270800000002</v>
      </c>
      <c r="AG213" s="72">
        <f t="shared" si="188"/>
        <v>40</v>
      </c>
      <c r="AH213" s="15">
        <f t="shared" si="188"/>
        <v>55</v>
      </c>
      <c r="AI213" s="199">
        <f t="shared" si="188"/>
        <v>20</v>
      </c>
      <c r="AJ213" s="56">
        <f t="shared" si="189"/>
        <v>244.99199999999999</v>
      </c>
      <c r="AK213" s="271">
        <f t="shared" si="190"/>
        <v>2.4499200000000001</v>
      </c>
      <c r="AL213" s="277">
        <f t="shared" si="191"/>
        <v>1.22496</v>
      </c>
      <c r="AM213" s="58">
        <v>800</v>
      </c>
      <c r="AN213" s="25">
        <v>34</v>
      </c>
      <c r="AO213" s="3">
        <v>48</v>
      </c>
      <c r="AP213" s="3">
        <v>28</v>
      </c>
      <c r="AQ213" s="281">
        <f t="shared" si="192"/>
        <v>47.944444444444443</v>
      </c>
      <c r="AR213" s="287">
        <f t="shared" si="171"/>
        <v>5038.1687466666672</v>
      </c>
      <c r="AS213" s="93"/>
      <c r="AT213" s="4"/>
    </row>
    <row r="214" spans="1:46">
      <c r="A214" s="72">
        <f t="shared" si="172"/>
        <v>60</v>
      </c>
      <c r="B214" s="15">
        <v>2.4500000000000002</v>
      </c>
      <c r="C214" s="66">
        <f t="shared" si="173"/>
        <v>147</v>
      </c>
      <c r="D214" s="68">
        <v>125</v>
      </c>
      <c r="E214" s="66">
        <f t="shared" si="174"/>
        <v>480</v>
      </c>
      <c r="F214" s="45">
        <f t="shared" si="175"/>
        <v>33.678765702728171</v>
      </c>
      <c r="G214" s="94">
        <f t="shared" si="176"/>
        <v>12</v>
      </c>
      <c r="H214" s="295">
        <f t="shared" si="163"/>
        <v>73.465920000000011</v>
      </c>
      <c r="I214" s="25">
        <f t="shared" si="164"/>
        <v>127.24670606479054</v>
      </c>
      <c r="J214" s="52">
        <f t="shared" si="177"/>
        <v>20</v>
      </c>
      <c r="K214" s="25">
        <f t="shared" si="165"/>
        <v>124.5</v>
      </c>
      <c r="L214" s="158">
        <f t="shared" si="166"/>
        <v>28</v>
      </c>
      <c r="M214" s="64">
        <f t="shared" si="178"/>
        <v>30</v>
      </c>
      <c r="N214" s="838">
        <f t="shared" si="167"/>
        <v>43.782395413546624</v>
      </c>
      <c r="O214" s="68">
        <f>LOOKUP(N214,'Circuit Breakers'!$B$5:$B$38,'Circuit Breakers'!$C$5:$C$38)</f>
        <v>50</v>
      </c>
      <c r="P214" s="199">
        <f t="shared" si="168"/>
        <v>30</v>
      </c>
      <c r="Q214" s="1056">
        <f t="shared" si="179"/>
        <v>161.85</v>
      </c>
      <c r="R214" s="1064">
        <f>LOOKUP(Q214,'Circuit Breakers'!$B$5:$B$38,'Circuit Breakers'!$C$5:$C$38)</f>
        <v>175</v>
      </c>
      <c r="S214" s="64">
        <f t="shared" si="169"/>
        <v>30</v>
      </c>
      <c r="T214" s="25">
        <f t="shared" si="180"/>
        <v>162.5</v>
      </c>
      <c r="U214" s="158">
        <f>LOOKUP(T214,'Circuit Breakers'!$B$5:$B$38,'Circuit Breakers'!$C$5:$C$38)</f>
        <v>175</v>
      </c>
      <c r="V214" s="64">
        <f t="shared" si="181"/>
        <v>15</v>
      </c>
      <c r="W214" s="25">
        <f t="shared" si="182"/>
        <v>38.73058055813739</v>
      </c>
      <c r="X214" s="68" t="str">
        <f>LOOKUP(W214,'Wire-Cables Ampacities'!$B$5:$B$35,'Wire-Cables Ampacities'!$C$5:$C$35)</f>
        <v>#10</v>
      </c>
      <c r="Y214" s="64">
        <f t="shared" si="183"/>
        <v>10</v>
      </c>
      <c r="Z214" s="25">
        <f t="shared" si="184"/>
        <v>136.95000000000002</v>
      </c>
      <c r="AA214" s="68" t="str">
        <f>LOOKUP(Z214,'Wire-Cables Ampacities'!$B$5:$B$35,'Wire-Cables Ampacities'!$C$5:$C$35)</f>
        <v>#2</v>
      </c>
      <c r="AB214" s="64">
        <f t="shared" si="185"/>
        <v>10</v>
      </c>
      <c r="AC214" s="25">
        <f t="shared" si="186"/>
        <v>137.5</v>
      </c>
      <c r="AD214" s="68" t="str">
        <f>LOOKUP(AC214,'Wire-Cables Ampacities'!$B$5:$B$35,'Wire-Cables Ampacities'!$C$5:$C$35)</f>
        <v>#2</v>
      </c>
      <c r="AE214" s="81">
        <f t="shared" si="187"/>
        <v>2.21</v>
      </c>
      <c r="AF214" s="53">
        <f t="shared" si="170"/>
        <v>7540.8338199999998</v>
      </c>
      <c r="AG214" s="72">
        <f t="shared" si="188"/>
        <v>40</v>
      </c>
      <c r="AH214" s="15">
        <f t="shared" si="188"/>
        <v>55</v>
      </c>
      <c r="AI214" s="199">
        <f t="shared" si="188"/>
        <v>20</v>
      </c>
      <c r="AJ214" s="56">
        <f t="shared" si="189"/>
        <v>311.16800000000001</v>
      </c>
      <c r="AK214" s="271">
        <f t="shared" si="190"/>
        <v>3.1116800000000002</v>
      </c>
      <c r="AL214" s="277">
        <f t="shared" si="191"/>
        <v>1.5558400000000001</v>
      </c>
      <c r="AM214" s="58">
        <v>800</v>
      </c>
      <c r="AN214" s="25">
        <v>34</v>
      </c>
      <c r="AO214" s="3">
        <v>48</v>
      </c>
      <c r="AP214" s="3">
        <v>28</v>
      </c>
      <c r="AQ214" s="281">
        <f t="shared" si="192"/>
        <v>47.944444444444443</v>
      </c>
      <c r="AR214" s="287">
        <f t="shared" si="171"/>
        <v>6641.8754866666668</v>
      </c>
      <c r="AS214" s="93"/>
      <c r="AT214" s="4"/>
    </row>
    <row r="215" spans="1:46">
      <c r="A215" s="98">
        <f t="shared" si="172"/>
        <v>60</v>
      </c>
      <c r="B215" s="99">
        <v>2.4500000000000002</v>
      </c>
      <c r="C215" s="100">
        <f t="shared" si="173"/>
        <v>147</v>
      </c>
      <c r="D215" s="101">
        <v>150</v>
      </c>
      <c r="E215" s="100">
        <f t="shared" si="174"/>
        <v>480</v>
      </c>
      <c r="F215" s="102">
        <f t="shared" si="175"/>
        <v>39.692831006786776</v>
      </c>
      <c r="G215" s="103">
        <f t="shared" si="176"/>
        <v>12</v>
      </c>
      <c r="H215" s="296">
        <f t="shared" si="163"/>
        <v>73.465920000000011</v>
      </c>
      <c r="I215" s="104">
        <f t="shared" si="164"/>
        <v>127.24670606479054</v>
      </c>
      <c r="J215" s="180">
        <f t="shared" si="177"/>
        <v>20</v>
      </c>
      <c r="K215" s="104">
        <f t="shared" si="165"/>
        <v>149.4</v>
      </c>
      <c r="L215" s="477">
        <f t="shared" si="166"/>
        <v>33</v>
      </c>
      <c r="M215" s="106">
        <f t="shared" si="178"/>
        <v>30</v>
      </c>
      <c r="N215" s="1060">
        <f t="shared" si="167"/>
        <v>51.60068030882281</v>
      </c>
      <c r="O215" s="101">
        <f>LOOKUP(N215,'Circuit Breakers'!$B$5:$B$38,'Circuit Breakers'!$C$5:$C$38)</f>
        <v>60</v>
      </c>
      <c r="P215" s="262">
        <f t="shared" si="168"/>
        <v>30</v>
      </c>
      <c r="Q215" s="1057">
        <f t="shared" si="179"/>
        <v>194.22000000000003</v>
      </c>
      <c r="R215" s="1065">
        <f>LOOKUP(Q215,'Circuit Breakers'!$B$5:$B$38,'Circuit Breakers'!$C$5:$C$38)</f>
        <v>200</v>
      </c>
      <c r="S215" s="106">
        <f t="shared" si="169"/>
        <v>30</v>
      </c>
      <c r="T215" s="104">
        <f t="shared" si="180"/>
        <v>195</v>
      </c>
      <c r="U215" s="477">
        <f>LOOKUP(T215,'Circuit Breakers'!$B$5:$B$38,'Circuit Breakers'!$C$5:$C$38)</f>
        <v>200</v>
      </c>
      <c r="V215" s="106">
        <f t="shared" si="181"/>
        <v>15</v>
      </c>
      <c r="W215" s="104">
        <f t="shared" si="182"/>
        <v>45.646755657804789</v>
      </c>
      <c r="X215" s="101" t="str">
        <f>LOOKUP(W215,'Wire-Cables Ampacities'!$B$5:$B$35,'Wire-Cables Ampacities'!$C$5:$C$35)</f>
        <v>#8</v>
      </c>
      <c r="Y215" s="106">
        <f t="shared" si="183"/>
        <v>10</v>
      </c>
      <c r="Z215" s="104">
        <f t="shared" si="184"/>
        <v>164.34000000000003</v>
      </c>
      <c r="AA215" s="101" t="str">
        <f>LOOKUP(Z215,'Wire-Cables Ampacities'!$B$5:$B$35,'Wire-Cables Ampacities'!$C$5:$C$35)</f>
        <v>#1</v>
      </c>
      <c r="AB215" s="106">
        <f t="shared" si="185"/>
        <v>10</v>
      </c>
      <c r="AC215" s="104">
        <f t="shared" si="186"/>
        <v>165</v>
      </c>
      <c r="AD215" s="101" t="str">
        <f>LOOKUP(AC215,'Wire-Cables Ampacities'!$B$5:$B$35,'Wire-Cables Ampacities'!$C$5:$C$35)</f>
        <v>#1</v>
      </c>
      <c r="AE215" s="107">
        <f t="shared" si="187"/>
        <v>2.61</v>
      </c>
      <c r="AF215" s="331">
        <f t="shared" si="170"/>
        <v>8905.6906199999994</v>
      </c>
      <c r="AG215" s="98">
        <f t="shared" si="188"/>
        <v>40</v>
      </c>
      <c r="AH215" s="99">
        <f t="shared" si="188"/>
        <v>55</v>
      </c>
      <c r="AI215" s="262">
        <f t="shared" si="188"/>
        <v>20</v>
      </c>
      <c r="AJ215" s="105">
        <f t="shared" si="189"/>
        <v>367.48799999999994</v>
      </c>
      <c r="AK215" s="272">
        <f t="shared" si="190"/>
        <v>3.6748799999999995</v>
      </c>
      <c r="AL215" s="278">
        <f t="shared" si="191"/>
        <v>1.8374399999999997</v>
      </c>
      <c r="AM215" s="109">
        <v>800</v>
      </c>
      <c r="AN215" s="104">
        <v>34</v>
      </c>
      <c r="AO215" s="110">
        <v>48</v>
      </c>
      <c r="AP215" s="110">
        <v>28</v>
      </c>
      <c r="AQ215" s="282">
        <f t="shared" si="192"/>
        <v>47.944444444444443</v>
      </c>
      <c r="AR215" s="288">
        <f t="shared" si="171"/>
        <v>8006.7322866666664</v>
      </c>
      <c r="AS215" s="93"/>
      <c r="AT215" s="4"/>
    </row>
    <row r="216" spans="1:46">
      <c r="A216" s="72">
        <f t="shared" si="172"/>
        <v>60</v>
      </c>
      <c r="B216" s="15">
        <v>2.4500000000000002</v>
      </c>
      <c r="C216" s="66">
        <f t="shared" si="173"/>
        <v>147</v>
      </c>
      <c r="D216" s="68">
        <v>175</v>
      </c>
      <c r="E216" s="66">
        <f t="shared" si="174"/>
        <v>480</v>
      </c>
      <c r="F216" s="45">
        <f t="shared" si="175"/>
        <v>46.909709371657094</v>
      </c>
      <c r="G216" s="94">
        <f t="shared" si="176"/>
        <v>12</v>
      </c>
      <c r="H216" s="295">
        <f t="shared" si="163"/>
        <v>73.465920000000011</v>
      </c>
      <c r="I216" s="25">
        <f t="shared" si="164"/>
        <v>127.24670606479054</v>
      </c>
      <c r="J216" s="52">
        <f t="shared" si="177"/>
        <v>20</v>
      </c>
      <c r="K216" s="25">
        <f t="shared" si="165"/>
        <v>174.29999999999998</v>
      </c>
      <c r="L216" s="158">
        <f t="shared" si="166"/>
        <v>39</v>
      </c>
      <c r="M216" s="64">
        <f t="shared" si="178"/>
        <v>30</v>
      </c>
      <c r="N216" s="838">
        <f t="shared" si="167"/>
        <v>60.982622183154227</v>
      </c>
      <c r="O216" s="68">
        <f>LOOKUP(N216,'Circuit Breakers'!$B$5:$B$38,'Circuit Breakers'!$C$5:$C$38)</f>
        <v>60</v>
      </c>
      <c r="P216" s="199">
        <f t="shared" si="168"/>
        <v>30</v>
      </c>
      <c r="Q216" s="1056">
        <f t="shared" si="179"/>
        <v>226.58999999999997</v>
      </c>
      <c r="R216" s="1064">
        <f>LOOKUP(Q216,'Circuit Breakers'!$B$5:$B$38,'Circuit Breakers'!$C$5:$C$38)</f>
        <v>250</v>
      </c>
      <c r="S216" s="64">
        <f t="shared" si="169"/>
        <v>30</v>
      </c>
      <c r="T216" s="25">
        <f t="shared" si="180"/>
        <v>227.5</v>
      </c>
      <c r="U216" s="158">
        <f>LOOKUP(T216,'Circuit Breakers'!$B$5:$B$38,'Circuit Breakers'!$C$5:$C$38)</f>
        <v>250</v>
      </c>
      <c r="V216" s="64">
        <f t="shared" si="181"/>
        <v>15</v>
      </c>
      <c r="W216" s="25">
        <f t="shared" si="182"/>
        <v>53.946165777405653</v>
      </c>
      <c r="X216" s="68" t="str">
        <f>LOOKUP(W216,'Wire-Cables Ampacities'!$B$5:$B$35,'Wire-Cables Ampacities'!$C$5:$C$35)</f>
        <v>#8</v>
      </c>
      <c r="Y216" s="64">
        <f t="shared" si="183"/>
        <v>10</v>
      </c>
      <c r="Z216" s="25">
        <f t="shared" si="184"/>
        <v>191.73</v>
      </c>
      <c r="AA216" s="68" t="str">
        <f>LOOKUP(Z216,'Wire-Cables Ampacities'!$B$5:$B$35,'Wire-Cables Ampacities'!$C$5:$C$35)</f>
        <v>#1/0</v>
      </c>
      <c r="AB216" s="64">
        <f t="shared" si="185"/>
        <v>10</v>
      </c>
      <c r="AC216" s="25">
        <f t="shared" si="186"/>
        <v>192.50000000000003</v>
      </c>
      <c r="AD216" s="68" t="str">
        <f>LOOKUP(AC216,'Wire-Cables Ampacities'!$B$5:$B$35,'Wire-Cables Ampacities'!$C$5:$C$35)</f>
        <v>#1/0</v>
      </c>
      <c r="AE216" s="81">
        <f t="shared" si="187"/>
        <v>3.0800000000000005</v>
      </c>
      <c r="AF216" s="53">
        <f t="shared" si="170"/>
        <v>10509.397360000001</v>
      </c>
      <c r="AG216" s="72">
        <f t="shared" si="188"/>
        <v>40</v>
      </c>
      <c r="AH216" s="15">
        <f t="shared" si="188"/>
        <v>55</v>
      </c>
      <c r="AI216" s="199">
        <f t="shared" si="188"/>
        <v>20</v>
      </c>
      <c r="AJ216" s="56">
        <f t="shared" si="189"/>
        <v>433.66400000000004</v>
      </c>
      <c r="AK216" s="271">
        <f t="shared" si="190"/>
        <v>4.3366400000000001</v>
      </c>
      <c r="AL216" s="277">
        <f t="shared" si="191"/>
        <v>2.16832</v>
      </c>
      <c r="AM216" s="58">
        <v>1200</v>
      </c>
      <c r="AN216" s="25">
        <v>38</v>
      </c>
      <c r="AO216" s="3">
        <v>70</v>
      </c>
      <c r="AP216" s="3">
        <v>28</v>
      </c>
      <c r="AQ216" s="281">
        <f t="shared" si="192"/>
        <v>71.555555555555557</v>
      </c>
      <c r="AR216" s="287">
        <f t="shared" si="171"/>
        <v>9167.7306933333348</v>
      </c>
      <c r="AS216" s="93"/>
      <c r="AT216" s="4"/>
    </row>
    <row r="217" spans="1:46" s="598" customFormat="1" ht="18">
      <c r="A217" s="1213">
        <f t="shared" si="172"/>
        <v>60</v>
      </c>
      <c r="B217" s="1214">
        <v>2.4500000000000002</v>
      </c>
      <c r="C217" s="1215">
        <f t="shared" si="173"/>
        <v>147</v>
      </c>
      <c r="D217" s="1216">
        <v>200</v>
      </c>
      <c r="E217" s="1215">
        <f t="shared" si="174"/>
        <v>480</v>
      </c>
      <c r="F217" s="1217">
        <f t="shared" si="175"/>
        <v>52.923774675715698</v>
      </c>
      <c r="G217" s="1214">
        <f t="shared" si="176"/>
        <v>12</v>
      </c>
      <c r="H217" s="1218">
        <f t="shared" si="163"/>
        <v>73.465920000000011</v>
      </c>
      <c r="I217" s="1217">
        <f t="shared" si="164"/>
        <v>127.24670606479054</v>
      </c>
      <c r="J217" s="1219">
        <f t="shared" si="177"/>
        <v>20</v>
      </c>
      <c r="K217" s="1217">
        <f t="shared" si="165"/>
        <v>199.2</v>
      </c>
      <c r="L217" s="1220">
        <f t="shared" si="166"/>
        <v>44</v>
      </c>
      <c r="M217" s="1213">
        <f t="shared" si="178"/>
        <v>30</v>
      </c>
      <c r="N217" s="1221">
        <f t="shared" si="167"/>
        <v>68.800907078430413</v>
      </c>
      <c r="O217" s="1216">
        <f>LOOKUP(N217,'Circuit Breakers'!$B$5:$B$38,'Circuit Breakers'!$C$5:$C$38)</f>
        <v>70</v>
      </c>
      <c r="P217" s="1222">
        <f t="shared" si="168"/>
        <v>30</v>
      </c>
      <c r="Q217" s="1223">
        <f t="shared" si="179"/>
        <v>258.95999999999998</v>
      </c>
      <c r="R217" s="1224">
        <f>LOOKUP(Q217,'Circuit Breakers'!$B$5:$B$38,'Circuit Breakers'!$C$5:$C$38)</f>
        <v>300</v>
      </c>
      <c r="S217" s="1213">
        <f t="shared" si="169"/>
        <v>30</v>
      </c>
      <c r="T217" s="1217">
        <f t="shared" si="180"/>
        <v>260</v>
      </c>
      <c r="U217" s="1220">
        <f>LOOKUP(T217,'Circuit Breakers'!$B$5:$B$38,'Circuit Breakers'!$C$5:$C$38)</f>
        <v>300</v>
      </c>
      <c r="V217" s="1213">
        <f t="shared" si="181"/>
        <v>15</v>
      </c>
      <c r="W217" s="1217">
        <f t="shared" si="182"/>
        <v>60.862340877073045</v>
      </c>
      <c r="X217" s="1216" t="str">
        <f>LOOKUP(W217,'Wire-Cables Ampacities'!$B$5:$B$35,'Wire-Cables Ampacities'!$C$5:$C$35)</f>
        <v>#6</v>
      </c>
      <c r="Y217" s="1213">
        <f t="shared" si="183"/>
        <v>10</v>
      </c>
      <c r="Z217" s="1217">
        <f t="shared" si="184"/>
        <v>219.12</v>
      </c>
      <c r="AA217" s="1216" t="str">
        <f>LOOKUP(Z217,'Wire-Cables Ampacities'!$B$5:$B$35,'Wire-Cables Ampacities'!$C$5:$C$35)</f>
        <v>#2/0</v>
      </c>
      <c r="AB217" s="1213">
        <f t="shared" si="185"/>
        <v>10</v>
      </c>
      <c r="AC217" s="1217">
        <f t="shared" si="186"/>
        <v>220.00000000000003</v>
      </c>
      <c r="AD217" s="1216" t="str">
        <f>LOOKUP(AC217,'Wire-Cables Ampacities'!$B$5:$B$35,'Wire-Cables Ampacities'!$C$5:$C$35)</f>
        <v>#2/0</v>
      </c>
      <c r="AE217" s="1225">
        <f t="shared" si="187"/>
        <v>3.48</v>
      </c>
      <c r="AF217" s="1221">
        <f t="shared" si="170"/>
        <v>11874.25416</v>
      </c>
      <c r="AG217" s="1213">
        <f t="shared" si="188"/>
        <v>40</v>
      </c>
      <c r="AH217" s="1214">
        <f t="shared" si="188"/>
        <v>55</v>
      </c>
      <c r="AI217" s="1222">
        <f t="shared" si="188"/>
        <v>20</v>
      </c>
      <c r="AJ217" s="1226">
        <f t="shared" si="189"/>
        <v>489.98399999999998</v>
      </c>
      <c r="AK217" s="1227">
        <f t="shared" si="190"/>
        <v>4.8998400000000002</v>
      </c>
      <c r="AL217" s="1228">
        <f t="shared" si="191"/>
        <v>2.4499200000000001</v>
      </c>
      <c r="AM217" s="1229">
        <v>1200</v>
      </c>
      <c r="AN217" s="1217">
        <v>38</v>
      </c>
      <c r="AO217" s="1219">
        <v>70</v>
      </c>
      <c r="AP217" s="1219">
        <v>28</v>
      </c>
      <c r="AQ217" s="1230">
        <f t="shared" si="192"/>
        <v>71.555555555555557</v>
      </c>
      <c r="AR217" s="1231">
        <f t="shared" si="171"/>
        <v>10532.587493333334</v>
      </c>
      <c r="AS217" s="1232"/>
      <c r="AT217" s="1233"/>
    </row>
    <row r="218" spans="1:46">
      <c r="A218" s="98">
        <f t="shared" si="172"/>
        <v>60</v>
      </c>
      <c r="B218" s="99">
        <v>2.4500000000000002</v>
      </c>
      <c r="C218" s="100">
        <f t="shared" si="173"/>
        <v>147</v>
      </c>
      <c r="D218" s="101">
        <v>250</v>
      </c>
      <c r="E218" s="100">
        <f t="shared" si="174"/>
        <v>480</v>
      </c>
      <c r="F218" s="102">
        <f t="shared" si="175"/>
        <v>66.154718344644621</v>
      </c>
      <c r="G218" s="103">
        <f t="shared" si="176"/>
        <v>12</v>
      </c>
      <c r="H218" s="296">
        <f t="shared" si="163"/>
        <v>73.465920000000011</v>
      </c>
      <c r="I218" s="104">
        <f t="shared" si="164"/>
        <v>127.24670606479054</v>
      </c>
      <c r="J218" s="180">
        <f t="shared" si="177"/>
        <v>20</v>
      </c>
      <c r="K218" s="104">
        <f t="shared" si="165"/>
        <v>249</v>
      </c>
      <c r="L218" s="477">
        <f t="shared" si="166"/>
        <v>55</v>
      </c>
      <c r="M218" s="106">
        <f t="shared" si="178"/>
        <v>30</v>
      </c>
      <c r="N218" s="1060">
        <f t="shared" si="167"/>
        <v>86.001133848038009</v>
      </c>
      <c r="O218" s="101">
        <f>LOOKUP(N218,'Circuit Breakers'!$B$5:$B$38,'Circuit Breakers'!$C$5:$C$38)</f>
        <v>90</v>
      </c>
      <c r="P218" s="262">
        <f t="shared" si="168"/>
        <v>30</v>
      </c>
      <c r="Q218" s="1057">
        <f t="shared" si="179"/>
        <v>323.7</v>
      </c>
      <c r="R218" s="1065">
        <f>LOOKUP(Q218,'Circuit Breakers'!$B$5:$B$38,'Circuit Breakers'!$C$5:$C$38)</f>
        <v>350</v>
      </c>
      <c r="S218" s="106">
        <f t="shared" si="169"/>
        <v>30</v>
      </c>
      <c r="T218" s="104">
        <f t="shared" si="180"/>
        <v>325</v>
      </c>
      <c r="U218" s="477">
        <f>LOOKUP(T218,'Circuit Breakers'!$B$5:$B$38,'Circuit Breakers'!$C$5:$C$38)</f>
        <v>350</v>
      </c>
      <c r="V218" s="106">
        <f t="shared" si="181"/>
        <v>15</v>
      </c>
      <c r="W218" s="104">
        <f t="shared" si="182"/>
        <v>76.077926096341315</v>
      </c>
      <c r="X218" s="101" t="str">
        <f>LOOKUP(W218,'Wire-Cables Ampacities'!$B$5:$B$35,'Wire-Cables Ampacities'!$C$5:$C$35)</f>
        <v>#6</v>
      </c>
      <c r="Y218" s="106">
        <f t="shared" si="183"/>
        <v>10</v>
      </c>
      <c r="Z218" s="104">
        <f t="shared" si="184"/>
        <v>273.90000000000003</v>
      </c>
      <c r="AA218" s="101" t="str">
        <f>LOOKUP(Z218,'Wire-Cables Ampacities'!$B$5:$B$35,'Wire-Cables Ampacities'!$C$5:$C$35)</f>
        <v>#4/0</v>
      </c>
      <c r="AB218" s="106">
        <f t="shared" si="185"/>
        <v>10</v>
      </c>
      <c r="AC218" s="104">
        <f t="shared" si="186"/>
        <v>275</v>
      </c>
      <c r="AD218" s="101" t="str">
        <f>LOOKUP(AC218,'Wire-Cables Ampacities'!$B$5:$B$35,'Wire-Cables Ampacities'!$C$5:$C$35)</f>
        <v>#4/0</v>
      </c>
      <c r="AE218" s="107">
        <f t="shared" si="187"/>
        <v>4.3499999999999996</v>
      </c>
      <c r="AF218" s="331">
        <f t="shared" si="170"/>
        <v>14842.817699999998</v>
      </c>
      <c r="AG218" s="98">
        <f t="shared" si="188"/>
        <v>40</v>
      </c>
      <c r="AH218" s="99">
        <f t="shared" si="188"/>
        <v>55</v>
      </c>
      <c r="AI218" s="262">
        <f t="shared" si="188"/>
        <v>20</v>
      </c>
      <c r="AJ218" s="105">
        <f t="shared" si="189"/>
        <v>612.4799999999999</v>
      </c>
      <c r="AK218" s="272">
        <f t="shared" si="190"/>
        <v>6.1247999999999987</v>
      </c>
      <c r="AL218" s="278">
        <f t="shared" si="191"/>
        <v>3.0623999999999993</v>
      </c>
      <c r="AM218" s="109">
        <v>1200</v>
      </c>
      <c r="AN218" s="104">
        <v>38</v>
      </c>
      <c r="AO218" s="110">
        <v>70</v>
      </c>
      <c r="AP218" s="110">
        <v>28</v>
      </c>
      <c r="AQ218" s="282">
        <f t="shared" si="192"/>
        <v>71.555555555555557</v>
      </c>
      <c r="AR218" s="288">
        <f t="shared" si="171"/>
        <v>13501.151033333332</v>
      </c>
      <c r="AS218" s="93"/>
      <c r="AT218" s="4"/>
    </row>
    <row r="219" spans="1:46">
      <c r="A219" s="72">
        <f t="shared" si="172"/>
        <v>60</v>
      </c>
      <c r="B219" s="15">
        <v>2.4500000000000002</v>
      </c>
      <c r="C219" s="66">
        <f t="shared" si="173"/>
        <v>147</v>
      </c>
      <c r="D219" s="68">
        <v>300</v>
      </c>
      <c r="E219" s="66">
        <f t="shared" si="174"/>
        <v>480</v>
      </c>
      <c r="F219" s="45">
        <f t="shared" si="175"/>
        <v>79.385662013573551</v>
      </c>
      <c r="G219" s="94">
        <f t="shared" si="176"/>
        <v>12</v>
      </c>
      <c r="H219" s="295">
        <f t="shared" si="163"/>
        <v>73.465920000000011</v>
      </c>
      <c r="I219" s="25">
        <f t="shared" si="164"/>
        <v>127.24670606479054</v>
      </c>
      <c r="J219" s="52">
        <f t="shared" si="177"/>
        <v>20</v>
      </c>
      <c r="K219" s="25">
        <f t="shared" si="165"/>
        <v>298.8</v>
      </c>
      <c r="L219" s="158">
        <f t="shared" si="166"/>
        <v>66</v>
      </c>
      <c r="M219" s="64">
        <f t="shared" si="178"/>
        <v>30</v>
      </c>
      <c r="N219" s="838">
        <f t="shared" si="167"/>
        <v>103.20136061764562</v>
      </c>
      <c r="O219" s="68">
        <f>LOOKUP(N219,'Circuit Breakers'!$B$5:$B$38,'Circuit Breakers'!$C$5:$C$38)</f>
        <v>110</v>
      </c>
      <c r="P219" s="199">
        <f t="shared" si="168"/>
        <v>30</v>
      </c>
      <c r="Q219" s="1056">
        <f t="shared" si="179"/>
        <v>388.44000000000005</v>
      </c>
      <c r="R219" s="1064">
        <f>LOOKUP(Q219,'Circuit Breakers'!$B$5:$B$38,'Circuit Breakers'!$C$5:$C$38)</f>
        <v>400</v>
      </c>
      <c r="S219" s="64">
        <f t="shared" si="169"/>
        <v>30</v>
      </c>
      <c r="T219" s="25">
        <f t="shared" si="180"/>
        <v>390</v>
      </c>
      <c r="U219" s="158">
        <f>LOOKUP(T219,'Circuit Breakers'!$B$5:$B$38,'Circuit Breakers'!$C$5:$C$38)</f>
        <v>400</v>
      </c>
      <c r="V219" s="64">
        <f t="shared" si="181"/>
        <v>15</v>
      </c>
      <c r="W219" s="25">
        <f t="shared" si="182"/>
        <v>91.293511315609578</v>
      </c>
      <c r="X219" s="68" t="str">
        <f>LOOKUP(W219,'Wire-Cables Ampacities'!$B$5:$B$35,'Wire-Cables Ampacities'!$C$5:$C$35)</f>
        <v>#4</v>
      </c>
      <c r="Y219" s="64">
        <f t="shared" si="183"/>
        <v>10</v>
      </c>
      <c r="Z219" s="25">
        <f t="shared" si="184"/>
        <v>328.68000000000006</v>
      </c>
      <c r="AA219" s="68" t="str">
        <f>LOOKUP(Z219,'Wire-Cables Ampacities'!$B$5:$B$35,'Wire-Cables Ampacities'!$C$5:$C$35)</f>
        <v>250MCM</v>
      </c>
      <c r="AB219" s="64">
        <f t="shared" si="185"/>
        <v>10</v>
      </c>
      <c r="AC219" s="25">
        <f t="shared" si="186"/>
        <v>330</v>
      </c>
      <c r="AD219" s="68" t="str">
        <f>LOOKUP(AC219,'Wire-Cables Ampacities'!$B$5:$B$35,'Wire-Cables Ampacities'!$C$5:$C$35)</f>
        <v>250MCM</v>
      </c>
      <c r="AE219" s="81">
        <f t="shared" si="187"/>
        <v>5.22</v>
      </c>
      <c r="AF219" s="53">
        <f t="shared" si="170"/>
        <v>17811.381239999999</v>
      </c>
      <c r="AG219" s="72">
        <f t="shared" si="188"/>
        <v>40</v>
      </c>
      <c r="AH219" s="15">
        <f t="shared" si="188"/>
        <v>55</v>
      </c>
      <c r="AI219" s="199">
        <f t="shared" si="188"/>
        <v>20</v>
      </c>
      <c r="AJ219" s="56">
        <f t="shared" si="189"/>
        <v>734.97599999999989</v>
      </c>
      <c r="AK219" s="271">
        <f t="shared" si="190"/>
        <v>7.349759999999999</v>
      </c>
      <c r="AL219" s="277">
        <f t="shared" si="191"/>
        <v>3.6748799999999995</v>
      </c>
      <c r="AM219" s="58">
        <v>1200</v>
      </c>
      <c r="AN219" s="25">
        <v>38</v>
      </c>
      <c r="AO219" s="3">
        <v>70</v>
      </c>
      <c r="AP219" s="3">
        <v>28</v>
      </c>
      <c r="AQ219" s="281">
        <f t="shared" si="192"/>
        <v>71.555555555555557</v>
      </c>
      <c r="AR219" s="287">
        <f t="shared" ref="AR219:AR230" si="193">AF219+(1.25*AQ219*(AG219-AH219))</f>
        <v>16469.714573333331</v>
      </c>
      <c r="AS219" s="93"/>
      <c r="AT219" s="4"/>
    </row>
    <row r="220" spans="1:46">
      <c r="A220" s="72">
        <f t="shared" si="172"/>
        <v>60</v>
      </c>
      <c r="B220" s="15">
        <v>2.4500000000000002</v>
      </c>
      <c r="C220" s="66">
        <f t="shared" si="173"/>
        <v>147</v>
      </c>
      <c r="D220" s="68">
        <v>350</v>
      </c>
      <c r="E220" s="66">
        <f t="shared" si="174"/>
        <v>480</v>
      </c>
      <c r="F220" s="45">
        <f t="shared" si="175"/>
        <v>92.616605682502467</v>
      </c>
      <c r="G220" s="94">
        <f t="shared" si="176"/>
        <v>12</v>
      </c>
      <c r="H220" s="295">
        <f t="shared" si="163"/>
        <v>73.465920000000011</v>
      </c>
      <c r="I220" s="25">
        <f t="shared" si="164"/>
        <v>127.24670606479054</v>
      </c>
      <c r="J220" s="52">
        <f t="shared" si="177"/>
        <v>20</v>
      </c>
      <c r="K220" s="25">
        <f t="shared" si="165"/>
        <v>348.59999999999997</v>
      </c>
      <c r="L220" s="158">
        <f t="shared" si="166"/>
        <v>77</v>
      </c>
      <c r="M220" s="64">
        <f t="shared" si="178"/>
        <v>30</v>
      </c>
      <c r="N220" s="838">
        <f t="shared" si="167"/>
        <v>120.40158738725322</v>
      </c>
      <c r="O220" s="68">
        <f>LOOKUP(N220,'Circuit Breakers'!$B$5:$B$38,'Circuit Breakers'!$C$5:$C$38)</f>
        <v>125</v>
      </c>
      <c r="P220" s="199">
        <f t="shared" si="168"/>
        <v>30</v>
      </c>
      <c r="Q220" s="1056">
        <f t="shared" si="179"/>
        <v>453.17999999999995</v>
      </c>
      <c r="R220" s="1064">
        <f>LOOKUP(Q220,'Circuit Breakers'!$B$5:$B$38,'Circuit Breakers'!$C$5:$C$38)</f>
        <v>500</v>
      </c>
      <c r="S220" s="64">
        <f t="shared" si="169"/>
        <v>30</v>
      </c>
      <c r="T220" s="25">
        <f t="shared" si="180"/>
        <v>455</v>
      </c>
      <c r="U220" s="158">
        <f>LOOKUP(T220,'Circuit Breakers'!$B$5:$B$38,'Circuit Breakers'!$C$5:$C$38)</f>
        <v>500</v>
      </c>
      <c r="V220" s="64">
        <f t="shared" si="181"/>
        <v>15</v>
      </c>
      <c r="W220" s="25">
        <f t="shared" si="182"/>
        <v>106.50909653487783</v>
      </c>
      <c r="X220" s="68" t="str">
        <f>LOOKUP(W220,'Wire-Cables Ampacities'!$B$5:$B$35,'Wire-Cables Ampacities'!$C$5:$C$35)</f>
        <v>#3</v>
      </c>
      <c r="Y220" s="64">
        <f t="shared" si="183"/>
        <v>10</v>
      </c>
      <c r="Z220" s="25">
        <f t="shared" si="184"/>
        <v>383.46</v>
      </c>
      <c r="AA220" s="68" t="str">
        <f>LOOKUP(Z220,'Wire-Cables Ampacities'!$B$5:$B$35,'Wire-Cables Ampacities'!$C$5:$C$35)</f>
        <v>#2/0 2x</v>
      </c>
      <c r="AB220" s="64">
        <f t="shared" si="185"/>
        <v>10</v>
      </c>
      <c r="AC220" s="25">
        <f t="shared" si="186"/>
        <v>385.00000000000006</v>
      </c>
      <c r="AD220" s="68" t="str">
        <f>LOOKUP(AC220,'Wire-Cables Ampacities'!$B$5:$B$35,'Wire-Cables Ampacities'!$C$5:$C$35)</f>
        <v>#2/0 2x</v>
      </c>
      <c r="AE220" s="81">
        <f t="shared" si="187"/>
        <v>6.0900000000000007</v>
      </c>
      <c r="AF220" s="53">
        <f t="shared" si="170"/>
        <v>20779.944780000002</v>
      </c>
      <c r="AG220" s="72">
        <f t="shared" si="188"/>
        <v>40</v>
      </c>
      <c r="AH220" s="15">
        <f t="shared" si="188"/>
        <v>55</v>
      </c>
      <c r="AI220" s="199">
        <f t="shared" si="188"/>
        <v>20</v>
      </c>
      <c r="AJ220" s="56">
        <f t="shared" si="189"/>
        <v>857.47200000000009</v>
      </c>
      <c r="AK220" s="271">
        <f t="shared" si="190"/>
        <v>8.574720000000001</v>
      </c>
      <c r="AL220" s="277">
        <f t="shared" si="191"/>
        <v>4.2873600000000005</v>
      </c>
      <c r="AM220" s="58">
        <v>1200</v>
      </c>
      <c r="AN220" s="25">
        <v>38</v>
      </c>
      <c r="AO220" s="3">
        <v>70</v>
      </c>
      <c r="AP220" s="3">
        <v>28</v>
      </c>
      <c r="AQ220" s="281">
        <f t="shared" si="192"/>
        <v>71.555555555555557</v>
      </c>
      <c r="AR220" s="287">
        <f t="shared" si="193"/>
        <v>19438.278113333334</v>
      </c>
      <c r="AS220" s="93"/>
      <c r="AT220" s="4"/>
    </row>
    <row r="221" spans="1:46">
      <c r="A221" s="98">
        <f t="shared" si="172"/>
        <v>60</v>
      </c>
      <c r="B221" s="99">
        <v>2.4500000000000002</v>
      </c>
      <c r="C221" s="100">
        <f t="shared" si="173"/>
        <v>147</v>
      </c>
      <c r="D221" s="101">
        <v>400</v>
      </c>
      <c r="E221" s="100">
        <f t="shared" si="174"/>
        <v>480</v>
      </c>
      <c r="F221" s="102">
        <f t="shared" si="175"/>
        <v>105.8475493514314</v>
      </c>
      <c r="G221" s="103">
        <f t="shared" si="176"/>
        <v>12</v>
      </c>
      <c r="H221" s="296">
        <f t="shared" si="163"/>
        <v>73.465920000000011</v>
      </c>
      <c r="I221" s="104">
        <f t="shared" si="164"/>
        <v>127.24670606479054</v>
      </c>
      <c r="J221" s="180">
        <f t="shared" si="177"/>
        <v>20</v>
      </c>
      <c r="K221" s="104">
        <f t="shared" si="165"/>
        <v>398.4</v>
      </c>
      <c r="L221" s="477">
        <f t="shared" si="166"/>
        <v>88</v>
      </c>
      <c r="M221" s="106">
        <f t="shared" si="178"/>
        <v>30</v>
      </c>
      <c r="N221" s="1060">
        <f t="shared" si="167"/>
        <v>137.60181415686083</v>
      </c>
      <c r="O221" s="101">
        <f>LOOKUP(N221,'Circuit Breakers'!$B$5:$B$38,'Circuit Breakers'!$C$5:$C$38)</f>
        <v>150</v>
      </c>
      <c r="P221" s="262">
        <f t="shared" si="168"/>
        <v>30</v>
      </c>
      <c r="Q221" s="1057">
        <f t="shared" si="179"/>
        <v>517.91999999999996</v>
      </c>
      <c r="R221" s="1065">
        <f>LOOKUP(Q221,'Circuit Breakers'!$B$5:$B$38,'Circuit Breakers'!$C$5:$C$38)</f>
        <v>600</v>
      </c>
      <c r="S221" s="106">
        <f t="shared" si="169"/>
        <v>30</v>
      </c>
      <c r="T221" s="104">
        <f t="shared" si="180"/>
        <v>520</v>
      </c>
      <c r="U221" s="477">
        <f>LOOKUP(T221,'Circuit Breakers'!$B$5:$B$38,'Circuit Breakers'!$C$5:$C$38)</f>
        <v>600</v>
      </c>
      <c r="V221" s="106">
        <f t="shared" si="181"/>
        <v>15</v>
      </c>
      <c r="W221" s="104">
        <f t="shared" si="182"/>
        <v>121.72468175414609</v>
      </c>
      <c r="X221" s="101" t="str">
        <f>LOOKUP(W221,'Wire-Cables Ampacities'!$B$5:$B$35,'Wire-Cables Ampacities'!$C$5:$C$35)</f>
        <v>#2</v>
      </c>
      <c r="Y221" s="106">
        <f t="shared" si="183"/>
        <v>10</v>
      </c>
      <c r="Z221" s="104">
        <f t="shared" si="184"/>
        <v>438.24</v>
      </c>
      <c r="AA221" s="101" t="str">
        <f>LOOKUP(Z221,'Wire-Cables Ampacities'!$B$5:$B$35,'Wire-Cables Ampacities'!$C$5:$C$35)</f>
        <v>#3/0 2x</v>
      </c>
      <c r="AB221" s="106">
        <f t="shared" si="185"/>
        <v>10</v>
      </c>
      <c r="AC221" s="104">
        <f t="shared" si="186"/>
        <v>440.00000000000006</v>
      </c>
      <c r="AD221" s="101" t="str">
        <f>LOOKUP(AC221,'Wire-Cables Ampacities'!$B$5:$B$35,'Wire-Cables Ampacities'!$C$5:$C$35)</f>
        <v>#3/0 2x</v>
      </c>
      <c r="AE221" s="107">
        <f t="shared" si="187"/>
        <v>6.96</v>
      </c>
      <c r="AF221" s="331">
        <f t="shared" si="170"/>
        <v>23748.508320000001</v>
      </c>
      <c r="AG221" s="98">
        <f t="shared" si="188"/>
        <v>40</v>
      </c>
      <c r="AH221" s="99">
        <f t="shared" si="188"/>
        <v>55</v>
      </c>
      <c r="AI221" s="262">
        <f t="shared" si="188"/>
        <v>20</v>
      </c>
      <c r="AJ221" s="105">
        <f t="shared" si="189"/>
        <v>979.96799999999996</v>
      </c>
      <c r="AK221" s="272">
        <f t="shared" si="190"/>
        <v>9.7996800000000004</v>
      </c>
      <c r="AL221" s="278">
        <f t="shared" si="191"/>
        <v>4.8998400000000002</v>
      </c>
      <c r="AM221" s="109">
        <v>1200</v>
      </c>
      <c r="AN221" s="104">
        <v>38</v>
      </c>
      <c r="AO221" s="110">
        <v>70</v>
      </c>
      <c r="AP221" s="110">
        <v>28</v>
      </c>
      <c r="AQ221" s="282">
        <f t="shared" si="192"/>
        <v>71.555555555555557</v>
      </c>
      <c r="AR221" s="288">
        <f t="shared" si="193"/>
        <v>22406.841653333333</v>
      </c>
      <c r="AS221" s="93"/>
      <c r="AT221" s="4"/>
    </row>
    <row r="222" spans="1:46">
      <c r="A222" s="72">
        <f t="shared" si="172"/>
        <v>60</v>
      </c>
      <c r="B222" s="15">
        <v>2.4500000000000002</v>
      </c>
      <c r="C222" s="66">
        <f t="shared" si="173"/>
        <v>147</v>
      </c>
      <c r="D222" s="68">
        <v>450</v>
      </c>
      <c r="E222" s="66">
        <f t="shared" si="174"/>
        <v>480</v>
      </c>
      <c r="F222" s="45">
        <f t="shared" si="175"/>
        <v>119.07849302036033</v>
      </c>
      <c r="G222" s="94">
        <f t="shared" si="176"/>
        <v>12</v>
      </c>
      <c r="H222" s="295">
        <f t="shared" si="163"/>
        <v>73.465920000000011</v>
      </c>
      <c r="I222" s="25">
        <f t="shared" si="164"/>
        <v>127.24670606479054</v>
      </c>
      <c r="J222" s="52">
        <f t="shared" si="177"/>
        <v>20</v>
      </c>
      <c r="K222" s="25">
        <f t="shared" si="165"/>
        <v>448.2</v>
      </c>
      <c r="L222" s="158">
        <f t="shared" si="166"/>
        <v>99</v>
      </c>
      <c r="M222" s="64">
        <f t="shared" si="178"/>
        <v>30</v>
      </c>
      <c r="N222" s="838">
        <f t="shared" si="167"/>
        <v>154.80204092646844</v>
      </c>
      <c r="O222" s="68">
        <f>LOOKUP(N222,'Circuit Breakers'!$B$5:$B$38,'Circuit Breakers'!$C$5:$C$38)</f>
        <v>175</v>
      </c>
      <c r="P222" s="199">
        <f t="shared" si="168"/>
        <v>30</v>
      </c>
      <c r="Q222" s="1056">
        <f t="shared" si="179"/>
        <v>582.66</v>
      </c>
      <c r="R222" s="1064">
        <f>LOOKUP(Q222,'Circuit Breakers'!$B$5:$B$38,'Circuit Breakers'!$C$5:$C$38)</f>
        <v>600</v>
      </c>
      <c r="S222" s="64">
        <f t="shared" si="169"/>
        <v>30</v>
      </c>
      <c r="T222" s="25">
        <f t="shared" si="180"/>
        <v>585</v>
      </c>
      <c r="U222" s="158">
        <f>LOOKUP(T222,'Circuit Breakers'!$B$5:$B$38,'Circuit Breakers'!$C$5:$C$38)</f>
        <v>600</v>
      </c>
      <c r="V222" s="64">
        <f t="shared" si="181"/>
        <v>15</v>
      </c>
      <c r="W222" s="25">
        <f t="shared" si="182"/>
        <v>136.94026697341437</v>
      </c>
      <c r="X222" s="68" t="str">
        <f>LOOKUP(W222,'Wire-Cables Ampacities'!$B$5:$B$35,'Wire-Cables Ampacities'!$C$5:$C$35)</f>
        <v>#2</v>
      </c>
      <c r="Y222" s="64">
        <f t="shared" si="183"/>
        <v>10</v>
      </c>
      <c r="Z222" s="25">
        <f t="shared" si="184"/>
        <v>493.02000000000004</v>
      </c>
      <c r="AA222" s="68" t="str">
        <f>LOOKUP(Z222,'Wire-Cables Ampacities'!$B$5:$B$35,'Wire-Cables Ampacities'!$C$5:$C$35)</f>
        <v>#3/0 2x</v>
      </c>
      <c r="AB222" s="64">
        <f t="shared" si="185"/>
        <v>10</v>
      </c>
      <c r="AC222" s="25">
        <f t="shared" si="186"/>
        <v>495.00000000000006</v>
      </c>
      <c r="AD222" s="68" t="str">
        <f>LOOKUP(AC222,'Wire-Cables Ampacities'!$B$5:$B$35,'Wire-Cables Ampacities'!$C$5:$C$35)</f>
        <v>#3/0 2x</v>
      </c>
      <c r="AE222" s="81">
        <f t="shared" si="187"/>
        <v>7.830000000000001</v>
      </c>
      <c r="AF222" s="53">
        <f t="shared" si="170"/>
        <v>26717.07186</v>
      </c>
      <c r="AG222" s="72">
        <f t="shared" si="188"/>
        <v>40</v>
      </c>
      <c r="AH222" s="15">
        <f t="shared" si="188"/>
        <v>55</v>
      </c>
      <c r="AI222" s="199">
        <f t="shared" si="188"/>
        <v>20</v>
      </c>
      <c r="AJ222" s="56">
        <f t="shared" si="189"/>
        <v>1102.4639999999999</v>
      </c>
      <c r="AK222" s="271">
        <f t="shared" si="190"/>
        <v>11.02464</v>
      </c>
      <c r="AL222" s="277">
        <f t="shared" si="191"/>
        <v>5.5123199999999999</v>
      </c>
      <c r="AM222" s="58">
        <v>1200</v>
      </c>
      <c r="AN222" s="25">
        <v>38</v>
      </c>
      <c r="AO222" s="3">
        <v>70</v>
      </c>
      <c r="AP222" s="3">
        <v>28</v>
      </c>
      <c r="AQ222" s="281">
        <f t="shared" si="192"/>
        <v>71.555555555555557</v>
      </c>
      <c r="AR222" s="287">
        <f t="shared" si="193"/>
        <v>25375.405193333332</v>
      </c>
      <c r="AS222" s="93"/>
      <c r="AT222" s="4"/>
    </row>
    <row r="223" spans="1:46">
      <c r="A223" s="72">
        <f t="shared" si="172"/>
        <v>60</v>
      </c>
      <c r="B223" s="15">
        <v>2.4500000000000002</v>
      </c>
      <c r="C223" s="66">
        <f t="shared" si="173"/>
        <v>147</v>
      </c>
      <c r="D223" s="68">
        <v>500</v>
      </c>
      <c r="E223" s="66">
        <f t="shared" si="174"/>
        <v>480</v>
      </c>
      <c r="F223" s="45">
        <f t="shared" si="175"/>
        <v>132.30943668928924</v>
      </c>
      <c r="G223" s="94">
        <f t="shared" si="176"/>
        <v>12</v>
      </c>
      <c r="H223" s="295">
        <f t="shared" si="163"/>
        <v>73.465920000000011</v>
      </c>
      <c r="I223" s="25">
        <f t="shared" si="164"/>
        <v>127.24670606479054</v>
      </c>
      <c r="J223" s="52">
        <f t="shared" si="177"/>
        <v>20</v>
      </c>
      <c r="K223" s="25">
        <f t="shared" si="165"/>
        <v>498</v>
      </c>
      <c r="L223" s="158">
        <f t="shared" si="166"/>
        <v>110</v>
      </c>
      <c r="M223" s="64">
        <f t="shared" si="178"/>
        <v>30</v>
      </c>
      <c r="N223" s="838">
        <f t="shared" si="167"/>
        <v>172.00226769607602</v>
      </c>
      <c r="O223" s="68">
        <f>LOOKUP(N223,'Circuit Breakers'!$B$5:$B$38,'Circuit Breakers'!$C$5:$C$38)</f>
        <v>175</v>
      </c>
      <c r="P223" s="199">
        <f t="shared" si="168"/>
        <v>30</v>
      </c>
      <c r="Q223" s="1056">
        <f t="shared" si="179"/>
        <v>647.4</v>
      </c>
      <c r="R223" s="1064">
        <f>LOOKUP(Q223,'Circuit Breakers'!$B$5:$B$38,'Circuit Breakers'!$C$5:$C$38)</f>
        <v>700</v>
      </c>
      <c r="S223" s="64">
        <f t="shared" si="169"/>
        <v>30</v>
      </c>
      <c r="T223" s="25">
        <f t="shared" si="180"/>
        <v>650</v>
      </c>
      <c r="U223" s="158">
        <f>LOOKUP(T223,'Circuit Breakers'!$B$5:$B$38,'Circuit Breakers'!$C$5:$C$38)</f>
        <v>700</v>
      </c>
      <c r="V223" s="64">
        <f t="shared" si="181"/>
        <v>15</v>
      </c>
      <c r="W223" s="25">
        <f t="shared" si="182"/>
        <v>152.15585219268263</v>
      </c>
      <c r="X223" s="68" t="str">
        <f>LOOKUP(W223,'Wire-Cables Ampacities'!$B$5:$B$35,'Wire-Cables Ampacities'!$C$5:$C$35)</f>
        <v>#1</v>
      </c>
      <c r="Y223" s="64">
        <f t="shared" si="183"/>
        <v>10</v>
      </c>
      <c r="Z223" s="25">
        <f t="shared" si="184"/>
        <v>547.80000000000007</v>
      </c>
      <c r="AA223" s="68" t="str">
        <f>LOOKUP(Z223,'Wire-Cables Ampacities'!$B$5:$B$35,'Wire-Cables Ampacities'!$C$5:$C$35)</f>
        <v>#4/0 2x</v>
      </c>
      <c r="AB223" s="64">
        <f t="shared" si="185"/>
        <v>10</v>
      </c>
      <c r="AC223" s="25">
        <f t="shared" si="186"/>
        <v>550</v>
      </c>
      <c r="AD223" s="68" t="str">
        <f>LOOKUP(AC223,'Wire-Cables Ampacities'!$B$5:$B$35,'Wire-Cables Ampacities'!$C$5:$C$35)</f>
        <v>#4/0 2x</v>
      </c>
      <c r="AE223" s="81">
        <f t="shared" si="187"/>
        <v>8.6999999999999993</v>
      </c>
      <c r="AF223" s="53">
        <f t="shared" si="170"/>
        <v>29685.635399999996</v>
      </c>
      <c r="AG223" s="72">
        <f t="shared" si="188"/>
        <v>40</v>
      </c>
      <c r="AH223" s="15">
        <f t="shared" si="188"/>
        <v>55</v>
      </c>
      <c r="AI223" s="199">
        <f t="shared" si="188"/>
        <v>20</v>
      </c>
      <c r="AJ223" s="56">
        <f t="shared" si="189"/>
        <v>1224.9599999999998</v>
      </c>
      <c r="AK223" s="271">
        <f t="shared" si="190"/>
        <v>12.249599999999997</v>
      </c>
      <c r="AL223" s="277">
        <f t="shared" si="191"/>
        <v>6.1247999999999987</v>
      </c>
      <c r="AM223" s="58">
        <v>1200</v>
      </c>
      <c r="AN223" s="25">
        <v>38</v>
      </c>
      <c r="AO223" s="3">
        <v>70</v>
      </c>
      <c r="AP223" s="3">
        <v>28</v>
      </c>
      <c r="AQ223" s="281">
        <f t="shared" si="192"/>
        <v>71.555555555555557</v>
      </c>
      <c r="AR223" s="287">
        <f t="shared" si="193"/>
        <v>28343.968733333328</v>
      </c>
      <c r="AS223" s="93"/>
      <c r="AT223" s="4"/>
    </row>
    <row r="224" spans="1:46">
      <c r="A224" s="98">
        <f t="shared" si="172"/>
        <v>60</v>
      </c>
      <c r="B224" s="99">
        <v>2.4500000000000002</v>
      </c>
      <c r="C224" s="100">
        <f t="shared" si="173"/>
        <v>147</v>
      </c>
      <c r="D224" s="101">
        <v>600</v>
      </c>
      <c r="E224" s="100">
        <f t="shared" si="174"/>
        <v>480</v>
      </c>
      <c r="F224" s="102">
        <f t="shared" si="175"/>
        <v>158.7713240271471</v>
      </c>
      <c r="G224" s="103">
        <f t="shared" si="176"/>
        <v>12</v>
      </c>
      <c r="H224" s="296">
        <f t="shared" si="163"/>
        <v>73.465920000000011</v>
      </c>
      <c r="I224" s="104">
        <f t="shared" si="164"/>
        <v>127.24670606479054</v>
      </c>
      <c r="J224" s="180">
        <f t="shared" si="177"/>
        <v>20</v>
      </c>
      <c r="K224" s="104">
        <f t="shared" si="165"/>
        <v>597.6</v>
      </c>
      <c r="L224" s="477">
        <f t="shared" si="166"/>
        <v>132</v>
      </c>
      <c r="M224" s="106">
        <f t="shared" si="178"/>
        <v>30</v>
      </c>
      <c r="N224" s="1060">
        <f t="shared" si="167"/>
        <v>206.40272123529124</v>
      </c>
      <c r="O224" s="101">
        <f>LOOKUP(N224,'Circuit Breakers'!$B$5:$B$38,'Circuit Breakers'!$C$5:$C$38)</f>
        <v>225</v>
      </c>
      <c r="P224" s="262">
        <f t="shared" si="168"/>
        <v>30</v>
      </c>
      <c r="Q224" s="1057">
        <f t="shared" si="179"/>
        <v>776.88000000000011</v>
      </c>
      <c r="R224" s="1065">
        <f>LOOKUP(Q224,'Circuit Breakers'!$B$5:$B$38,'Circuit Breakers'!$C$5:$C$38)</f>
        <v>800</v>
      </c>
      <c r="S224" s="106">
        <f t="shared" si="169"/>
        <v>30</v>
      </c>
      <c r="T224" s="104">
        <f t="shared" si="180"/>
        <v>780</v>
      </c>
      <c r="U224" s="477">
        <f>LOOKUP(T224,'Circuit Breakers'!$B$5:$B$38,'Circuit Breakers'!$C$5:$C$38)</f>
        <v>800</v>
      </c>
      <c r="V224" s="106">
        <f t="shared" si="181"/>
        <v>15</v>
      </c>
      <c r="W224" s="104">
        <f t="shared" si="182"/>
        <v>182.58702263121916</v>
      </c>
      <c r="X224" s="101" t="str">
        <f>LOOKUP(W224,'Wire-Cables Ampacities'!$B$5:$B$35,'Wire-Cables Ampacities'!$C$5:$C$35)</f>
        <v>#1/0</v>
      </c>
      <c r="Y224" s="106">
        <f t="shared" si="183"/>
        <v>10</v>
      </c>
      <c r="Z224" s="104">
        <f t="shared" si="184"/>
        <v>657.36000000000013</v>
      </c>
      <c r="AA224" s="101" t="str">
        <f>LOOKUP(Z224,'Wire-Cables Ampacities'!$B$5:$B$35,'Wire-Cables Ampacities'!$C$5:$C$35)</f>
        <v>300MCM 2x</v>
      </c>
      <c r="AB224" s="106">
        <f t="shared" si="185"/>
        <v>10</v>
      </c>
      <c r="AC224" s="104">
        <f t="shared" si="186"/>
        <v>660</v>
      </c>
      <c r="AD224" s="101" t="str">
        <f>LOOKUP(AC224,'Wire-Cables Ampacities'!$B$5:$B$35,'Wire-Cables Ampacities'!$C$5:$C$35)</f>
        <v>300MCM 2x</v>
      </c>
      <c r="AE224" s="107">
        <f t="shared" si="187"/>
        <v>10.44</v>
      </c>
      <c r="AF224" s="331">
        <f t="shared" si="170"/>
        <v>35622.762479999998</v>
      </c>
      <c r="AG224" s="98">
        <f t="shared" si="188"/>
        <v>40</v>
      </c>
      <c r="AH224" s="99">
        <f t="shared" si="188"/>
        <v>55</v>
      </c>
      <c r="AI224" s="262">
        <f t="shared" si="188"/>
        <v>20</v>
      </c>
      <c r="AJ224" s="105">
        <f t="shared" si="189"/>
        <v>1469.9519999999998</v>
      </c>
      <c r="AK224" s="272">
        <f t="shared" si="190"/>
        <v>14.699519999999998</v>
      </c>
      <c r="AL224" s="278">
        <f t="shared" si="191"/>
        <v>7.349759999999999</v>
      </c>
      <c r="AM224" s="109">
        <v>1200</v>
      </c>
      <c r="AN224" s="104">
        <v>38</v>
      </c>
      <c r="AO224" s="110">
        <v>70</v>
      </c>
      <c r="AP224" s="110">
        <v>28</v>
      </c>
      <c r="AQ224" s="282">
        <f t="shared" si="192"/>
        <v>71.555555555555557</v>
      </c>
      <c r="AR224" s="288">
        <f t="shared" si="193"/>
        <v>34281.095813333333</v>
      </c>
      <c r="AS224" s="93"/>
      <c r="AT224" s="4"/>
    </row>
    <row r="225" spans="1:46">
      <c r="A225" s="72">
        <f t="shared" si="172"/>
        <v>60</v>
      </c>
      <c r="B225" s="15">
        <v>2.4500000000000002</v>
      </c>
      <c r="C225" s="66">
        <f t="shared" si="173"/>
        <v>147</v>
      </c>
      <c r="D225" s="68">
        <v>700</v>
      </c>
      <c r="E225" s="66">
        <f t="shared" si="174"/>
        <v>480</v>
      </c>
      <c r="F225" s="45">
        <f t="shared" si="175"/>
        <v>185.23321136500493</v>
      </c>
      <c r="G225" s="94">
        <f t="shared" si="176"/>
        <v>12</v>
      </c>
      <c r="H225" s="295">
        <f t="shared" si="163"/>
        <v>73.465920000000011</v>
      </c>
      <c r="I225" s="25">
        <f t="shared" si="164"/>
        <v>127.24670606479054</v>
      </c>
      <c r="J225" s="52">
        <f t="shared" si="177"/>
        <v>20</v>
      </c>
      <c r="K225" s="25">
        <f t="shared" si="165"/>
        <v>697.19999999999993</v>
      </c>
      <c r="L225" s="158">
        <f t="shared" si="166"/>
        <v>154</v>
      </c>
      <c r="M225" s="64">
        <f t="shared" si="178"/>
        <v>30</v>
      </c>
      <c r="N225" s="838">
        <f t="shared" si="167"/>
        <v>240.80317477450643</v>
      </c>
      <c r="O225" s="68">
        <f>LOOKUP(N225,'Circuit Breakers'!$B$5:$B$38,'Circuit Breakers'!$C$5:$C$38)</f>
        <v>250</v>
      </c>
      <c r="P225" s="199">
        <f t="shared" si="168"/>
        <v>30</v>
      </c>
      <c r="Q225" s="1056">
        <f t="shared" si="179"/>
        <v>906.3599999999999</v>
      </c>
      <c r="R225" s="1064">
        <f>LOOKUP(Q225,'Circuit Breakers'!$B$5:$B$38,'Circuit Breakers'!$C$5:$C$38)</f>
        <v>1000</v>
      </c>
      <c r="S225" s="64">
        <f t="shared" si="169"/>
        <v>30</v>
      </c>
      <c r="T225" s="25">
        <f t="shared" si="180"/>
        <v>910</v>
      </c>
      <c r="U225" s="158">
        <f>LOOKUP(T225,'Circuit Breakers'!$B$5:$B$38,'Circuit Breakers'!$C$5:$C$38)</f>
        <v>1000</v>
      </c>
      <c r="V225" s="64">
        <f t="shared" si="181"/>
        <v>15</v>
      </c>
      <c r="W225" s="25">
        <f t="shared" si="182"/>
        <v>213.01819306975565</v>
      </c>
      <c r="X225" s="68" t="str">
        <f>LOOKUP(W225,'Wire-Cables Ampacities'!$B$5:$B$35,'Wire-Cables Ampacities'!$C$5:$C$35)</f>
        <v>#2/0</v>
      </c>
      <c r="Y225" s="64">
        <f t="shared" si="183"/>
        <v>10</v>
      </c>
      <c r="Z225" s="25">
        <f t="shared" si="184"/>
        <v>766.92</v>
      </c>
      <c r="AA225" s="68" t="str">
        <f>LOOKUP(Z225,'Wire-Cables Ampacities'!$B$5:$B$35,'Wire-Cables Ampacities'!$C$5:$C$35)</f>
        <v>Buss</v>
      </c>
      <c r="AB225" s="64">
        <f t="shared" si="185"/>
        <v>10</v>
      </c>
      <c r="AC225" s="25">
        <f t="shared" si="186"/>
        <v>770.00000000000011</v>
      </c>
      <c r="AD225" s="68" t="str">
        <f>LOOKUP(AC225,'Wire-Cables Ampacities'!$B$5:$B$35,'Wire-Cables Ampacities'!$C$5:$C$35)</f>
        <v>Buss</v>
      </c>
      <c r="AE225" s="81">
        <f t="shared" si="187"/>
        <v>12.180000000000001</v>
      </c>
      <c r="AF225" s="53">
        <f t="shared" si="170"/>
        <v>41559.889560000003</v>
      </c>
      <c r="AG225" s="72">
        <f t="shared" si="188"/>
        <v>40</v>
      </c>
      <c r="AH225" s="15">
        <f t="shared" si="188"/>
        <v>55</v>
      </c>
      <c r="AI225" s="199">
        <f t="shared" si="188"/>
        <v>20</v>
      </c>
      <c r="AJ225" s="56">
        <f t="shared" si="189"/>
        <v>1714.9440000000002</v>
      </c>
      <c r="AK225" s="271">
        <f t="shared" si="190"/>
        <v>17.149440000000002</v>
      </c>
      <c r="AL225" s="277">
        <f t="shared" si="191"/>
        <v>8.574720000000001</v>
      </c>
      <c r="AM225" s="58">
        <v>1200</v>
      </c>
      <c r="AN225" s="25">
        <v>38</v>
      </c>
      <c r="AO225" s="3">
        <v>70</v>
      </c>
      <c r="AP225" s="3">
        <v>28</v>
      </c>
      <c r="AQ225" s="281">
        <f t="shared" si="192"/>
        <v>71.555555555555557</v>
      </c>
      <c r="AR225" s="287">
        <f t="shared" si="193"/>
        <v>40218.222893333339</v>
      </c>
      <c r="AS225" s="93"/>
      <c r="AT225" s="4"/>
    </row>
    <row r="226" spans="1:46">
      <c r="A226" s="72">
        <f t="shared" si="172"/>
        <v>60</v>
      </c>
      <c r="B226" s="15">
        <v>2.4500000000000002</v>
      </c>
      <c r="C226" s="66">
        <f t="shared" si="173"/>
        <v>147</v>
      </c>
      <c r="D226" s="68">
        <v>800</v>
      </c>
      <c r="E226" s="66">
        <f t="shared" si="174"/>
        <v>480</v>
      </c>
      <c r="F226" s="45">
        <f t="shared" si="175"/>
        <v>211.69509870286279</v>
      </c>
      <c r="G226" s="94">
        <f t="shared" si="176"/>
        <v>12</v>
      </c>
      <c r="H226" s="295">
        <f t="shared" si="163"/>
        <v>73.465920000000011</v>
      </c>
      <c r="I226" s="25">
        <f t="shared" si="164"/>
        <v>127.24670606479054</v>
      </c>
      <c r="J226" s="52">
        <f t="shared" si="177"/>
        <v>20</v>
      </c>
      <c r="K226" s="25">
        <f t="shared" si="165"/>
        <v>796.8</v>
      </c>
      <c r="L226" s="158">
        <f t="shared" si="166"/>
        <v>176</v>
      </c>
      <c r="M226" s="64">
        <f t="shared" si="178"/>
        <v>30</v>
      </c>
      <c r="N226" s="838">
        <f t="shared" si="167"/>
        <v>275.20362831372165</v>
      </c>
      <c r="O226" s="68">
        <f>LOOKUP(N226,'Circuit Breakers'!$B$5:$B$38,'Circuit Breakers'!$C$5:$C$38)</f>
        <v>300</v>
      </c>
      <c r="P226" s="199">
        <f t="shared" si="168"/>
        <v>30</v>
      </c>
      <c r="Q226" s="1056">
        <f t="shared" si="179"/>
        <v>1035.8399999999999</v>
      </c>
      <c r="R226" s="1064">
        <f>LOOKUP(Q226,'Circuit Breakers'!$B$5:$B$38,'Circuit Breakers'!$C$5:$C$38)</f>
        <v>1200</v>
      </c>
      <c r="S226" s="64">
        <f t="shared" si="169"/>
        <v>30</v>
      </c>
      <c r="T226" s="25">
        <f t="shared" si="180"/>
        <v>1040</v>
      </c>
      <c r="U226" s="158">
        <f>LOOKUP(T226,'Circuit Breakers'!$B$5:$B$38,'Circuit Breakers'!$C$5:$C$38)</f>
        <v>1200</v>
      </c>
      <c r="V226" s="64">
        <f t="shared" si="181"/>
        <v>15</v>
      </c>
      <c r="W226" s="25">
        <f t="shared" si="182"/>
        <v>243.44936350829218</v>
      </c>
      <c r="X226" s="68" t="str">
        <f>LOOKUP(W226,'Wire-Cables Ampacities'!$B$5:$B$35,'Wire-Cables Ampacities'!$C$5:$C$35)</f>
        <v>#3/0</v>
      </c>
      <c r="Y226" s="64">
        <f t="shared" si="183"/>
        <v>10</v>
      </c>
      <c r="Z226" s="25">
        <f t="shared" si="184"/>
        <v>876.48</v>
      </c>
      <c r="AA226" s="68" t="str">
        <f>LOOKUP(Z226,'Wire-Cables Ampacities'!$B$5:$B$35,'Wire-Cables Ampacities'!$C$5:$C$35)</f>
        <v>Buss</v>
      </c>
      <c r="AB226" s="64">
        <f t="shared" si="185"/>
        <v>10</v>
      </c>
      <c r="AC226" s="25">
        <f t="shared" si="186"/>
        <v>880.00000000000011</v>
      </c>
      <c r="AD226" s="68" t="str">
        <f>LOOKUP(AC226,'Wire-Cables Ampacities'!$B$5:$B$35,'Wire-Cables Ampacities'!$C$5:$C$35)</f>
        <v>Buss</v>
      </c>
      <c r="AE226" s="81">
        <f t="shared" si="187"/>
        <v>13.92</v>
      </c>
      <c r="AF226" s="53">
        <f t="shared" si="170"/>
        <v>47497.016640000002</v>
      </c>
      <c r="AG226" s="72">
        <f t="shared" si="188"/>
        <v>40</v>
      </c>
      <c r="AH226" s="15">
        <f t="shared" si="188"/>
        <v>55</v>
      </c>
      <c r="AI226" s="199">
        <f t="shared" si="188"/>
        <v>20</v>
      </c>
      <c r="AJ226" s="56">
        <f t="shared" si="189"/>
        <v>1959.9359999999999</v>
      </c>
      <c r="AK226" s="271">
        <f t="shared" si="190"/>
        <v>19.599360000000001</v>
      </c>
      <c r="AL226" s="277">
        <f t="shared" si="191"/>
        <v>9.7996800000000004</v>
      </c>
      <c r="AM226" s="58">
        <v>1200</v>
      </c>
      <c r="AN226" s="25">
        <v>38</v>
      </c>
      <c r="AO226" s="3">
        <v>70</v>
      </c>
      <c r="AP226" s="3">
        <v>28</v>
      </c>
      <c r="AQ226" s="281">
        <f t="shared" si="192"/>
        <v>71.555555555555557</v>
      </c>
      <c r="AR226" s="287">
        <f t="shared" si="193"/>
        <v>46155.349973333337</v>
      </c>
      <c r="AS226" s="93"/>
      <c r="AT226" s="4"/>
    </row>
    <row r="227" spans="1:46">
      <c r="A227" s="98">
        <f t="shared" si="172"/>
        <v>60</v>
      </c>
      <c r="B227" s="99">
        <v>2.4500000000000002</v>
      </c>
      <c r="C227" s="100">
        <f t="shared" si="173"/>
        <v>147</v>
      </c>
      <c r="D227" s="101">
        <v>900</v>
      </c>
      <c r="E227" s="100">
        <f t="shared" si="174"/>
        <v>480</v>
      </c>
      <c r="F227" s="102">
        <f t="shared" si="175"/>
        <v>238.15698604072065</v>
      </c>
      <c r="G227" s="103">
        <f t="shared" si="176"/>
        <v>12</v>
      </c>
      <c r="H227" s="296">
        <f t="shared" si="163"/>
        <v>73.465920000000011</v>
      </c>
      <c r="I227" s="104">
        <f t="shared" si="164"/>
        <v>127.24670606479054</v>
      </c>
      <c r="J227" s="180">
        <f t="shared" si="177"/>
        <v>20</v>
      </c>
      <c r="K227" s="104">
        <f t="shared" si="165"/>
        <v>896.4</v>
      </c>
      <c r="L227" s="477">
        <f t="shared" si="166"/>
        <v>198</v>
      </c>
      <c r="M227" s="106">
        <f t="shared" si="178"/>
        <v>30</v>
      </c>
      <c r="N227" s="1060">
        <f t="shared" si="167"/>
        <v>309.60408185293687</v>
      </c>
      <c r="O227" s="101">
        <f>LOOKUP(N227,'Circuit Breakers'!$B$5:$B$38,'Circuit Breakers'!$C$5:$C$38)</f>
        <v>350</v>
      </c>
      <c r="P227" s="262">
        <f t="shared" si="168"/>
        <v>30</v>
      </c>
      <c r="Q227" s="1057">
        <f t="shared" si="179"/>
        <v>1165.32</v>
      </c>
      <c r="R227" s="1065">
        <f>LOOKUP(Q227,'Circuit Breakers'!$B$5:$B$38,'Circuit Breakers'!$C$5:$C$38)</f>
        <v>1200</v>
      </c>
      <c r="S227" s="106">
        <f t="shared" si="169"/>
        <v>30</v>
      </c>
      <c r="T227" s="104">
        <f t="shared" si="180"/>
        <v>1170</v>
      </c>
      <c r="U227" s="477">
        <f>LOOKUP(T227,'Circuit Breakers'!$B$5:$B$38,'Circuit Breakers'!$C$5:$C$38)</f>
        <v>1200</v>
      </c>
      <c r="V227" s="106">
        <f t="shared" si="181"/>
        <v>15</v>
      </c>
      <c r="W227" s="104">
        <f t="shared" si="182"/>
        <v>273.88053394682873</v>
      </c>
      <c r="X227" s="101" t="str">
        <f>LOOKUP(W227,'Wire-Cables Ampacities'!$B$5:$B$35,'Wire-Cables Ampacities'!$C$5:$C$35)</f>
        <v>#4/0</v>
      </c>
      <c r="Y227" s="106">
        <f t="shared" si="183"/>
        <v>10</v>
      </c>
      <c r="Z227" s="104">
        <f t="shared" si="184"/>
        <v>986.04000000000008</v>
      </c>
      <c r="AA227" s="101" t="str">
        <f>LOOKUP(Z227,'Wire-Cables Ampacities'!$B$5:$B$35,'Wire-Cables Ampacities'!$C$5:$C$35)</f>
        <v>Buss</v>
      </c>
      <c r="AB227" s="106">
        <f t="shared" si="185"/>
        <v>10</v>
      </c>
      <c r="AC227" s="104">
        <f t="shared" si="186"/>
        <v>990.00000000000011</v>
      </c>
      <c r="AD227" s="101" t="str">
        <f>LOOKUP(AC227,'Wire-Cables Ampacities'!$B$5:$B$35,'Wire-Cables Ampacities'!$C$5:$C$35)</f>
        <v>Buss</v>
      </c>
      <c r="AE227" s="107">
        <f t="shared" si="187"/>
        <v>15.660000000000002</v>
      </c>
      <c r="AF227" s="331">
        <f t="shared" si="170"/>
        <v>53434.14372</v>
      </c>
      <c r="AG227" s="98">
        <f t="shared" si="188"/>
        <v>40</v>
      </c>
      <c r="AH227" s="99">
        <f t="shared" si="188"/>
        <v>55</v>
      </c>
      <c r="AI227" s="262">
        <f t="shared" si="188"/>
        <v>20</v>
      </c>
      <c r="AJ227" s="105">
        <f t="shared" si="189"/>
        <v>2204.9279999999999</v>
      </c>
      <c r="AK227" s="272">
        <f t="shared" si="190"/>
        <v>22.04928</v>
      </c>
      <c r="AL227" s="278">
        <f t="shared" si="191"/>
        <v>11.02464</v>
      </c>
      <c r="AM227" s="109">
        <v>1200</v>
      </c>
      <c r="AN227" s="104">
        <v>38</v>
      </c>
      <c r="AO227" s="110">
        <v>70</v>
      </c>
      <c r="AP227" s="110">
        <v>28</v>
      </c>
      <c r="AQ227" s="282">
        <f t="shared" si="192"/>
        <v>71.555555555555557</v>
      </c>
      <c r="AR227" s="288">
        <f t="shared" si="193"/>
        <v>52092.477053333336</v>
      </c>
      <c r="AS227" s="93"/>
      <c r="AT227" s="4"/>
    </row>
    <row r="228" spans="1:46" s="812" customFormat="1">
      <c r="A228" s="793">
        <f t="shared" si="172"/>
        <v>60</v>
      </c>
      <c r="B228" s="794">
        <v>2.4500000000000002</v>
      </c>
      <c r="C228" s="795">
        <f t="shared" si="173"/>
        <v>147</v>
      </c>
      <c r="D228" s="796">
        <v>1000</v>
      </c>
      <c r="E228" s="795">
        <f t="shared" si="174"/>
        <v>480</v>
      </c>
      <c r="F228" s="688">
        <f t="shared" si="175"/>
        <v>264.61887337857848</v>
      </c>
      <c r="G228" s="797">
        <f t="shared" si="176"/>
        <v>12</v>
      </c>
      <c r="H228" s="798">
        <f t="shared" si="163"/>
        <v>73.465920000000011</v>
      </c>
      <c r="I228" s="688">
        <f t="shared" si="164"/>
        <v>127.24670606479054</v>
      </c>
      <c r="J228" s="799">
        <f t="shared" si="177"/>
        <v>20</v>
      </c>
      <c r="K228" s="688">
        <f t="shared" si="165"/>
        <v>996</v>
      </c>
      <c r="L228" s="800">
        <f t="shared" si="166"/>
        <v>220</v>
      </c>
      <c r="M228" s="64">
        <f t="shared" si="178"/>
        <v>30</v>
      </c>
      <c r="N228" s="838">
        <f t="shared" si="167"/>
        <v>344.00453539215204</v>
      </c>
      <c r="O228" s="68">
        <f>LOOKUP(N228,'Circuit Breakers'!$B$5:$B$38,'Circuit Breakers'!$C$5:$C$38)</f>
        <v>350</v>
      </c>
      <c r="P228" s="199">
        <f t="shared" si="168"/>
        <v>30</v>
      </c>
      <c r="Q228" s="1056">
        <f t="shared" si="179"/>
        <v>1294.8</v>
      </c>
      <c r="R228" s="1064" t="str">
        <f>LOOKUP(Q228,'Circuit Breakers'!$B$5:$B$38,'Circuit Breakers'!$C$5:$C$38)</f>
        <v>Check</v>
      </c>
      <c r="S228" s="64">
        <f t="shared" si="169"/>
        <v>30</v>
      </c>
      <c r="T228" s="25">
        <f t="shared" si="180"/>
        <v>1300</v>
      </c>
      <c r="U228" s="158" t="str">
        <f>LOOKUP(T228,'Circuit Breakers'!$B$5:$B$38,'Circuit Breakers'!$C$5:$C$38)</f>
        <v>Check</v>
      </c>
      <c r="V228" s="801">
        <f t="shared" si="181"/>
        <v>15</v>
      </c>
      <c r="W228" s="688">
        <f t="shared" si="182"/>
        <v>304.31170438536526</v>
      </c>
      <c r="X228" s="1171" t="str">
        <f>LOOKUP(W228,'Wire-Cables Ampacities'!$B$5:$B$35,'Wire-Cables Ampacities'!$C$5:$C$35)</f>
        <v>250MCM</v>
      </c>
      <c r="Y228" s="801">
        <f t="shared" si="183"/>
        <v>10</v>
      </c>
      <c r="Z228" s="688">
        <f t="shared" si="184"/>
        <v>1095.6000000000001</v>
      </c>
      <c r="AA228" s="1171" t="str">
        <f>LOOKUP(Z228,'Wire-Cables Ampacities'!$B$5:$B$35,'Wire-Cables Ampacities'!$C$5:$C$35)</f>
        <v>Buss</v>
      </c>
      <c r="AB228" s="801">
        <f t="shared" si="185"/>
        <v>10</v>
      </c>
      <c r="AC228" s="688">
        <f t="shared" si="186"/>
        <v>1100</v>
      </c>
      <c r="AD228" s="1171" t="str">
        <f>LOOKUP(AC228,'Wire-Cables Ampacities'!$B$5:$B$35,'Wire-Cables Ampacities'!$C$5:$C$35)</f>
        <v>Buss</v>
      </c>
      <c r="AE228" s="802">
        <f t="shared" si="187"/>
        <v>17.399999999999999</v>
      </c>
      <c r="AF228" s="803">
        <f t="shared" si="170"/>
        <v>59371.270799999991</v>
      </c>
      <c r="AG228" s="793">
        <f t="shared" si="188"/>
        <v>40</v>
      </c>
      <c r="AH228" s="794">
        <f t="shared" si="188"/>
        <v>55</v>
      </c>
      <c r="AI228" s="804">
        <f t="shared" si="188"/>
        <v>20</v>
      </c>
      <c r="AJ228" s="708">
        <f t="shared" si="189"/>
        <v>2449.9199999999996</v>
      </c>
      <c r="AK228" s="805">
        <f t="shared" si="190"/>
        <v>24.499199999999995</v>
      </c>
      <c r="AL228" s="806">
        <f t="shared" si="191"/>
        <v>12.249599999999997</v>
      </c>
      <c r="AM228" s="807">
        <v>1200</v>
      </c>
      <c r="AN228" s="688">
        <v>38</v>
      </c>
      <c r="AO228" s="721">
        <v>70</v>
      </c>
      <c r="AP228" s="721">
        <v>28</v>
      </c>
      <c r="AQ228" s="808">
        <f t="shared" si="192"/>
        <v>71.555555555555557</v>
      </c>
      <c r="AR228" s="809">
        <f t="shared" si="193"/>
        <v>58029.604133333327</v>
      </c>
      <c r="AS228" s="810"/>
      <c r="AT228" s="811"/>
    </row>
    <row r="229" spans="1:46">
      <c r="A229" s="72">
        <f t="shared" si="172"/>
        <v>60</v>
      </c>
      <c r="B229" s="15">
        <v>2.4500000000000002</v>
      </c>
      <c r="C229" s="66">
        <f t="shared" si="173"/>
        <v>147</v>
      </c>
      <c r="D229" s="68">
        <v>1100</v>
      </c>
      <c r="E229" s="66">
        <f t="shared" si="174"/>
        <v>480</v>
      </c>
      <c r="F229" s="45">
        <f t="shared" si="175"/>
        <v>291.08076071643637</v>
      </c>
      <c r="G229" s="94">
        <f t="shared" si="176"/>
        <v>12</v>
      </c>
      <c r="H229" s="295">
        <f t="shared" si="163"/>
        <v>73.465920000000011</v>
      </c>
      <c r="I229" s="25">
        <f t="shared" si="164"/>
        <v>127.24670606479054</v>
      </c>
      <c r="J229" s="52">
        <f t="shared" si="177"/>
        <v>20</v>
      </c>
      <c r="K229" s="25">
        <f t="shared" si="165"/>
        <v>1095.5999999999999</v>
      </c>
      <c r="L229" s="158">
        <f t="shared" si="166"/>
        <v>242</v>
      </c>
      <c r="M229" s="64">
        <f t="shared" si="178"/>
        <v>30</v>
      </c>
      <c r="N229" s="838">
        <f t="shared" si="167"/>
        <v>378.40498893136731</v>
      </c>
      <c r="O229" s="68">
        <f>LOOKUP(N229,'Circuit Breakers'!$B$5:$B$38,'Circuit Breakers'!$C$5:$C$38)</f>
        <v>400</v>
      </c>
      <c r="P229" s="199">
        <f t="shared" si="168"/>
        <v>30</v>
      </c>
      <c r="Q229" s="1056">
        <f t="shared" si="179"/>
        <v>1424.28</v>
      </c>
      <c r="R229" s="1064" t="str">
        <f>LOOKUP(Q229,'Circuit Breakers'!$B$5:$B$38,'Circuit Breakers'!$C$5:$C$38)</f>
        <v>Check</v>
      </c>
      <c r="S229" s="64">
        <f t="shared" si="169"/>
        <v>30</v>
      </c>
      <c r="T229" s="25">
        <f t="shared" si="180"/>
        <v>1430</v>
      </c>
      <c r="U229" s="158" t="str">
        <f>LOOKUP(T229,'Circuit Breakers'!$B$5:$B$38,'Circuit Breakers'!$C$5:$C$38)</f>
        <v>Check</v>
      </c>
      <c r="V229" s="64">
        <f t="shared" si="181"/>
        <v>15</v>
      </c>
      <c r="W229" s="25">
        <f t="shared" si="182"/>
        <v>334.74287482390179</v>
      </c>
      <c r="X229" s="68" t="str">
        <f>LOOKUP(W229,'Wire-Cables Ampacities'!$B$5:$B$35,'Wire-Cables Ampacities'!$C$5:$C$35)</f>
        <v>250MCM</v>
      </c>
      <c r="Y229" s="64">
        <f t="shared" si="183"/>
        <v>10</v>
      </c>
      <c r="Z229" s="25">
        <f t="shared" si="184"/>
        <v>1205.1600000000001</v>
      </c>
      <c r="AA229" s="68" t="str">
        <f>LOOKUP(Z229,'Wire-Cables Ampacities'!$B$5:$B$35,'Wire-Cables Ampacities'!$C$5:$C$35)</f>
        <v>Buss</v>
      </c>
      <c r="AB229" s="64">
        <f t="shared" si="185"/>
        <v>10</v>
      </c>
      <c r="AC229" s="25">
        <f t="shared" si="186"/>
        <v>1210</v>
      </c>
      <c r="AD229" s="68" t="str">
        <f>LOOKUP(AC229,'Wire-Cables Ampacities'!$B$5:$B$35,'Wire-Cables Ampacities'!$C$5:$C$35)</f>
        <v>Buss</v>
      </c>
      <c r="AE229" s="81">
        <f t="shared" si="187"/>
        <v>19.14</v>
      </c>
      <c r="AF229" s="53">
        <f t="shared" si="170"/>
        <v>65308.397880000004</v>
      </c>
      <c r="AG229" s="72">
        <f t="shared" si="188"/>
        <v>40</v>
      </c>
      <c r="AH229" s="15">
        <f t="shared" si="188"/>
        <v>55</v>
      </c>
      <c r="AI229" s="199">
        <f t="shared" si="188"/>
        <v>20</v>
      </c>
      <c r="AJ229" s="56">
        <f t="shared" si="189"/>
        <v>2694.9120000000003</v>
      </c>
      <c r="AK229" s="271">
        <f t="shared" si="190"/>
        <v>26.949120000000004</v>
      </c>
      <c r="AL229" s="277">
        <f t="shared" si="191"/>
        <v>13.474560000000002</v>
      </c>
      <c r="AM229" s="58">
        <v>1200</v>
      </c>
      <c r="AN229" s="25">
        <v>38</v>
      </c>
      <c r="AO229" s="3">
        <v>70</v>
      </c>
      <c r="AP229" s="3">
        <v>28</v>
      </c>
      <c r="AQ229" s="281">
        <f t="shared" si="192"/>
        <v>71.555555555555557</v>
      </c>
      <c r="AR229" s="287">
        <f t="shared" si="193"/>
        <v>63966.73121333334</v>
      </c>
      <c r="AS229" s="93"/>
      <c r="AT229" s="4"/>
    </row>
    <row r="230" spans="1:46" ht="13.5" thickBot="1">
      <c r="A230" s="253">
        <f t="shared" si="172"/>
        <v>60</v>
      </c>
      <c r="B230" s="254">
        <v>2.4500000000000002</v>
      </c>
      <c r="C230" s="258">
        <f t="shared" si="173"/>
        <v>147</v>
      </c>
      <c r="D230" s="259">
        <v>1200</v>
      </c>
      <c r="E230" s="258">
        <f t="shared" si="174"/>
        <v>480</v>
      </c>
      <c r="F230" s="260">
        <f t="shared" si="175"/>
        <v>317.5426480542942</v>
      </c>
      <c r="G230" s="261">
        <f t="shared" si="176"/>
        <v>12</v>
      </c>
      <c r="H230" s="297">
        <f t="shared" si="163"/>
        <v>73.465920000000011</v>
      </c>
      <c r="I230" s="264">
        <f t="shared" si="164"/>
        <v>127.24670606479054</v>
      </c>
      <c r="J230" s="265">
        <f t="shared" si="177"/>
        <v>20</v>
      </c>
      <c r="K230" s="264">
        <f t="shared" si="165"/>
        <v>1195.2</v>
      </c>
      <c r="L230" s="478">
        <f t="shared" si="166"/>
        <v>264</v>
      </c>
      <c r="M230" s="267">
        <f t="shared" si="178"/>
        <v>30</v>
      </c>
      <c r="N230" s="1061">
        <f t="shared" si="167"/>
        <v>412.80544247058248</v>
      </c>
      <c r="O230" s="259">
        <f>LOOKUP(N230,'Circuit Breakers'!$B$5:$B$38,'Circuit Breakers'!$C$5:$C$38)</f>
        <v>450</v>
      </c>
      <c r="P230" s="333">
        <f t="shared" si="168"/>
        <v>30</v>
      </c>
      <c r="Q230" s="1058">
        <f t="shared" si="179"/>
        <v>1553.7600000000002</v>
      </c>
      <c r="R230" s="1066" t="str">
        <f>LOOKUP(Q230,'Circuit Breakers'!$B$5:$B$38,'Circuit Breakers'!$C$5:$C$38)</f>
        <v>Check</v>
      </c>
      <c r="S230" s="267">
        <f t="shared" si="169"/>
        <v>30</v>
      </c>
      <c r="T230" s="264">
        <f t="shared" si="180"/>
        <v>1560</v>
      </c>
      <c r="U230" s="478" t="str">
        <f>LOOKUP(T230,'Circuit Breakers'!$B$5:$B$38,'Circuit Breakers'!$C$5:$C$38)</f>
        <v>Check</v>
      </c>
      <c r="V230" s="267">
        <f t="shared" si="181"/>
        <v>15</v>
      </c>
      <c r="W230" s="264">
        <f t="shared" si="182"/>
        <v>365.17404526243831</v>
      </c>
      <c r="X230" s="259" t="str">
        <f>LOOKUP(W230,'Wire-Cables Ampacities'!$B$5:$B$35,'Wire-Cables Ampacities'!$C$5:$C$35)</f>
        <v>300MCM</v>
      </c>
      <c r="Y230" s="267">
        <f t="shared" si="183"/>
        <v>10</v>
      </c>
      <c r="Z230" s="264">
        <f t="shared" si="184"/>
        <v>1314.7200000000003</v>
      </c>
      <c r="AA230" s="259" t="str">
        <f>LOOKUP(Z230,'Wire-Cables Ampacities'!$B$5:$B$35,'Wire-Cables Ampacities'!$C$5:$C$35)</f>
        <v>Buss</v>
      </c>
      <c r="AB230" s="267">
        <f t="shared" si="185"/>
        <v>10</v>
      </c>
      <c r="AC230" s="264">
        <f t="shared" si="186"/>
        <v>1320</v>
      </c>
      <c r="AD230" s="259" t="str">
        <f>LOOKUP(AC230,'Wire-Cables Ampacities'!$B$5:$B$35,'Wire-Cables Ampacities'!$C$5:$C$35)</f>
        <v>Buss</v>
      </c>
      <c r="AE230" s="270">
        <f t="shared" si="187"/>
        <v>20.88</v>
      </c>
      <c r="AF230" s="332">
        <f t="shared" si="170"/>
        <v>71245.524959999995</v>
      </c>
      <c r="AG230" s="253">
        <f t="shared" si="188"/>
        <v>40</v>
      </c>
      <c r="AH230" s="254">
        <f t="shared" si="188"/>
        <v>55</v>
      </c>
      <c r="AI230" s="333">
        <f t="shared" si="188"/>
        <v>20</v>
      </c>
      <c r="AJ230" s="268">
        <f t="shared" si="189"/>
        <v>2939.9039999999995</v>
      </c>
      <c r="AK230" s="273">
        <f t="shared" si="190"/>
        <v>29.399039999999996</v>
      </c>
      <c r="AL230" s="279">
        <f t="shared" si="191"/>
        <v>14.699519999999998</v>
      </c>
      <c r="AM230" s="275">
        <v>1200</v>
      </c>
      <c r="AN230" s="264">
        <v>38</v>
      </c>
      <c r="AO230" s="276">
        <v>70</v>
      </c>
      <c r="AP230" s="276">
        <v>28</v>
      </c>
      <c r="AQ230" s="283">
        <f t="shared" si="192"/>
        <v>71.555555555555557</v>
      </c>
      <c r="AR230" s="289">
        <f t="shared" si="193"/>
        <v>69903.858293333324</v>
      </c>
      <c r="AS230" s="93"/>
      <c r="AT230" s="4"/>
    </row>
    <row r="232" spans="1:46" ht="13.5" thickBot="1"/>
    <row r="233" spans="1:46" ht="16.5" thickBot="1">
      <c r="A233" s="95" t="s">
        <v>77</v>
      </c>
      <c r="B233" s="96"/>
      <c r="C233" s="44"/>
      <c r="D233" s="86"/>
      <c r="E233" s="86"/>
      <c r="F233" s="86"/>
      <c r="G233" s="87"/>
      <c r="H233" s="290" t="s">
        <v>102</v>
      </c>
      <c r="I233" s="42"/>
      <c r="J233" s="51"/>
      <c r="K233" s="42"/>
      <c r="L233" s="40"/>
      <c r="M233" s="290" t="s">
        <v>83</v>
      </c>
      <c r="N233" s="42"/>
      <c r="O233" s="327"/>
      <c r="P233" s="44"/>
      <c r="Q233" s="44"/>
      <c r="R233" s="327"/>
      <c r="S233" s="44"/>
      <c r="T233" s="44"/>
      <c r="U233" s="185"/>
      <c r="V233" s="184" t="s">
        <v>84</v>
      </c>
      <c r="W233" s="44"/>
      <c r="X233" s="327"/>
      <c r="Y233" s="44"/>
      <c r="Z233" s="44"/>
      <c r="AA233" s="327"/>
      <c r="AB233" s="44"/>
      <c r="AC233" s="44"/>
      <c r="AD233" s="185"/>
      <c r="AE233" s="291" t="s">
        <v>62</v>
      </c>
      <c r="AF233" s="80"/>
      <c r="AG233" s="290" t="s">
        <v>90</v>
      </c>
      <c r="AH233" s="40"/>
      <c r="AI233" s="292" t="s">
        <v>87</v>
      </c>
      <c r="AJ233" s="90"/>
      <c r="AK233" s="90"/>
      <c r="AL233" s="49"/>
      <c r="AM233" s="189" t="s">
        <v>88</v>
      </c>
      <c r="AN233" s="90"/>
      <c r="AO233" s="90"/>
      <c r="AP233" s="90"/>
      <c r="AQ233" s="90"/>
      <c r="AR233" s="6"/>
      <c r="AS233" s="7"/>
    </row>
    <row r="234" spans="1:46" ht="13.5" thickBot="1">
      <c r="A234" s="97" t="s">
        <v>23</v>
      </c>
      <c r="B234" s="48"/>
      <c r="C234" s="189" t="s">
        <v>76</v>
      </c>
      <c r="D234" s="190"/>
      <c r="E234" s="189" t="s">
        <v>57</v>
      </c>
      <c r="F234" s="191"/>
      <c r="G234" s="192"/>
      <c r="H234" s="76"/>
      <c r="I234" s="90"/>
      <c r="J234" s="175"/>
      <c r="K234" s="90"/>
      <c r="L234" s="49"/>
      <c r="M234" s="47" t="s">
        <v>81</v>
      </c>
      <c r="N234" s="96"/>
      <c r="O234" s="192"/>
      <c r="P234" s="47" t="s">
        <v>82</v>
      </c>
      <c r="Q234" s="96"/>
      <c r="R234" s="192"/>
      <c r="S234" s="47" t="s">
        <v>80</v>
      </c>
      <c r="T234" s="96"/>
      <c r="U234" s="192"/>
      <c r="V234" s="76" t="s">
        <v>78</v>
      </c>
      <c r="W234" s="96"/>
      <c r="X234" s="190"/>
      <c r="Y234" s="76" t="s">
        <v>79</v>
      </c>
      <c r="Z234" s="96"/>
      <c r="AA234" s="190"/>
      <c r="AB234" s="47" t="s">
        <v>80</v>
      </c>
      <c r="AC234" s="96"/>
      <c r="AD234" s="190"/>
      <c r="AE234" s="176"/>
      <c r="AF234" s="177"/>
      <c r="AG234" s="205" t="s">
        <v>94</v>
      </c>
      <c r="AH234" s="179" t="s">
        <v>95</v>
      </c>
      <c r="AI234" s="178"/>
      <c r="AJ234" s="198"/>
      <c r="AK234" s="206" t="s">
        <v>66</v>
      </c>
      <c r="AL234" s="198" t="s">
        <v>66</v>
      </c>
      <c r="AM234" s="47" t="s">
        <v>68</v>
      </c>
      <c r="AN234" s="90"/>
      <c r="AO234" s="90"/>
      <c r="AP234" s="90"/>
      <c r="AQ234" s="49"/>
      <c r="AR234" s="80"/>
      <c r="AS234" s="7"/>
    </row>
    <row r="235" spans="1:46">
      <c r="A235" s="65">
        <v>240</v>
      </c>
      <c r="B235" s="67" t="s">
        <v>92</v>
      </c>
      <c r="C235" s="65" t="s">
        <v>93</v>
      </c>
      <c r="D235" s="67" t="s">
        <v>16</v>
      </c>
      <c r="E235" s="65" t="s">
        <v>54</v>
      </c>
      <c r="F235" s="18" t="s">
        <v>58</v>
      </c>
      <c r="G235" s="1235" t="s">
        <v>55</v>
      </c>
      <c r="H235" s="65" t="s">
        <v>50</v>
      </c>
      <c r="I235" s="18" t="s">
        <v>51</v>
      </c>
      <c r="J235" s="310" t="s">
        <v>56</v>
      </c>
      <c r="K235" s="18" t="s">
        <v>28</v>
      </c>
      <c r="L235" s="156" t="s">
        <v>29</v>
      </c>
      <c r="M235" s="1077">
        <v>30</v>
      </c>
      <c r="N235" s="1078" t="s">
        <v>60</v>
      </c>
      <c r="O235" s="1079" t="s">
        <v>361</v>
      </c>
      <c r="P235" s="1077">
        <v>30</v>
      </c>
      <c r="Q235" s="1078" t="s">
        <v>60</v>
      </c>
      <c r="R235" s="1079" t="s">
        <v>361</v>
      </c>
      <c r="S235" s="1077">
        <v>30</v>
      </c>
      <c r="T235" s="1078"/>
      <c r="U235" s="1079" t="s">
        <v>60</v>
      </c>
      <c r="V235" s="171">
        <v>15</v>
      </c>
      <c r="W235" s="139" t="s">
        <v>60</v>
      </c>
      <c r="X235" s="1173" t="s">
        <v>85</v>
      </c>
      <c r="Y235" s="171">
        <v>10</v>
      </c>
      <c r="Z235" s="139" t="s">
        <v>60</v>
      </c>
      <c r="AA235" s="1173" t="s">
        <v>85</v>
      </c>
      <c r="AB235" s="171">
        <v>10</v>
      </c>
      <c r="AC235" s="139" t="s">
        <v>60</v>
      </c>
      <c r="AD235" s="1131" t="s">
        <v>85</v>
      </c>
      <c r="AE235" s="77"/>
      <c r="AF235" s="204"/>
      <c r="AG235" s="70">
        <v>40</v>
      </c>
      <c r="AH235" s="19">
        <v>55</v>
      </c>
      <c r="AI235" s="337">
        <v>20</v>
      </c>
      <c r="AJ235" s="71" t="s">
        <v>64</v>
      </c>
      <c r="AK235" s="79">
        <v>100</v>
      </c>
      <c r="AL235" s="19">
        <v>200</v>
      </c>
      <c r="AM235" s="284" t="s">
        <v>91</v>
      </c>
      <c r="AN235" s="18" t="s">
        <v>69</v>
      </c>
      <c r="AO235" s="18" t="s">
        <v>70</v>
      </c>
      <c r="AP235" s="18" t="s">
        <v>71</v>
      </c>
      <c r="AQ235" s="19" t="s">
        <v>73</v>
      </c>
      <c r="AR235" s="285" t="s">
        <v>64</v>
      </c>
      <c r="AS235" s="92"/>
    </row>
    <row r="236" spans="1:46" ht="13.5" thickBot="1">
      <c r="A236" s="187" t="s">
        <v>24</v>
      </c>
      <c r="B236" s="188" t="s">
        <v>53</v>
      </c>
      <c r="C236" s="306" t="s">
        <v>53</v>
      </c>
      <c r="D236" s="255" t="s">
        <v>22</v>
      </c>
      <c r="E236" s="187" t="s">
        <v>53</v>
      </c>
      <c r="F236" s="16" t="s">
        <v>22</v>
      </c>
      <c r="G236" s="311">
        <v>12</v>
      </c>
      <c r="H236" s="187" t="s">
        <v>42</v>
      </c>
      <c r="I236" s="16" t="s">
        <v>42</v>
      </c>
      <c r="J236" s="298">
        <v>20</v>
      </c>
      <c r="K236" s="16" t="s">
        <v>43</v>
      </c>
      <c r="L236" s="195" t="s">
        <v>44</v>
      </c>
      <c r="M236" s="298" t="s">
        <v>59</v>
      </c>
      <c r="N236" s="1055" t="s">
        <v>22</v>
      </c>
      <c r="O236" s="188" t="s">
        <v>22</v>
      </c>
      <c r="P236" s="298" t="s">
        <v>59</v>
      </c>
      <c r="Q236" s="1055" t="s">
        <v>22</v>
      </c>
      <c r="R236" s="188" t="s">
        <v>22</v>
      </c>
      <c r="S236" s="299" t="s">
        <v>59</v>
      </c>
      <c r="T236" s="1055" t="s">
        <v>22</v>
      </c>
      <c r="U236" s="188" t="s">
        <v>22</v>
      </c>
      <c r="V236" s="298" t="s">
        <v>59</v>
      </c>
      <c r="W236" s="16" t="s">
        <v>22</v>
      </c>
      <c r="X236" s="188" t="s">
        <v>86</v>
      </c>
      <c r="Y236" s="298" t="s">
        <v>59</v>
      </c>
      <c r="Z236" s="16" t="s">
        <v>22</v>
      </c>
      <c r="AA236" s="188" t="s">
        <v>86</v>
      </c>
      <c r="AB236" s="298" t="s">
        <v>59</v>
      </c>
      <c r="AC236" s="16" t="s">
        <v>22</v>
      </c>
      <c r="AD236" s="188" t="s">
        <v>86</v>
      </c>
      <c r="AE236" s="75" t="s">
        <v>63</v>
      </c>
      <c r="AF236" s="202" t="s">
        <v>67</v>
      </c>
      <c r="AG236" s="75" t="s">
        <v>61</v>
      </c>
      <c r="AH236" s="17" t="s">
        <v>61</v>
      </c>
      <c r="AI236" s="298" t="s">
        <v>59</v>
      </c>
      <c r="AJ236" s="17" t="s">
        <v>65</v>
      </c>
      <c r="AK236" s="207" t="s">
        <v>89</v>
      </c>
      <c r="AL236" s="17" t="s">
        <v>89</v>
      </c>
      <c r="AM236" s="75" t="s">
        <v>72</v>
      </c>
      <c r="AN236" s="16" t="s">
        <v>74</v>
      </c>
      <c r="AO236" s="16" t="s">
        <v>74</v>
      </c>
      <c r="AP236" s="16" t="s">
        <v>74</v>
      </c>
      <c r="AQ236" s="17" t="s">
        <v>75</v>
      </c>
      <c r="AR236" s="200" t="s">
        <v>67</v>
      </c>
      <c r="AS236" s="46"/>
    </row>
    <row r="237" spans="1:46">
      <c r="A237" s="70"/>
      <c r="B237" s="19"/>
      <c r="C237" s="65"/>
      <c r="D237" s="67"/>
      <c r="E237" s="65"/>
      <c r="F237" s="18"/>
      <c r="G237" s="19"/>
      <c r="H237" s="65"/>
      <c r="I237" s="18"/>
      <c r="J237" s="73"/>
      <c r="K237" s="18"/>
      <c r="L237" s="156"/>
      <c r="M237" s="54"/>
      <c r="N237" s="1049"/>
      <c r="O237" s="67"/>
      <c r="P237" s="203"/>
      <c r="Q237" s="1049"/>
      <c r="R237" s="1063"/>
      <c r="S237" s="54"/>
      <c r="T237" s="1059"/>
      <c r="U237" s="67"/>
      <c r="V237" s="54"/>
      <c r="W237" s="269"/>
      <c r="X237" s="156"/>
      <c r="Y237" s="54"/>
      <c r="Z237" s="269"/>
      <c r="AA237" s="156"/>
      <c r="AB237" s="54"/>
      <c r="AC237" s="269"/>
      <c r="AD237" s="156"/>
      <c r="AE237" s="70"/>
      <c r="AF237" s="19"/>
      <c r="AG237" s="70"/>
      <c r="AH237" s="19"/>
      <c r="AI237" s="54"/>
      <c r="AJ237" s="19"/>
      <c r="AK237" s="70"/>
      <c r="AL237" s="197"/>
      <c r="AM237" s="70"/>
      <c r="AN237" s="18"/>
      <c r="AO237" s="18"/>
      <c r="AP237" s="18"/>
      <c r="AQ237" s="19"/>
      <c r="AR237" s="286"/>
      <c r="AS237" s="7"/>
    </row>
    <row r="238" spans="1:46">
      <c r="A238" s="72">
        <f>A$235/2</f>
        <v>120</v>
      </c>
      <c r="B238" s="15">
        <v>2.4500000000000002</v>
      </c>
      <c r="C238" s="66">
        <f>A238*B238</f>
        <v>294</v>
      </c>
      <c r="D238" s="68">
        <v>5</v>
      </c>
      <c r="E238" s="66">
        <f>IF(L238*1000/120/SQRT(3)*1.5&lt;65,120,IF(L238*1000/208/SQRT(3)*1.5&lt;65,208,IF(L238*1000/240/SQRT(3)*1.5&lt;65,240,480)))</f>
        <v>120</v>
      </c>
      <c r="F238" s="45">
        <f>L238*1000/E238/SQRT(3)</f>
        <v>10.825317547305485</v>
      </c>
      <c r="G238" s="94">
        <f>G$236</f>
        <v>12</v>
      </c>
      <c r="H238" s="295">
        <f t="shared" ref="H238:H266" si="194">IF(C238&lt;150,0.428*(1+G238/100)*C238+3,0.428*(1+G238/100)*C238)</f>
        <v>140.93184000000002</v>
      </c>
      <c r="I238" s="25">
        <f t="shared" ref="I238:I266" si="195">SQRT(3)*H238</f>
        <v>244.10110728416782</v>
      </c>
      <c r="J238" s="52">
        <f>J$236</f>
        <v>20</v>
      </c>
      <c r="K238" s="25">
        <f t="shared" ref="K238:K266" si="196">(1+J238/100)*D238*0.83</f>
        <v>4.9799999999999995</v>
      </c>
      <c r="L238" s="427">
        <f t="shared" ref="L238:L266" si="197">IF(CEILING(I238*K238*SQRT(3)/1000,0.25)&lt;10,CEILING(I238*K238*SQRT(3)/1000,0.25),IF(CEILING(I238*K238*SQRT(3)/1000,0.25)&lt;20,CEILING(I238*K238*SQRT(3)/1000,0.5),CEILING(I238*K238*SQRT(3)/1000,1)))</f>
        <v>2.25</v>
      </c>
      <c r="M238" s="55">
        <f>M$235</f>
        <v>30</v>
      </c>
      <c r="N238" s="838">
        <f t="shared" ref="N238:N266" si="198">(1+M238/100)*F238</f>
        <v>14.07291281149713</v>
      </c>
      <c r="O238" s="68">
        <f>LOOKUP(N238,'Circuit Breakers'!$B$5:$B$38,'Circuit Breakers'!$C$5:$C$38)</f>
        <v>15</v>
      </c>
      <c r="P238" s="199">
        <f t="shared" ref="P238:P268" si="199">P$235</f>
        <v>30</v>
      </c>
      <c r="Q238" s="1056">
        <f>(1+P238/100)*K238</f>
        <v>6.4739999999999993</v>
      </c>
      <c r="R238" s="1064">
        <f>LOOKUP(Q238,'Circuit Breakers'!$B$5:$B$38,'Circuit Breakers'!$C$5:$C$38)</f>
        <v>10</v>
      </c>
      <c r="S238" s="64">
        <f t="shared" ref="S238:S268" si="200">S$235</f>
        <v>30</v>
      </c>
      <c r="T238" s="25">
        <f>(1+S238/100)*D238</f>
        <v>6.5</v>
      </c>
      <c r="U238" s="158">
        <f>LOOKUP(T238,'Circuit Breakers'!$B$5:$B$38,'Circuit Breakers'!$C$5:$C$38)</f>
        <v>10</v>
      </c>
      <c r="V238" s="55">
        <f>V$235</f>
        <v>15</v>
      </c>
      <c r="W238" s="25">
        <f>(1+V238/100)*F238</f>
        <v>12.449115179401307</v>
      </c>
      <c r="X238" s="68" t="str">
        <f>LOOKUP(W238,'Wire-Cables Ampacities'!$B$5:$B$35,'Wire-Cables Ampacities'!$C$5:$C$35)</f>
        <v>#10</v>
      </c>
      <c r="Y238" s="55">
        <f>Y$235</f>
        <v>10</v>
      </c>
      <c r="Z238" s="25">
        <f>(1+Y238/100)*K238</f>
        <v>5.4779999999999998</v>
      </c>
      <c r="AA238" s="68" t="str">
        <f>LOOKUP(Z238,'Wire-Cables Ampacities'!$B$5:$B$35,'Wire-Cables Ampacities'!$C$5:$C$35)</f>
        <v>#10</v>
      </c>
      <c r="AB238" s="55">
        <f>AB$235</f>
        <v>10</v>
      </c>
      <c r="AC238" s="25">
        <f>(1+AB238/100)*D238</f>
        <v>5.5</v>
      </c>
      <c r="AD238" s="68" t="str">
        <f>LOOKUP(AC238,'Wire-Cables Ampacities'!$B$5:$B$35,'Wire-Cables Ampacities'!$C$5:$C$35)</f>
        <v>#10</v>
      </c>
      <c r="AE238" s="81">
        <f>(2*D238+0.07*L238*1000)/1000</f>
        <v>0.16750000000000004</v>
      </c>
      <c r="AF238" s="56">
        <f t="shared" ref="AF238:AF266" si="201">AE238*3.412142*1000</f>
        <v>571.53378500000008</v>
      </c>
      <c r="AG238" s="72">
        <f>AG$235</f>
        <v>40</v>
      </c>
      <c r="AH238" s="15">
        <f>AH$235</f>
        <v>55</v>
      </c>
      <c r="AI238" s="55">
        <f>AI$235</f>
        <v>20</v>
      </c>
      <c r="AJ238" s="56">
        <f>1760*AE238/(AH238-AG238)*(1+AI238/100)</f>
        <v>23.584000000000007</v>
      </c>
      <c r="AK238" s="271">
        <f>AJ238/AK$19</f>
        <v>0.23584000000000008</v>
      </c>
      <c r="AL238" s="277">
        <f>AJ238/AL$19</f>
        <v>0.11792000000000004</v>
      </c>
      <c r="AM238" s="58">
        <v>450</v>
      </c>
      <c r="AN238" s="25">
        <v>24</v>
      </c>
      <c r="AO238" s="3">
        <v>30</v>
      </c>
      <c r="AP238" s="3">
        <v>16</v>
      </c>
      <c r="AQ238" s="281">
        <f>((2*AO238*AN238)+2*(AO238*AP238)+(AN238*AP238))/144</f>
        <v>19.333333333333332</v>
      </c>
      <c r="AR238" s="287">
        <f t="shared" ref="AR238:AR254" si="202">AF238+(1.25*AQ238*(AG238-AH238))</f>
        <v>209.03378500000014</v>
      </c>
      <c r="AS238" s="93"/>
      <c r="AT238" s="4"/>
    </row>
    <row r="239" spans="1:46">
      <c r="A239" s="98">
        <f t="shared" ref="A239:A268" si="203">A$235/2</f>
        <v>120</v>
      </c>
      <c r="B239" s="99">
        <v>2.4500000000000002</v>
      </c>
      <c r="C239" s="100">
        <f t="shared" ref="C239:C266" si="204">A239*B239</f>
        <v>294</v>
      </c>
      <c r="D239" s="101">
        <v>10</v>
      </c>
      <c r="E239" s="100">
        <f t="shared" ref="E239:E266" si="205">IF(L239*1000/120/SQRT(3)*1.5&lt;65,120,IF(L239*1000/208/SQRT(3)*1.5&lt;65,208,IF(L239*1000/240/SQRT(3)*1.5&lt;65,240,480)))</f>
        <v>120</v>
      </c>
      <c r="F239" s="102">
        <f t="shared" ref="F239:F266" si="206">L239*1000/E239/SQRT(3)</f>
        <v>20.447822033799245</v>
      </c>
      <c r="G239" s="103">
        <f t="shared" ref="G239:G268" si="207">G$236</f>
        <v>12</v>
      </c>
      <c r="H239" s="296">
        <f t="shared" si="194"/>
        <v>140.93184000000002</v>
      </c>
      <c r="I239" s="104">
        <f t="shared" si="195"/>
        <v>244.10110728416782</v>
      </c>
      <c r="J239" s="180">
        <f t="shared" ref="J239:J268" si="208">J$236</f>
        <v>20</v>
      </c>
      <c r="K239" s="104">
        <f t="shared" si="196"/>
        <v>9.9599999999999991</v>
      </c>
      <c r="L239" s="428">
        <f t="shared" si="197"/>
        <v>4.25</v>
      </c>
      <c r="M239" s="106">
        <f t="shared" ref="M239:M268" si="209">M$235</f>
        <v>30</v>
      </c>
      <c r="N239" s="1060">
        <f t="shared" si="198"/>
        <v>26.582168643939021</v>
      </c>
      <c r="O239" s="101">
        <f>LOOKUP(N239,'Circuit Breakers'!$B$5:$B$38,'Circuit Breakers'!$C$5:$C$38)</f>
        <v>30</v>
      </c>
      <c r="P239" s="262">
        <f t="shared" si="199"/>
        <v>30</v>
      </c>
      <c r="Q239" s="1057">
        <f t="shared" ref="Q239:Q266" si="210">(1+P239/100)*K239</f>
        <v>12.947999999999999</v>
      </c>
      <c r="R239" s="1065">
        <f>LOOKUP(Q239,'Circuit Breakers'!$B$5:$B$38,'Circuit Breakers'!$C$5:$C$38)</f>
        <v>15</v>
      </c>
      <c r="S239" s="106">
        <f t="shared" si="200"/>
        <v>30</v>
      </c>
      <c r="T239" s="104">
        <f t="shared" ref="T239:T266" si="211">(1+S239/100)*D239</f>
        <v>13</v>
      </c>
      <c r="U239" s="477">
        <f>LOOKUP(T239,'Circuit Breakers'!$B$5:$B$38,'Circuit Breakers'!$C$5:$C$38)</f>
        <v>15</v>
      </c>
      <c r="V239" s="106">
        <f t="shared" ref="V239:V268" si="212">V$235</f>
        <v>15</v>
      </c>
      <c r="W239" s="104">
        <f t="shared" ref="W239:W266" si="213">(1+V239/100)*F239</f>
        <v>23.514995338869131</v>
      </c>
      <c r="X239" s="101" t="str">
        <f>LOOKUP(W239,'Wire-Cables Ampacities'!$B$5:$B$35,'Wire-Cables Ampacities'!$C$5:$C$35)</f>
        <v>#10</v>
      </c>
      <c r="Y239" s="106">
        <f t="shared" ref="Y239:Y268" si="214">Y$235</f>
        <v>10</v>
      </c>
      <c r="Z239" s="104">
        <f t="shared" ref="Z239:Z266" si="215">(1+Y239/100)*K239</f>
        <v>10.956</v>
      </c>
      <c r="AA239" s="101" t="str">
        <f>LOOKUP(Z239,'Wire-Cables Ampacities'!$B$5:$B$35,'Wire-Cables Ampacities'!$C$5:$C$35)</f>
        <v>#10</v>
      </c>
      <c r="AB239" s="106">
        <f t="shared" ref="AB239:AB268" si="216">AB$235</f>
        <v>10</v>
      </c>
      <c r="AC239" s="104">
        <f t="shared" ref="AC239:AC266" si="217">(1+AB239/100)*D239</f>
        <v>11</v>
      </c>
      <c r="AD239" s="101" t="str">
        <f>LOOKUP(AC239,'Wire-Cables Ampacities'!$B$5:$B$35,'Wire-Cables Ampacities'!$C$5:$C$35)</f>
        <v>#10</v>
      </c>
      <c r="AE239" s="107">
        <f t="shared" ref="AE239:AE266" si="218">(2*D239+0.07*L239*1000)/1000</f>
        <v>0.31750000000000006</v>
      </c>
      <c r="AF239" s="105">
        <f t="shared" si="201"/>
        <v>1083.3550850000001</v>
      </c>
      <c r="AG239" s="98">
        <f t="shared" ref="AG239:AI268" si="219">AG$235</f>
        <v>40</v>
      </c>
      <c r="AH239" s="99">
        <f t="shared" si="219"/>
        <v>55</v>
      </c>
      <c r="AI239" s="106">
        <f t="shared" si="219"/>
        <v>20</v>
      </c>
      <c r="AJ239" s="105">
        <f t="shared" ref="AJ239:AJ266" si="220">1760*AE239/(AH239-AG239)*(1+AI239/100)</f>
        <v>44.704000000000001</v>
      </c>
      <c r="AK239" s="272">
        <f t="shared" ref="AK239:AK266" si="221">AJ239/AK$19</f>
        <v>0.44703999999999999</v>
      </c>
      <c r="AL239" s="278">
        <f t="shared" ref="AL239:AL266" si="222">AJ239/AL$19</f>
        <v>0.22352</v>
      </c>
      <c r="AM239" s="109">
        <v>450</v>
      </c>
      <c r="AN239" s="104">
        <v>24</v>
      </c>
      <c r="AO239" s="110">
        <v>30</v>
      </c>
      <c r="AP239" s="110">
        <v>16</v>
      </c>
      <c r="AQ239" s="282">
        <f t="shared" ref="AQ239:AQ266" si="223">((2*AO239*AN239)+2*(AO239*AP239)+(AN239*AP239))/144</f>
        <v>19.333333333333332</v>
      </c>
      <c r="AR239" s="288">
        <f t="shared" si="202"/>
        <v>720.85508500000014</v>
      </c>
      <c r="AS239" s="93"/>
      <c r="AT239" s="4"/>
    </row>
    <row r="240" spans="1:46">
      <c r="A240" s="72">
        <f t="shared" si="203"/>
        <v>120</v>
      </c>
      <c r="B240" s="15">
        <v>2.4500000000000002</v>
      </c>
      <c r="C240" s="66">
        <f t="shared" si="204"/>
        <v>294</v>
      </c>
      <c r="D240" s="68">
        <v>15</v>
      </c>
      <c r="E240" s="66">
        <f t="shared" si="205"/>
        <v>120</v>
      </c>
      <c r="F240" s="45">
        <f t="shared" si="206"/>
        <v>31.273139581104729</v>
      </c>
      <c r="G240" s="94">
        <f t="shared" si="207"/>
        <v>12</v>
      </c>
      <c r="H240" s="295">
        <f t="shared" si="194"/>
        <v>140.93184000000002</v>
      </c>
      <c r="I240" s="25">
        <f t="shared" si="195"/>
        <v>244.10110728416782</v>
      </c>
      <c r="J240" s="52">
        <f t="shared" si="208"/>
        <v>20</v>
      </c>
      <c r="K240" s="25">
        <f t="shared" si="196"/>
        <v>14.94</v>
      </c>
      <c r="L240" s="427">
        <f t="shared" si="197"/>
        <v>6.5</v>
      </c>
      <c r="M240" s="64">
        <f t="shared" si="209"/>
        <v>30</v>
      </c>
      <c r="N240" s="838">
        <f t="shared" si="198"/>
        <v>40.655081455436147</v>
      </c>
      <c r="O240" s="68">
        <f>LOOKUP(N240,'Circuit Breakers'!$B$5:$B$38,'Circuit Breakers'!$C$5:$C$38)</f>
        <v>50</v>
      </c>
      <c r="P240" s="199">
        <f t="shared" si="199"/>
        <v>30</v>
      </c>
      <c r="Q240" s="1056">
        <f t="shared" si="210"/>
        <v>19.422000000000001</v>
      </c>
      <c r="R240" s="1064">
        <f>LOOKUP(Q240,'Circuit Breakers'!$B$5:$B$38,'Circuit Breakers'!$C$5:$C$38)</f>
        <v>20</v>
      </c>
      <c r="S240" s="64">
        <f t="shared" si="200"/>
        <v>30</v>
      </c>
      <c r="T240" s="25">
        <f t="shared" si="211"/>
        <v>19.5</v>
      </c>
      <c r="U240" s="158">
        <f>LOOKUP(T240,'Circuit Breakers'!$B$5:$B$38,'Circuit Breakers'!$C$5:$C$38)</f>
        <v>20</v>
      </c>
      <c r="V240" s="64">
        <f t="shared" si="212"/>
        <v>15</v>
      </c>
      <c r="W240" s="25">
        <f t="shared" si="213"/>
        <v>35.964110518270438</v>
      </c>
      <c r="X240" s="68" t="str">
        <f>LOOKUP(W240,'Wire-Cables Ampacities'!$B$5:$B$35,'Wire-Cables Ampacities'!$C$5:$C$35)</f>
        <v>#10</v>
      </c>
      <c r="Y240" s="64">
        <f t="shared" si="214"/>
        <v>10</v>
      </c>
      <c r="Z240" s="25">
        <f t="shared" si="215"/>
        <v>16.434000000000001</v>
      </c>
      <c r="AA240" s="68" t="str">
        <f>LOOKUP(Z240,'Wire-Cables Ampacities'!$B$5:$B$35,'Wire-Cables Ampacities'!$C$5:$C$35)</f>
        <v>#10</v>
      </c>
      <c r="AB240" s="64">
        <f t="shared" si="216"/>
        <v>10</v>
      </c>
      <c r="AC240" s="25">
        <f t="shared" si="217"/>
        <v>16.5</v>
      </c>
      <c r="AD240" s="68" t="str">
        <f>LOOKUP(AC240,'Wire-Cables Ampacities'!$B$5:$B$35,'Wire-Cables Ampacities'!$C$5:$C$35)</f>
        <v>#10</v>
      </c>
      <c r="AE240" s="81">
        <f t="shared" si="218"/>
        <v>0.48500000000000004</v>
      </c>
      <c r="AF240" s="56">
        <f t="shared" si="201"/>
        <v>1654.88887</v>
      </c>
      <c r="AG240" s="72">
        <f t="shared" si="219"/>
        <v>40</v>
      </c>
      <c r="AH240" s="15">
        <f t="shared" si="219"/>
        <v>55</v>
      </c>
      <c r="AI240" s="64">
        <f t="shared" si="219"/>
        <v>20</v>
      </c>
      <c r="AJ240" s="56">
        <f t="shared" si="220"/>
        <v>68.287999999999997</v>
      </c>
      <c r="AK240" s="271">
        <f t="shared" si="221"/>
        <v>0.68287999999999993</v>
      </c>
      <c r="AL240" s="277">
        <f t="shared" si="222"/>
        <v>0.34143999999999997</v>
      </c>
      <c r="AM240" s="58">
        <v>600</v>
      </c>
      <c r="AN240" s="25">
        <v>24</v>
      </c>
      <c r="AO240" s="3">
        <v>48</v>
      </c>
      <c r="AP240" s="3">
        <v>16</v>
      </c>
      <c r="AQ240" s="281">
        <f t="shared" si="223"/>
        <v>29.333333333333332</v>
      </c>
      <c r="AR240" s="287">
        <f t="shared" si="202"/>
        <v>1104.88887</v>
      </c>
      <c r="AS240" s="93"/>
      <c r="AT240" s="4"/>
    </row>
    <row r="241" spans="1:46">
      <c r="A241" s="72">
        <f t="shared" si="203"/>
        <v>120</v>
      </c>
      <c r="B241" s="15">
        <v>2.4500000000000002</v>
      </c>
      <c r="C241" s="66">
        <f t="shared" si="204"/>
        <v>294</v>
      </c>
      <c r="D241" s="68">
        <v>20</v>
      </c>
      <c r="E241" s="66">
        <f t="shared" si="205"/>
        <v>120</v>
      </c>
      <c r="F241" s="45">
        <f t="shared" si="206"/>
        <v>40.895644067598489</v>
      </c>
      <c r="G241" s="94">
        <f t="shared" si="207"/>
        <v>12</v>
      </c>
      <c r="H241" s="295">
        <f t="shared" si="194"/>
        <v>140.93184000000002</v>
      </c>
      <c r="I241" s="25">
        <f t="shared" si="195"/>
        <v>244.10110728416782</v>
      </c>
      <c r="J241" s="52">
        <f t="shared" si="208"/>
        <v>20</v>
      </c>
      <c r="K241" s="25">
        <f t="shared" si="196"/>
        <v>19.919999999999998</v>
      </c>
      <c r="L241" s="427">
        <f t="shared" si="197"/>
        <v>8.5</v>
      </c>
      <c r="M241" s="55">
        <f t="shared" si="209"/>
        <v>30</v>
      </c>
      <c r="N241" s="838">
        <f t="shared" si="198"/>
        <v>53.164337287878041</v>
      </c>
      <c r="O241" s="68">
        <f>LOOKUP(N241,'Circuit Breakers'!$B$5:$B$38,'Circuit Breakers'!$C$5:$C$38)</f>
        <v>60</v>
      </c>
      <c r="P241" s="199">
        <f t="shared" si="199"/>
        <v>30</v>
      </c>
      <c r="Q241" s="1056">
        <f t="shared" si="210"/>
        <v>25.895999999999997</v>
      </c>
      <c r="R241" s="1064">
        <f>LOOKUP(Q241,'Circuit Breakers'!$B$5:$B$38,'Circuit Breakers'!$C$5:$C$38)</f>
        <v>30</v>
      </c>
      <c r="S241" s="64">
        <f t="shared" si="200"/>
        <v>30</v>
      </c>
      <c r="T241" s="25">
        <f t="shared" si="211"/>
        <v>26</v>
      </c>
      <c r="U241" s="158">
        <f>LOOKUP(T241,'Circuit Breakers'!$B$5:$B$38,'Circuit Breakers'!$C$5:$C$38)</f>
        <v>30</v>
      </c>
      <c r="V241" s="64">
        <f t="shared" si="212"/>
        <v>15</v>
      </c>
      <c r="W241" s="25">
        <f t="shared" si="213"/>
        <v>47.029990677738262</v>
      </c>
      <c r="X241" s="68" t="str">
        <f>LOOKUP(W241,'Wire-Cables Ampacities'!$B$5:$B$35,'Wire-Cables Ampacities'!$C$5:$C$35)</f>
        <v>#8</v>
      </c>
      <c r="Y241" s="64">
        <f t="shared" si="214"/>
        <v>10</v>
      </c>
      <c r="Z241" s="25">
        <f t="shared" si="215"/>
        <v>21.911999999999999</v>
      </c>
      <c r="AA241" s="68" t="str">
        <f>LOOKUP(Z241,'Wire-Cables Ampacities'!$B$5:$B$35,'Wire-Cables Ampacities'!$C$5:$C$35)</f>
        <v>#10</v>
      </c>
      <c r="AB241" s="64">
        <f t="shared" si="216"/>
        <v>10</v>
      </c>
      <c r="AC241" s="25">
        <f t="shared" si="217"/>
        <v>22</v>
      </c>
      <c r="AD241" s="68" t="str">
        <f>LOOKUP(AC241,'Wire-Cables Ampacities'!$B$5:$B$35,'Wire-Cables Ampacities'!$C$5:$C$35)</f>
        <v>#10</v>
      </c>
      <c r="AE241" s="81">
        <f t="shared" si="218"/>
        <v>0.63500000000000012</v>
      </c>
      <c r="AF241" s="56">
        <f t="shared" si="201"/>
        <v>2166.7101700000003</v>
      </c>
      <c r="AG241" s="72">
        <f t="shared" si="219"/>
        <v>40</v>
      </c>
      <c r="AH241" s="15">
        <f t="shared" si="219"/>
        <v>55</v>
      </c>
      <c r="AI241" s="64">
        <f t="shared" si="219"/>
        <v>20</v>
      </c>
      <c r="AJ241" s="56">
        <f t="shared" si="220"/>
        <v>89.408000000000001</v>
      </c>
      <c r="AK241" s="271">
        <f t="shared" si="221"/>
        <v>0.89407999999999999</v>
      </c>
      <c r="AL241" s="277">
        <f t="shared" si="222"/>
        <v>0.44703999999999999</v>
      </c>
      <c r="AM241" s="58">
        <v>600</v>
      </c>
      <c r="AN241" s="25">
        <v>24</v>
      </c>
      <c r="AO241" s="3">
        <v>48</v>
      </c>
      <c r="AP241" s="3">
        <v>16</v>
      </c>
      <c r="AQ241" s="281">
        <f t="shared" si="223"/>
        <v>29.333333333333332</v>
      </c>
      <c r="AR241" s="287">
        <f t="shared" si="202"/>
        <v>1616.7101700000003</v>
      </c>
      <c r="AS241" s="93"/>
      <c r="AT241" s="4"/>
    </row>
    <row r="242" spans="1:46">
      <c r="A242" s="98">
        <f t="shared" si="203"/>
        <v>120</v>
      </c>
      <c r="B242" s="99">
        <v>2.4500000000000002</v>
      </c>
      <c r="C242" s="100">
        <f t="shared" si="204"/>
        <v>294</v>
      </c>
      <c r="D242" s="101">
        <v>25</v>
      </c>
      <c r="E242" s="100">
        <f t="shared" si="205"/>
        <v>208</v>
      </c>
      <c r="F242" s="102">
        <f t="shared" si="206"/>
        <v>30.53294692829752</v>
      </c>
      <c r="G242" s="103">
        <f t="shared" si="207"/>
        <v>12</v>
      </c>
      <c r="H242" s="296">
        <f t="shared" si="194"/>
        <v>140.93184000000002</v>
      </c>
      <c r="I242" s="104">
        <f t="shared" si="195"/>
        <v>244.10110728416782</v>
      </c>
      <c r="J242" s="180">
        <f t="shared" si="208"/>
        <v>20</v>
      </c>
      <c r="K242" s="104">
        <f t="shared" si="196"/>
        <v>24.9</v>
      </c>
      <c r="L242" s="263">
        <f t="shared" si="197"/>
        <v>11</v>
      </c>
      <c r="M242" s="106">
        <f t="shared" si="209"/>
        <v>30</v>
      </c>
      <c r="N242" s="1060">
        <f t="shared" si="198"/>
        <v>39.692831006786776</v>
      </c>
      <c r="O242" s="101">
        <f>LOOKUP(N242,'Circuit Breakers'!$B$5:$B$38,'Circuit Breakers'!$C$5:$C$38)</f>
        <v>40</v>
      </c>
      <c r="P242" s="262">
        <f t="shared" si="199"/>
        <v>30</v>
      </c>
      <c r="Q242" s="1057">
        <f t="shared" si="210"/>
        <v>32.369999999999997</v>
      </c>
      <c r="R242" s="1065">
        <f>LOOKUP(Q242,'Circuit Breakers'!$B$5:$B$38,'Circuit Breakers'!$C$5:$C$38)</f>
        <v>40</v>
      </c>
      <c r="S242" s="106">
        <f t="shared" si="200"/>
        <v>30</v>
      </c>
      <c r="T242" s="104">
        <f t="shared" si="211"/>
        <v>32.5</v>
      </c>
      <c r="U242" s="477">
        <f>LOOKUP(T242,'Circuit Breakers'!$B$5:$B$38,'Circuit Breakers'!$C$5:$C$38)</f>
        <v>40</v>
      </c>
      <c r="V242" s="106">
        <f t="shared" si="212"/>
        <v>15</v>
      </c>
      <c r="W242" s="104">
        <f t="shared" si="213"/>
        <v>35.112888967542148</v>
      </c>
      <c r="X242" s="101" t="str">
        <f>LOOKUP(W242,'Wire-Cables Ampacities'!$B$5:$B$35,'Wire-Cables Ampacities'!$C$5:$C$35)</f>
        <v>#10</v>
      </c>
      <c r="Y242" s="106">
        <f t="shared" si="214"/>
        <v>10</v>
      </c>
      <c r="Z242" s="104">
        <f t="shared" si="215"/>
        <v>27.39</v>
      </c>
      <c r="AA242" s="101" t="str">
        <f>LOOKUP(Z242,'Wire-Cables Ampacities'!$B$5:$B$35,'Wire-Cables Ampacities'!$C$5:$C$35)</f>
        <v>#10</v>
      </c>
      <c r="AB242" s="106">
        <f t="shared" si="216"/>
        <v>10</v>
      </c>
      <c r="AC242" s="104">
        <f t="shared" si="217"/>
        <v>27.500000000000004</v>
      </c>
      <c r="AD242" s="101" t="str">
        <f>LOOKUP(AC242,'Wire-Cables Ampacities'!$B$5:$B$35,'Wire-Cables Ampacities'!$C$5:$C$35)</f>
        <v>#10</v>
      </c>
      <c r="AE242" s="107">
        <f t="shared" si="218"/>
        <v>0.82</v>
      </c>
      <c r="AF242" s="105">
        <f t="shared" si="201"/>
        <v>2797.9564399999995</v>
      </c>
      <c r="AG242" s="98">
        <f t="shared" si="219"/>
        <v>40</v>
      </c>
      <c r="AH242" s="99">
        <f t="shared" si="219"/>
        <v>55</v>
      </c>
      <c r="AI242" s="106">
        <f t="shared" si="219"/>
        <v>20</v>
      </c>
      <c r="AJ242" s="105">
        <f t="shared" si="220"/>
        <v>115.45599999999999</v>
      </c>
      <c r="AK242" s="272">
        <f t="shared" si="221"/>
        <v>1.1545599999999998</v>
      </c>
      <c r="AL242" s="278">
        <f t="shared" si="222"/>
        <v>0.5772799999999999</v>
      </c>
      <c r="AM242" s="109">
        <v>600</v>
      </c>
      <c r="AN242" s="104">
        <v>24</v>
      </c>
      <c r="AO242" s="110">
        <v>48</v>
      </c>
      <c r="AP242" s="110">
        <v>16</v>
      </c>
      <c r="AQ242" s="282">
        <f t="shared" si="223"/>
        <v>29.333333333333332</v>
      </c>
      <c r="AR242" s="288">
        <f t="shared" si="202"/>
        <v>2247.9564399999995</v>
      </c>
      <c r="AS242" s="93"/>
      <c r="AT242" s="4"/>
    </row>
    <row r="243" spans="1:46">
      <c r="A243" s="72">
        <f t="shared" si="203"/>
        <v>120</v>
      </c>
      <c r="B243" s="15">
        <v>2.4500000000000002</v>
      </c>
      <c r="C243" s="66">
        <f t="shared" si="204"/>
        <v>294</v>
      </c>
      <c r="D243" s="68">
        <v>30</v>
      </c>
      <c r="E243" s="66">
        <f t="shared" si="205"/>
        <v>208</v>
      </c>
      <c r="F243" s="45">
        <f t="shared" si="206"/>
        <v>36.084391824351613</v>
      </c>
      <c r="G243" s="94">
        <f t="shared" si="207"/>
        <v>12</v>
      </c>
      <c r="H243" s="295">
        <f t="shared" si="194"/>
        <v>140.93184000000002</v>
      </c>
      <c r="I243" s="25">
        <f t="shared" si="195"/>
        <v>244.10110728416782</v>
      </c>
      <c r="J243" s="52">
        <f t="shared" si="208"/>
        <v>20</v>
      </c>
      <c r="K243" s="25">
        <f t="shared" si="196"/>
        <v>29.88</v>
      </c>
      <c r="L243" s="157">
        <f t="shared" si="197"/>
        <v>13</v>
      </c>
      <c r="M243" s="64">
        <f t="shared" si="209"/>
        <v>30</v>
      </c>
      <c r="N243" s="838">
        <f t="shared" si="198"/>
        <v>46.909709371657101</v>
      </c>
      <c r="O243" s="68">
        <f>LOOKUP(N243,'Circuit Breakers'!$B$5:$B$38,'Circuit Breakers'!$C$5:$C$38)</f>
        <v>50</v>
      </c>
      <c r="P243" s="199">
        <f t="shared" si="199"/>
        <v>30</v>
      </c>
      <c r="Q243" s="1056">
        <f t="shared" si="210"/>
        <v>38.844000000000001</v>
      </c>
      <c r="R243" s="1064">
        <f>LOOKUP(Q243,'Circuit Breakers'!$B$5:$B$38,'Circuit Breakers'!$C$5:$C$38)</f>
        <v>40</v>
      </c>
      <c r="S243" s="64">
        <f t="shared" si="200"/>
        <v>30</v>
      </c>
      <c r="T243" s="25">
        <f t="shared" si="211"/>
        <v>39</v>
      </c>
      <c r="U243" s="158">
        <f>LOOKUP(T243,'Circuit Breakers'!$B$5:$B$38,'Circuit Breakers'!$C$5:$C$38)</f>
        <v>40</v>
      </c>
      <c r="V243" s="64">
        <f t="shared" si="212"/>
        <v>15</v>
      </c>
      <c r="W243" s="25">
        <f t="shared" si="213"/>
        <v>41.49705059800435</v>
      </c>
      <c r="X243" s="68" t="str">
        <f>LOOKUP(W243,'Wire-Cables Ampacities'!$B$5:$B$35,'Wire-Cables Ampacities'!$C$5:$C$35)</f>
        <v>#8</v>
      </c>
      <c r="Y243" s="64">
        <f t="shared" si="214"/>
        <v>10</v>
      </c>
      <c r="Z243" s="25">
        <f t="shared" si="215"/>
        <v>32.868000000000002</v>
      </c>
      <c r="AA243" s="68" t="str">
        <f>LOOKUP(Z243,'Wire-Cables Ampacities'!$B$5:$B$35,'Wire-Cables Ampacities'!$C$5:$C$35)</f>
        <v>#10</v>
      </c>
      <c r="AB243" s="64">
        <f t="shared" si="216"/>
        <v>10</v>
      </c>
      <c r="AC243" s="25">
        <f t="shared" si="217"/>
        <v>33</v>
      </c>
      <c r="AD243" s="68" t="str">
        <f>LOOKUP(AC243,'Wire-Cables Ampacities'!$B$5:$B$35,'Wire-Cables Ampacities'!$C$5:$C$35)</f>
        <v>#10</v>
      </c>
      <c r="AE243" s="81">
        <f t="shared" si="218"/>
        <v>0.97000000000000008</v>
      </c>
      <c r="AF243" s="56">
        <f t="shared" si="201"/>
        <v>3309.77774</v>
      </c>
      <c r="AG243" s="72">
        <f t="shared" si="219"/>
        <v>40</v>
      </c>
      <c r="AH243" s="15">
        <f t="shared" si="219"/>
        <v>55</v>
      </c>
      <c r="AI243" s="64">
        <f t="shared" si="219"/>
        <v>20</v>
      </c>
      <c r="AJ243" s="56">
        <f t="shared" si="220"/>
        <v>136.57599999999999</v>
      </c>
      <c r="AK243" s="271">
        <f t="shared" si="221"/>
        <v>1.3657599999999999</v>
      </c>
      <c r="AL243" s="277">
        <f t="shared" si="222"/>
        <v>0.68287999999999993</v>
      </c>
      <c r="AM243" s="58">
        <v>600</v>
      </c>
      <c r="AN243" s="25">
        <v>24</v>
      </c>
      <c r="AO243" s="3">
        <v>48</v>
      </c>
      <c r="AP243" s="3">
        <v>16</v>
      </c>
      <c r="AQ243" s="281">
        <f t="shared" si="223"/>
        <v>29.333333333333332</v>
      </c>
      <c r="AR243" s="287">
        <f t="shared" si="202"/>
        <v>2759.77774</v>
      </c>
      <c r="AS243" s="93"/>
      <c r="AT243" s="4"/>
    </row>
    <row r="244" spans="1:46">
      <c r="A244" s="72">
        <f t="shared" si="203"/>
        <v>120</v>
      </c>
      <c r="B244" s="15">
        <v>2.4500000000000002</v>
      </c>
      <c r="C244" s="66">
        <f t="shared" si="204"/>
        <v>294</v>
      </c>
      <c r="D244" s="68">
        <v>35</v>
      </c>
      <c r="E244" s="66">
        <f t="shared" si="205"/>
        <v>208</v>
      </c>
      <c r="F244" s="45">
        <f t="shared" si="206"/>
        <v>41.635836720405706</v>
      </c>
      <c r="G244" s="94">
        <f t="shared" si="207"/>
        <v>12</v>
      </c>
      <c r="H244" s="295">
        <f t="shared" si="194"/>
        <v>140.93184000000002</v>
      </c>
      <c r="I244" s="25">
        <f t="shared" si="195"/>
        <v>244.10110728416782</v>
      </c>
      <c r="J244" s="52">
        <f t="shared" si="208"/>
        <v>20</v>
      </c>
      <c r="K244" s="25">
        <f t="shared" si="196"/>
        <v>34.86</v>
      </c>
      <c r="L244" s="157">
        <f t="shared" si="197"/>
        <v>15</v>
      </c>
      <c r="M244" s="64">
        <f t="shared" si="209"/>
        <v>30</v>
      </c>
      <c r="N244" s="838">
        <f t="shared" si="198"/>
        <v>54.126587736527419</v>
      </c>
      <c r="O244" s="68">
        <f>LOOKUP(N244,'Circuit Breakers'!$B$5:$B$38,'Circuit Breakers'!$C$5:$C$38)</f>
        <v>60</v>
      </c>
      <c r="P244" s="199">
        <f t="shared" si="199"/>
        <v>30</v>
      </c>
      <c r="Q244" s="1056">
        <f t="shared" si="210"/>
        <v>45.317999999999998</v>
      </c>
      <c r="R244" s="1064">
        <f>LOOKUP(Q244,'Circuit Breakers'!$B$5:$B$38,'Circuit Breakers'!$C$5:$C$38)</f>
        <v>50</v>
      </c>
      <c r="S244" s="64">
        <f t="shared" si="200"/>
        <v>30</v>
      </c>
      <c r="T244" s="25">
        <f t="shared" si="211"/>
        <v>45.5</v>
      </c>
      <c r="U244" s="158">
        <f>LOOKUP(T244,'Circuit Breakers'!$B$5:$B$38,'Circuit Breakers'!$C$5:$C$38)</f>
        <v>50</v>
      </c>
      <c r="V244" s="64">
        <f t="shared" si="212"/>
        <v>15</v>
      </c>
      <c r="W244" s="25">
        <f t="shared" si="213"/>
        <v>47.881212228466559</v>
      </c>
      <c r="X244" s="68" t="str">
        <f>LOOKUP(W244,'Wire-Cables Ampacities'!$B$5:$B$35,'Wire-Cables Ampacities'!$C$5:$C$35)</f>
        <v>#8</v>
      </c>
      <c r="Y244" s="64">
        <f t="shared" si="214"/>
        <v>10</v>
      </c>
      <c r="Z244" s="25">
        <f t="shared" si="215"/>
        <v>38.346000000000004</v>
      </c>
      <c r="AA244" s="68" t="str">
        <f>LOOKUP(Z244,'Wire-Cables Ampacities'!$B$5:$B$35,'Wire-Cables Ampacities'!$C$5:$C$35)</f>
        <v>#10</v>
      </c>
      <c r="AB244" s="64">
        <f t="shared" si="216"/>
        <v>10</v>
      </c>
      <c r="AC244" s="25">
        <f t="shared" si="217"/>
        <v>38.5</v>
      </c>
      <c r="AD244" s="68" t="str">
        <f>LOOKUP(AC244,'Wire-Cables Ampacities'!$B$5:$B$35,'Wire-Cables Ampacities'!$C$5:$C$35)</f>
        <v>#10</v>
      </c>
      <c r="AE244" s="81">
        <f t="shared" si="218"/>
        <v>1.1200000000000001</v>
      </c>
      <c r="AF244" s="56">
        <f t="shared" si="201"/>
        <v>3821.5990400000001</v>
      </c>
      <c r="AG244" s="72">
        <f t="shared" si="219"/>
        <v>40</v>
      </c>
      <c r="AH244" s="15">
        <f t="shared" si="219"/>
        <v>55</v>
      </c>
      <c r="AI244" s="64">
        <f t="shared" si="219"/>
        <v>20</v>
      </c>
      <c r="AJ244" s="56">
        <f t="shared" si="220"/>
        <v>157.69600000000003</v>
      </c>
      <c r="AK244" s="271">
        <f t="shared" si="221"/>
        <v>1.5769600000000004</v>
      </c>
      <c r="AL244" s="277">
        <f t="shared" si="222"/>
        <v>0.78848000000000018</v>
      </c>
      <c r="AM244" s="58">
        <v>600</v>
      </c>
      <c r="AN244" s="25">
        <v>24</v>
      </c>
      <c r="AO244" s="3">
        <v>48</v>
      </c>
      <c r="AP244" s="3">
        <v>16</v>
      </c>
      <c r="AQ244" s="281">
        <f t="shared" si="223"/>
        <v>29.333333333333332</v>
      </c>
      <c r="AR244" s="287">
        <f t="shared" si="202"/>
        <v>3271.5990400000001</v>
      </c>
      <c r="AS244" s="93"/>
      <c r="AT244" s="4"/>
    </row>
    <row r="245" spans="1:46">
      <c r="A245" s="98">
        <f t="shared" si="203"/>
        <v>120</v>
      </c>
      <c r="B245" s="99">
        <v>2.4500000000000002</v>
      </c>
      <c r="C245" s="100">
        <f t="shared" si="204"/>
        <v>294</v>
      </c>
      <c r="D245" s="101">
        <v>40</v>
      </c>
      <c r="E245" s="100">
        <f t="shared" si="205"/>
        <v>240</v>
      </c>
      <c r="F245" s="102">
        <f t="shared" si="206"/>
        <v>40.895644067598489</v>
      </c>
      <c r="G245" s="103">
        <f t="shared" si="207"/>
        <v>12</v>
      </c>
      <c r="H245" s="296">
        <f t="shared" si="194"/>
        <v>140.93184000000002</v>
      </c>
      <c r="I245" s="104">
        <f t="shared" si="195"/>
        <v>244.10110728416782</v>
      </c>
      <c r="J245" s="180">
        <f t="shared" si="208"/>
        <v>20</v>
      </c>
      <c r="K245" s="104">
        <f t="shared" si="196"/>
        <v>39.839999999999996</v>
      </c>
      <c r="L245" s="263">
        <f t="shared" si="197"/>
        <v>17</v>
      </c>
      <c r="M245" s="106">
        <f t="shared" si="209"/>
        <v>30</v>
      </c>
      <c r="N245" s="1060">
        <f t="shared" si="198"/>
        <v>53.164337287878041</v>
      </c>
      <c r="O245" s="101">
        <f>LOOKUP(N245,'Circuit Breakers'!$B$5:$B$38,'Circuit Breakers'!$C$5:$C$38)</f>
        <v>60</v>
      </c>
      <c r="P245" s="262">
        <f t="shared" si="199"/>
        <v>30</v>
      </c>
      <c r="Q245" s="1057">
        <f t="shared" si="210"/>
        <v>51.791999999999994</v>
      </c>
      <c r="R245" s="1065">
        <f>LOOKUP(Q245,'Circuit Breakers'!$B$5:$B$38,'Circuit Breakers'!$C$5:$C$38)</f>
        <v>60</v>
      </c>
      <c r="S245" s="106">
        <f t="shared" si="200"/>
        <v>30</v>
      </c>
      <c r="T245" s="104">
        <f t="shared" si="211"/>
        <v>52</v>
      </c>
      <c r="U245" s="477">
        <f>LOOKUP(T245,'Circuit Breakers'!$B$5:$B$38,'Circuit Breakers'!$C$5:$C$38)</f>
        <v>60</v>
      </c>
      <c r="V245" s="106">
        <f t="shared" si="212"/>
        <v>15</v>
      </c>
      <c r="W245" s="104">
        <f t="shared" si="213"/>
        <v>47.029990677738262</v>
      </c>
      <c r="X245" s="101" t="str">
        <f>LOOKUP(W245,'Wire-Cables Ampacities'!$B$5:$B$35,'Wire-Cables Ampacities'!$C$5:$C$35)</f>
        <v>#8</v>
      </c>
      <c r="Y245" s="106">
        <f t="shared" si="214"/>
        <v>10</v>
      </c>
      <c r="Z245" s="104">
        <f t="shared" si="215"/>
        <v>43.823999999999998</v>
      </c>
      <c r="AA245" s="101" t="str">
        <f>LOOKUP(Z245,'Wire-Cables Ampacities'!$B$5:$B$35,'Wire-Cables Ampacities'!$C$5:$C$35)</f>
        <v>#8</v>
      </c>
      <c r="AB245" s="106">
        <f t="shared" si="216"/>
        <v>10</v>
      </c>
      <c r="AC245" s="104">
        <f t="shared" si="217"/>
        <v>44</v>
      </c>
      <c r="AD245" s="101" t="str">
        <f>LOOKUP(AC245,'Wire-Cables Ampacities'!$B$5:$B$35,'Wire-Cables Ampacities'!$C$5:$C$35)</f>
        <v>#8</v>
      </c>
      <c r="AE245" s="107">
        <f t="shared" si="218"/>
        <v>1.2700000000000002</v>
      </c>
      <c r="AF245" s="105">
        <f t="shared" si="201"/>
        <v>4333.4203400000006</v>
      </c>
      <c r="AG245" s="98">
        <f t="shared" si="219"/>
        <v>40</v>
      </c>
      <c r="AH245" s="99">
        <f t="shared" si="219"/>
        <v>55</v>
      </c>
      <c r="AI245" s="106">
        <f t="shared" si="219"/>
        <v>20</v>
      </c>
      <c r="AJ245" s="105">
        <f t="shared" si="220"/>
        <v>178.816</v>
      </c>
      <c r="AK245" s="272">
        <f t="shared" si="221"/>
        <v>1.78816</v>
      </c>
      <c r="AL245" s="278">
        <f t="shared" si="222"/>
        <v>0.89407999999999999</v>
      </c>
      <c r="AM245" s="109">
        <v>600</v>
      </c>
      <c r="AN245" s="104">
        <v>24</v>
      </c>
      <c r="AO245" s="110">
        <v>48</v>
      </c>
      <c r="AP245" s="110">
        <v>16</v>
      </c>
      <c r="AQ245" s="282">
        <f t="shared" si="223"/>
        <v>29.333333333333332</v>
      </c>
      <c r="AR245" s="288">
        <f t="shared" si="202"/>
        <v>3783.4203400000006</v>
      </c>
      <c r="AS245" s="93"/>
      <c r="AT245" s="4"/>
    </row>
    <row r="246" spans="1:46">
      <c r="A246" s="72">
        <f t="shared" si="203"/>
        <v>120</v>
      </c>
      <c r="B246" s="15">
        <v>2.4500000000000002</v>
      </c>
      <c r="C246" s="66">
        <f t="shared" si="204"/>
        <v>294</v>
      </c>
      <c r="D246" s="68">
        <v>50</v>
      </c>
      <c r="E246" s="66">
        <f t="shared" si="205"/>
        <v>480</v>
      </c>
      <c r="F246" s="45">
        <f t="shared" si="206"/>
        <v>26.461887337857849</v>
      </c>
      <c r="G246" s="94">
        <f t="shared" si="207"/>
        <v>12</v>
      </c>
      <c r="H246" s="295">
        <f t="shared" si="194"/>
        <v>140.93184000000002</v>
      </c>
      <c r="I246" s="25">
        <f t="shared" si="195"/>
        <v>244.10110728416782</v>
      </c>
      <c r="J246" s="52">
        <f t="shared" si="208"/>
        <v>20</v>
      </c>
      <c r="K246" s="25">
        <f t="shared" si="196"/>
        <v>49.8</v>
      </c>
      <c r="L246" s="157">
        <f t="shared" si="197"/>
        <v>22</v>
      </c>
      <c r="M246" s="64">
        <f t="shared" si="209"/>
        <v>30</v>
      </c>
      <c r="N246" s="838">
        <f t="shared" si="198"/>
        <v>34.400453539215206</v>
      </c>
      <c r="O246" s="68">
        <f>LOOKUP(N246,'Circuit Breakers'!$B$5:$B$38,'Circuit Breakers'!$C$5:$C$38)</f>
        <v>40</v>
      </c>
      <c r="P246" s="199">
        <f t="shared" si="199"/>
        <v>30</v>
      </c>
      <c r="Q246" s="1056">
        <f t="shared" si="210"/>
        <v>64.739999999999995</v>
      </c>
      <c r="R246" s="1064">
        <f>LOOKUP(Q246,'Circuit Breakers'!$B$5:$B$38,'Circuit Breakers'!$C$5:$C$38)</f>
        <v>70</v>
      </c>
      <c r="S246" s="64">
        <f t="shared" si="200"/>
        <v>30</v>
      </c>
      <c r="T246" s="25">
        <f t="shared" si="211"/>
        <v>65</v>
      </c>
      <c r="U246" s="158">
        <f>LOOKUP(T246,'Circuit Breakers'!$B$5:$B$38,'Circuit Breakers'!$C$5:$C$38)</f>
        <v>70</v>
      </c>
      <c r="V246" s="64">
        <f t="shared" si="212"/>
        <v>15</v>
      </c>
      <c r="W246" s="25">
        <f t="shared" si="213"/>
        <v>30.431170438536522</v>
      </c>
      <c r="X246" s="68" t="str">
        <f>LOOKUP(W246,'Wire-Cables Ampacities'!$B$5:$B$35,'Wire-Cables Ampacities'!$C$5:$C$35)</f>
        <v>#10</v>
      </c>
      <c r="Y246" s="64">
        <f t="shared" si="214"/>
        <v>10</v>
      </c>
      <c r="Z246" s="25">
        <f t="shared" si="215"/>
        <v>54.78</v>
      </c>
      <c r="AA246" s="68" t="str">
        <f>LOOKUP(Z246,'Wire-Cables Ampacities'!$B$5:$B$35,'Wire-Cables Ampacities'!$C$5:$C$35)</f>
        <v>#8</v>
      </c>
      <c r="AB246" s="64">
        <f t="shared" si="216"/>
        <v>10</v>
      </c>
      <c r="AC246" s="25">
        <f t="shared" si="217"/>
        <v>55.000000000000007</v>
      </c>
      <c r="AD246" s="68" t="str">
        <f>LOOKUP(AC246,'Wire-Cables Ampacities'!$B$5:$B$35,'Wire-Cables Ampacities'!$C$5:$C$35)</f>
        <v>#8</v>
      </c>
      <c r="AE246" s="81">
        <f t="shared" si="218"/>
        <v>1.64</v>
      </c>
      <c r="AF246" s="56">
        <f t="shared" si="201"/>
        <v>5595.9128799999989</v>
      </c>
      <c r="AG246" s="72">
        <f t="shared" si="219"/>
        <v>40</v>
      </c>
      <c r="AH246" s="15">
        <f t="shared" si="219"/>
        <v>55</v>
      </c>
      <c r="AI246" s="64">
        <f t="shared" si="219"/>
        <v>20</v>
      </c>
      <c r="AJ246" s="56">
        <f t="shared" si="220"/>
        <v>230.91199999999998</v>
      </c>
      <c r="AK246" s="271">
        <f t="shared" si="221"/>
        <v>2.3091199999999996</v>
      </c>
      <c r="AL246" s="277">
        <f t="shared" si="222"/>
        <v>1.1545599999999998</v>
      </c>
      <c r="AM246" s="58">
        <v>800</v>
      </c>
      <c r="AN246" s="25">
        <v>34</v>
      </c>
      <c r="AO246" s="3">
        <v>48</v>
      </c>
      <c r="AP246" s="3">
        <v>28</v>
      </c>
      <c r="AQ246" s="281">
        <f t="shared" si="223"/>
        <v>47.944444444444443</v>
      </c>
      <c r="AR246" s="287">
        <f t="shared" si="202"/>
        <v>4696.9545466666659</v>
      </c>
      <c r="AS246" s="93"/>
      <c r="AT246" s="4"/>
    </row>
    <row r="247" spans="1:46">
      <c r="A247" s="72">
        <f t="shared" si="203"/>
        <v>120</v>
      </c>
      <c r="B247" s="15">
        <v>2.4500000000000002</v>
      </c>
      <c r="C247" s="66">
        <f t="shared" si="204"/>
        <v>294</v>
      </c>
      <c r="D247" s="68">
        <v>60</v>
      </c>
      <c r="E247" s="66">
        <f t="shared" si="205"/>
        <v>480</v>
      </c>
      <c r="F247" s="45">
        <f t="shared" si="206"/>
        <v>31.273139581104729</v>
      </c>
      <c r="G247" s="94">
        <f t="shared" si="207"/>
        <v>12</v>
      </c>
      <c r="H247" s="295">
        <f t="shared" si="194"/>
        <v>140.93184000000002</v>
      </c>
      <c r="I247" s="25">
        <f t="shared" si="195"/>
        <v>244.10110728416782</v>
      </c>
      <c r="J247" s="52">
        <f t="shared" si="208"/>
        <v>20</v>
      </c>
      <c r="K247" s="25">
        <f t="shared" si="196"/>
        <v>59.76</v>
      </c>
      <c r="L247" s="157">
        <f t="shared" si="197"/>
        <v>26</v>
      </c>
      <c r="M247" s="64">
        <f t="shared" si="209"/>
        <v>30</v>
      </c>
      <c r="N247" s="838">
        <f t="shared" si="198"/>
        <v>40.655081455436147</v>
      </c>
      <c r="O247" s="68">
        <f>LOOKUP(N247,'Circuit Breakers'!$B$5:$B$38,'Circuit Breakers'!$C$5:$C$38)</f>
        <v>50</v>
      </c>
      <c r="P247" s="199">
        <f t="shared" si="199"/>
        <v>30</v>
      </c>
      <c r="Q247" s="1056">
        <f t="shared" si="210"/>
        <v>77.688000000000002</v>
      </c>
      <c r="R247" s="1064">
        <f>LOOKUP(Q247,'Circuit Breakers'!$B$5:$B$38,'Circuit Breakers'!$C$5:$C$38)</f>
        <v>80</v>
      </c>
      <c r="S247" s="64">
        <f t="shared" si="200"/>
        <v>30</v>
      </c>
      <c r="T247" s="25">
        <f t="shared" si="211"/>
        <v>78</v>
      </c>
      <c r="U247" s="158">
        <f>LOOKUP(T247,'Circuit Breakers'!$B$5:$B$38,'Circuit Breakers'!$C$5:$C$38)</f>
        <v>80</v>
      </c>
      <c r="V247" s="64">
        <f t="shared" si="212"/>
        <v>15</v>
      </c>
      <c r="W247" s="25">
        <f t="shared" si="213"/>
        <v>35.964110518270438</v>
      </c>
      <c r="X247" s="68" t="str">
        <f>LOOKUP(W247,'Wire-Cables Ampacities'!$B$5:$B$35,'Wire-Cables Ampacities'!$C$5:$C$35)</f>
        <v>#10</v>
      </c>
      <c r="Y247" s="64">
        <f t="shared" si="214"/>
        <v>10</v>
      </c>
      <c r="Z247" s="25">
        <f t="shared" si="215"/>
        <v>65.736000000000004</v>
      </c>
      <c r="AA247" s="68" t="str">
        <f>LOOKUP(Z247,'Wire-Cables Ampacities'!$B$5:$B$35,'Wire-Cables Ampacities'!$C$5:$C$35)</f>
        <v>#6</v>
      </c>
      <c r="AB247" s="64">
        <f t="shared" si="216"/>
        <v>10</v>
      </c>
      <c r="AC247" s="25">
        <f t="shared" si="217"/>
        <v>66</v>
      </c>
      <c r="AD247" s="68" t="str">
        <f>LOOKUP(AC247,'Wire-Cables Ampacities'!$B$5:$B$35,'Wire-Cables Ampacities'!$C$5:$C$35)</f>
        <v>#6</v>
      </c>
      <c r="AE247" s="81">
        <f t="shared" si="218"/>
        <v>1.9400000000000002</v>
      </c>
      <c r="AF247" s="56">
        <f t="shared" si="201"/>
        <v>6619.55548</v>
      </c>
      <c r="AG247" s="72">
        <f t="shared" si="219"/>
        <v>40</v>
      </c>
      <c r="AH247" s="15">
        <f t="shared" si="219"/>
        <v>55</v>
      </c>
      <c r="AI247" s="64">
        <f t="shared" si="219"/>
        <v>20</v>
      </c>
      <c r="AJ247" s="56">
        <f t="shared" si="220"/>
        <v>273.15199999999999</v>
      </c>
      <c r="AK247" s="271">
        <f t="shared" si="221"/>
        <v>2.7315199999999997</v>
      </c>
      <c r="AL247" s="277">
        <f t="shared" si="222"/>
        <v>1.3657599999999999</v>
      </c>
      <c r="AM247" s="58">
        <v>800</v>
      </c>
      <c r="AN247" s="25">
        <v>34</v>
      </c>
      <c r="AO247" s="3">
        <v>48</v>
      </c>
      <c r="AP247" s="3">
        <v>28</v>
      </c>
      <c r="AQ247" s="281">
        <f t="shared" si="223"/>
        <v>47.944444444444443</v>
      </c>
      <c r="AR247" s="287">
        <f t="shared" si="202"/>
        <v>5720.597146666667</v>
      </c>
      <c r="AS247" s="93"/>
      <c r="AT247" s="4"/>
    </row>
    <row r="248" spans="1:46">
      <c r="A248" s="98">
        <f t="shared" si="203"/>
        <v>120</v>
      </c>
      <c r="B248" s="99">
        <v>2.4500000000000002</v>
      </c>
      <c r="C248" s="100">
        <f t="shared" si="204"/>
        <v>294</v>
      </c>
      <c r="D248" s="101">
        <v>75</v>
      </c>
      <c r="E248" s="100">
        <f t="shared" si="205"/>
        <v>480</v>
      </c>
      <c r="F248" s="102">
        <f t="shared" si="206"/>
        <v>38.490017945975055</v>
      </c>
      <c r="G248" s="103">
        <f t="shared" si="207"/>
        <v>12</v>
      </c>
      <c r="H248" s="296">
        <f t="shared" si="194"/>
        <v>140.93184000000002</v>
      </c>
      <c r="I248" s="104">
        <f t="shared" si="195"/>
        <v>244.10110728416782</v>
      </c>
      <c r="J248" s="180">
        <f t="shared" si="208"/>
        <v>20</v>
      </c>
      <c r="K248" s="104">
        <f t="shared" si="196"/>
        <v>74.7</v>
      </c>
      <c r="L248" s="263">
        <f t="shared" si="197"/>
        <v>32</v>
      </c>
      <c r="M248" s="106">
        <f t="shared" si="209"/>
        <v>30</v>
      </c>
      <c r="N248" s="1060">
        <f t="shared" si="198"/>
        <v>50.037023329767571</v>
      </c>
      <c r="O248" s="101">
        <f>LOOKUP(N248,'Circuit Breakers'!$B$5:$B$38,'Circuit Breakers'!$C$5:$C$38)</f>
        <v>50</v>
      </c>
      <c r="P248" s="262">
        <f t="shared" si="199"/>
        <v>30</v>
      </c>
      <c r="Q248" s="1057">
        <f t="shared" si="210"/>
        <v>97.110000000000014</v>
      </c>
      <c r="R248" s="1065">
        <f>LOOKUP(Q248,'Circuit Breakers'!$B$5:$B$38,'Circuit Breakers'!$C$5:$C$38)</f>
        <v>100</v>
      </c>
      <c r="S248" s="106">
        <f t="shared" si="200"/>
        <v>30</v>
      </c>
      <c r="T248" s="104">
        <f t="shared" si="211"/>
        <v>97.5</v>
      </c>
      <c r="U248" s="477">
        <f>LOOKUP(T248,'Circuit Breakers'!$B$5:$B$38,'Circuit Breakers'!$C$5:$C$38)</f>
        <v>100</v>
      </c>
      <c r="V248" s="106">
        <f t="shared" si="212"/>
        <v>15</v>
      </c>
      <c r="W248" s="104">
        <f t="shared" si="213"/>
        <v>44.263520637871309</v>
      </c>
      <c r="X248" s="101" t="str">
        <f>LOOKUP(W248,'Wire-Cables Ampacities'!$B$5:$B$35,'Wire-Cables Ampacities'!$C$5:$C$35)</f>
        <v>#8</v>
      </c>
      <c r="Y248" s="106">
        <f t="shared" si="214"/>
        <v>10</v>
      </c>
      <c r="Z248" s="104">
        <f t="shared" si="215"/>
        <v>82.170000000000016</v>
      </c>
      <c r="AA248" s="101" t="str">
        <f>LOOKUP(Z248,'Wire-Cables Ampacities'!$B$5:$B$35,'Wire-Cables Ampacities'!$C$5:$C$35)</f>
        <v>#4</v>
      </c>
      <c r="AB248" s="106">
        <f t="shared" si="216"/>
        <v>10</v>
      </c>
      <c r="AC248" s="104">
        <f t="shared" si="217"/>
        <v>82.5</v>
      </c>
      <c r="AD248" s="101" t="str">
        <f>LOOKUP(AC248,'Wire-Cables Ampacities'!$B$5:$B$35,'Wire-Cables Ampacities'!$C$5:$C$35)</f>
        <v>#4</v>
      </c>
      <c r="AE248" s="107">
        <f t="shared" si="218"/>
        <v>2.39</v>
      </c>
      <c r="AF248" s="105">
        <f t="shared" si="201"/>
        <v>8155.0193800000006</v>
      </c>
      <c r="AG248" s="98">
        <f t="shared" si="219"/>
        <v>40</v>
      </c>
      <c r="AH248" s="99">
        <f t="shared" si="219"/>
        <v>55</v>
      </c>
      <c r="AI248" s="106">
        <f t="shared" si="219"/>
        <v>20</v>
      </c>
      <c r="AJ248" s="105">
        <f t="shared" si="220"/>
        <v>336.512</v>
      </c>
      <c r="AK248" s="272">
        <f t="shared" si="221"/>
        <v>3.3651200000000001</v>
      </c>
      <c r="AL248" s="278">
        <f t="shared" si="222"/>
        <v>1.6825600000000001</v>
      </c>
      <c r="AM248" s="109">
        <v>800</v>
      </c>
      <c r="AN248" s="104">
        <v>34</v>
      </c>
      <c r="AO248" s="110">
        <v>48</v>
      </c>
      <c r="AP248" s="110">
        <v>28</v>
      </c>
      <c r="AQ248" s="282">
        <f t="shared" si="223"/>
        <v>47.944444444444443</v>
      </c>
      <c r="AR248" s="288">
        <f t="shared" si="202"/>
        <v>7256.0610466666676</v>
      </c>
      <c r="AS248" s="93"/>
      <c r="AT248" s="4"/>
    </row>
    <row r="249" spans="1:46">
      <c r="A249" s="72">
        <f t="shared" si="203"/>
        <v>120</v>
      </c>
      <c r="B249" s="15">
        <v>2.4500000000000002</v>
      </c>
      <c r="C249" s="66">
        <f t="shared" si="204"/>
        <v>294</v>
      </c>
      <c r="D249" s="68">
        <v>100</v>
      </c>
      <c r="E249" s="66">
        <f t="shared" si="205"/>
        <v>480</v>
      </c>
      <c r="F249" s="45">
        <f t="shared" si="206"/>
        <v>51.720961614903977</v>
      </c>
      <c r="G249" s="94">
        <f t="shared" si="207"/>
        <v>12</v>
      </c>
      <c r="H249" s="295">
        <f t="shared" si="194"/>
        <v>140.93184000000002</v>
      </c>
      <c r="I249" s="25">
        <f t="shared" si="195"/>
        <v>244.10110728416782</v>
      </c>
      <c r="J249" s="52">
        <f t="shared" si="208"/>
        <v>20</v>
      </c>
      <c r="K249" s="25">
        <f t="shared" si="196"/>
        <v>99.6</v>
      </c>
      <c r="L249" s="157">
        <f t="shared" si="197"/>
        <v>43</v>
      </c>
      <c r="M249" s="64">
        <f t="shared" si="209"/>
        <v>30</v>
      </c>
      <c r="N249" s="838">
        <f t="shared" si="198"/>
        <v>67.237250099375174</v>
      </c>
      <c r="O249" s="68">
        <f>LOOKUP(N249,'Circuit Breakers'!$B$5:$B$38,'Circuit Breakers'!$C$5:$C$38)</f>
        <v>70</v>
      </c>
      <c r="P249" s="199">
        <f t="shared" si="199"/>
        <v>30</v>
      </c>
      <c r="Q249" s="1056">
        <f t="shared" si="210"/>
        <v>129.47999999999999</v>
      </c>
      <c r="R249" s="1064">
        <f>LOOKUP(Q249,'Circuit Breakers'!$B$5:$B$38,'Circuit Breakers'!$C$5:$C$38)</f>
        <v>150</v>
      </c>
      <c r="S249" s="64">
        <f t="shared" si="200"/>
        <v>30</v>
      </c>
      <c r="T249" s="25">
        <f t="shared" si="211"/>
        <v>130</v>
      </c>
      <c r="U249" s="158">
        <f>LOOKUP(T249,'Circuit Breakers'!$B$5:$B$38,'Circuit Breakers'!$C$5:$C$38)</f>
        <v>150</v>
      </c>
      <c r="V249" s="64">
        <f t="shared" si="212"/>
        <v>15</v>
      </c>
      <c r="W249" s="25">
        <f t="shared" si="213"/>
        <v>59.479105857139572</v>
      </c>
      <c r="X249" s="68" t="str">
        <f>LOOKUP(W249,'Wire-Cables Ampacities'!$B$5:$B$35,'Wire-Cables Ampacities'!$C$5:$C$35)</f>
        <v>#8</v>
      </c>
      <c r="Y249" s="64">
        <f t="shared" si="214"/>
        <v>10</v>
      </c>
      <c r="Z249" s="25">
        <f t="shared" si="215"/>
        <v>109.56</v>
      </c>
      <c r="AA249" s="68" t="str">
        <f>LOOKUP(Z249,'Wire-Cables Ampacities'!$B$5:$B$35,'Wire-Cables Ampacities'!$C$5:$C$35)</f>
        <v>#3</v>
      </c>
      <c r="AB249" s="64">
        <f t="shared" si="216"/>
        <v>10</v>
      </c>
      <c r="AC249" s="25">
        <f t="shared" si="217"/>
        <v>110.00000000000001</v>
      </c>
      <c r="AD249" s="68" t="str">
        <f>LOOKUP(AC249,'Wire-Cables Ampacities'!$B$5:$B$35,'Wire-Cables Ampacities'!$C$5:$C$35)</f>
        <v>#3</v>
      </c>
      <c r="AE249" s="81">
        <f t="shared" si="218"/>
        <v>3.2100000000000004</v>
      </c>
      <c r="AF249" s="56">
        <f t="shared" si="201"/>
        <v>10952.975820000001</v>
      </c>
      <c r="AG249" s="72">
        <f t="shared" si="219"/>
        <v>40</v>
      </c>
      <c r="AH249" s="15">
        <f t="shared" si="219"/>
        <v>55</v>
      </c>
      <c r="AI249" s="64">
        <f t="shared" si="219"/>
        <v>20</v>
      </c>
      <c r="AJ249" s="56">
        <f t="shared" si="220"/>
        <v>451.96800000000002</v>
      </c>
      <c r="AK249" s="271">
        <f t="shared" si="221"/>
        <v>4.5196800000000001</v>
      </c>
      <c r="AL249" s="277">
        <f t="shared" si="222"/>
        <v>2.2598400000000001</v>
      </c>
      <c r="AM249" s="58">
        <v>800</v>
      </c>
      <c r="AN249" s="25">
        <v>34</v>
      </c>
      <c r="AO249" s="3">
        <v>48</v>
      </c>
      <c r="AP249" s="3">
        <v>28</v>
      </c>
      <c r="AQ249" s="281">
        <f t="shared" si="223"/>
        <v>47.944444444444443</v>
      </c>
      <c r="AR249" s="287">
        <f t="shared" si="202"/>
        <v>10054.017486666668</v>
      </c>
      <c r="AS249" s="93"/>
      <c r="AT249" s="4"/>
    </row>
    <row r="250" spans="1:46">
      <c r="A250" s="72">
        <f t="shared" si="203"/>
        <v>120</v>
      </c>
      <c r="B250" s="15">
        <v>2.4500000000000002</v>
      </c>
      <c r="C250" s="66">
        <f t="shared" si="204"/>
        <v>294</v>
      </c>
      <c r="D250" s="68">
        <v>125</v>
      </c>
      <c r="E250" s="66">
        <f t="shared" si="205"/>
        <v>480</v>
      </c>
      <c r="F250" s="45">
        <f t="shared" si="206"/>
        <v>63.749092223021186</v>
      </c>
      <c r="G250" s="94">
        <f t="shared" si="207"/>
        <v>12</v>
      </c>
      <c r="H250" s="295">
        <f t="shared" si="194"/>
        <v>140.93184000000002</v>
      </c>
      <c r="I250" s="25">
        <f t="shared" si="195"/>
        <v>244.10110728416782</v>
      </c>
      <c r="J250" s="52">
        <f t="shared" si="208"/>
        <v>20</v>
      </c>
      <c r="K250" s="25">
        <f t="shared" si="196"/>
        <v>124.5</v>
      </c>
      <c r="L250" s="157">
        <f t="shared" si="197"/>
        <v>53</v>
      </c>
      <c r="M250" s="64">
        <f t="shared" si="209"/>
        <v>30</v>
      </c>
      <c r="N250" s="838">
        <f t="shared" si="198"/>
        <v>82.873819889927546</v>
      </c>
      <c r="O250" s="68">
        <f>LOOKUP(N250,'Circuit Breakers'!$B$5:$B$38,'Circuit Breakers'!$C$5:$C$38)</f>
        <v>90</v>
      </c>
      <c r="P250" s="199">
        <f t="shared" si="199"/>
        <v>30</v>
      </c>
      <c r="Q250" s="1056">
        <f t="shared" si="210"/>
        <v>161.85</v>
      </c>
      <c r="R250" s="1064">
        <f>LOOKUP(Q250,'Circuit Breakers'!$B$5:$B$38,'Circuit Breakers'!$C$5:$C$38)</f>
        <v>175</v>
      </c>
      <c r="S250" s="64">
        <f t="shared" si="200"/>
        <v>30</v>
      </c>
      <c r="T250" s="25">
        <f t="shared" si="211"/>
        <v>162.5</v>
      </c>
      <c r="U250" s="158">
        <f>LOOKUP(T250,'Circuit Breakers'!$B$5:$B$38,'Circuit Breakers'!$C$5:$C$38)</f>
        <v>175</v>
      </c>
      <c r="V250" s="64">
        <f t="shared" si="212"/>
        <v>15</v>
      </c>
      <c r="W250" s="25">
        <f t="shared" si="213"/>
        <v>73.311456056474356</v>
      </c>
      <c r="X250" s="68" t="str">
        <f>LOOKUP(W250,'Wire-Cables Ampacities'!$B$5:$B$35,'Wire-Cables Ampacities'!$C$5:$C$35)</f>
        <v>#6</v>
      </c>
      <c r="Y250" s="64">
        <f t="shared" si="214"/>
        <v>10</v>
      </c>
      <c r="Z250" s="25">
        <f t="shared" si="215"/>
        <v>136.95000000000002</v>
      </c>
      <c r="AA250" s="68" t="str">
        <f>LOOKUP(Z250,'Wire-Cables Ampacities'!$B$5:$B$35,'Wire-Cables Ampacities'!$C$5:$C$35)</f>
        <v>#2</v>
      </c>
      <c r="AB250" s="64">
        <f t="shared" si="216"/>
        <v>10</v>
      </c>
      <c r="AC250" s="25">
        <f t="shared" si="217"/>
        <v>137.5</v>
      </c>
      <c r="AD250" s="68" t="str">
        <f>LOOKUP(AC250,'Wire-Cables Ampacities'!$B$5:$B$35,'Wire-Cables Ampacities'!$C$5:$C$35)</f>
        <v>#2</v>
      </c>
      <c r="AE250" s="81">
        <f t="shared" si="218"/>
        <v>3.9600000000000004</v>
      </c>
      <c r="AF250" s="56">
        <f t="shared" si="201"/>
        <v>13512.082320000001</v>
      </c>
      <c r="AG250" s="72">
        <f t="shared" si="219"/>
        <v>40</v>
      </c>
      <c r="AH250" s="15">
        <f t="shared" si="219"/>
        <v>55</v>
      </c>
      <c r="AI250" s="64">
        <f t="shared" si="219"/>
        <v>20</v>
      </c>
      <c r="AJ250" s="56">
        <f t="shared" si="220"/>
        <v>557.56799999999998</v>
      </c>
      <c r="AK250" s="271">
        <f t="shared" si="221"/>
        <v>5.5756800000000002</v>
      </c>
      <c r="AL250" s="277">
        <f t="shared" si="222"/>
        <v>2.7878400000000001</v>
      </c>
      <c r="AM250" s="58">
        <v>800</v>
      </c>
      <c r="AN250" s="25">
        <v>34</v>
      </c>
      <c r="AO250" s="3">
        <v>48</v>
      </c>
      <c r="AP250" s="3">
        <v>28</v>
      </c>
      <c r="AQ250" s="281">
        <f t="shared" si="223"/>
        <v>47.944444444444443</v>
      </c>
      <c r="AR250" s="287">
        <f t="shared" si="202"/>
        <v>12613.123986666667</v>
      </c>
      <c r="AS250" s="93"/>
      <c r="AT250" s="4"/>
    </row>
    <row r="251" spans="1:46">
      <c r="A251" s="98">
        <f t="shared" si="203"/>
        <v>120</v>
      </c>
      <c r="B251" s="99">
        <v>2.4500000000000002</v>
      </c>
      <c r="C251" s="100">
        <f t="shared" si="204"/>
        <v>294</v>
      </c>
      <c r="D251" s="101">
        <v>150</v>
      </c>
      <c r="E251" s="100">
        <f t="shared" si="205"/>
        <v>480</v>
      </c>
      <c r="F251" s="102">
        <f t="shared" si="206"/>
        <v>76.980035891950109</v>
      </c>
      <c r="G251" s="103">
        <f t="shared" si="207"/>
        <v>12</v>
      </c>
      <c r="H251" s="296">
        <f t="shared" si="194"/>
        <v>140.93184000000002</v>
      </c>
      <c r="I251" s="104">
        <f t="shared" si="195"/>
        <v>244.10110728416782</v>
      </c>
      <c r="J251" s="180">
        <f t="shared" si="208"/>
        <v>20</v>
      </c>
      <c r="K251" s="104">
        <f t="shared" si="196"/>
        <v>149.4</v>
      </c>
      <c r="L251" s="263">
        <f t="shared" si="197"/>
        <v>64</v>
      </c>
      <c r="M251" s="106">
        <f t="shared" si="209"/>
        <v>30</v>
      </c>
      <c r="N251" s="1060">
        <f t="shared" si="198"/>
        <v>100.07404665953514</v>
      </c>
      <c r="O251" s="101">
        <f>LOOKUP(N251,'Circuit Breakers'!$B$5:$B$38,'Circuit Breakers'!$C$5:$C$38)</f>
        <v>100</v>
      </c>
      <c r="P251" s="262">
        <f t="shared" si="199"/>
        <v>30</v>
      </c>
      <c r="Q251" s="1057">
        <f t="shared" si="210"/>
        <v>194.22000000000003</v>
      </c>
      <c r="R251" s="1065">
        <f>LOOKUP(Q251,'Circuit Breakers'!$B$5:$B$38,'Circuit Breakers'!$C$5:$C$38)</f>
        <v>200</v>
      </c>
      <c r="S251" s="106">
        <f t="shared" si="200"/>
        <v>30</v>
      </c>
      <c r="T251" s="104">
        <f t="shared" si="211"/>
        <v>195</v>
      </c>
      <c r="U251" s="477">
        <f>LOOKUP(T251,'Circuit Breakers'!$B$5:$B$38,'Circuit Breakers'!$C$5:$C$38)</f>
        <v>200</v>
      </c>
      <c r="V251" s="106">
        <f t="shared" si="212"/>
        <v>15</v>
      </c>
      <c r="W251" s="104">
        <f t="shared" si="213"/>
        <v>88.527041275742619</v>
      </c>
      <c r="X251" s="101" t="str">
        <f>LOOKUP(W251,'Wire-Cables Ampacities'!$B$5:$B$35,'Wire-Cables Ampacities'!$C$5:$C$35)</f>
        <v>#4</v>
      </c>
      <c r="Y251" s="106">
        <f t="shared" si="214"/>
        <v>10</v>
      </c>
      <c r="Z251" s="104">
        <f t="shared" si="215"/>
        <v>164.34000000000003</v>
      </c>
      <c r="AA251" s="101" t="str">
        <f>LOOKUP(Z251,'Wire-Cables Ampacities'!$B$5:$B$35,'Wire-Cables Ampacities'!$C$5:$C$35)</f>
        <v>#1</v>
      </c>
      <c r="AB251" s="106">
        <f t="shared" si="216"/>
        <v>10</v>
      </c>
      <c r="AC251" s="104">
        <f t="shared" si="217"/>
        <v>165</v>
      </c>
      <c r="AD251" s="101" t="str">
        <f>LOOKUP(AC251,'Wire-Cables Ampacities'!$B$5:$B$35,'Wire-Cables Ampacities'!$C$5:$C$35)</f>
        <v>#1</v>
      </c>
      <c r="AE251" s="107">
        <f t="shared" si="218"/>
        <v>4.78</v>
      </c>
      <c r="AF251" s="105">
        <f t="shared" si="201"/>
        <v>16310.038760000001</v>
      </c>
      <c r="AG251" s="98">
        <f t="shared" si="219"/>
        <v>40</v>
      </c>
      <c r="AH251" s="99">
        <f t="shared" si="219"/>
        <v>55</v>
      </c>
      <c r="AI251" s="106">
        <f t="shared" si="219"/>
        <v>20</v>
      </c>
      <c r="AJ251" s="105">
        <f t="shared" si="220"/>
        <v>673.024</v>
      </c>
      <c r="AK251" s="272">
        <f t="shared" si="221"/>
        <v>6.7302400000000002</v>
      </c>
      <c r="AL251" s="278">
        <f t="shared" si="222"/>
        <v>3.3651200000000001</v>
      </c>
      <c r="AM251" s="109">
        <v>800</v>
      </c>
      <c r="AN251" s="104">
        <v>34</v>
      </c>
      <c r="AO251" s="110">
        <v>48</v>
      </c>
      <c r="AP251" s="110">
        <v>28</v>
      </c>
      <c r="AQ251" s="282">
        <f t="shared" si="223"/>
        <v>47.944444444444443</v>
      </c>
      <c r="AR251" s="288">
        <f t="shared" si="202"/>
        <v>15411.080426666667</v>
      </c>
      <c r="AS251" s="93"/>
      <c r="AT251" s="4"/>
    </row>
    <row r="252" spans="1:46">
      <c r="A252" s="72">
        <f t="shared" si="203"/>
        <v>120</v>
      </c>
      <c r="B252" s="15">
        <v>2.4500000000000002</v>
      </c>
      <c r="C252" s="66">
        <f t="shared" si="204"/>
        <v>294</v>
      </c>
      <c r="D252" s="68">
        <v>175</v>
      </c>
      <c r="E252" s="66">
        <f t="shared" si="205"/>
        <v>480</v>
      </c>
      <c r="F252" s="45">
        <f t="shared" si="206"/>
        <v>89.008166500067304</v>
      </c>
      <c r="G252" s="94">
        <f t="shared" si="207"/>
        <v>12</v>
      </c>
      <c r="H252" s="295">
        <f t="shared" si="194"/>
        <v>140.93184000000002</v>
      </c>
      <c r="I252" s="25">
        <f t="shared" si="195"/>
        <v>244.10110728416782</v>
      </c>
      <c r="J252" s="52">
        <f t="shared" si="208"/>
        <v>20</v>
      </c>
      <c r="K252" s="25">
        <f t="shared" si="196"/>
        <v>174.29999999999998</v>
      </c>
      <c r="L252" s="157">
        <f t="shared" si="197"/>
        <v>74</v>
      </c>
      <c r="M252" s="64">
        <f t="shared" si="209"/>
        <v>30</v>
      </c>
      <c r="N252" s="838">
        <f t="shared" si="198"/>
        <v>115.7106164500875</v>
      </c>
      <c r="O252" s="68">
        <f>LOOKUP(N252,'Circuit Breakers'!$B$5:$B$38,'Circuit Breakers'!$C$5:$C$38)</f>
        <v>125</v>
      </c>
      <c r="P252" s="199">
        <f t="shared" si="199"/>
        <v>30</v>
      </c>
      <c r="Q252" s="1056">
        <f t="shared" si="210"/>
        <v>226.58999999999997</v>
      </c>
      <c r="R252" s="1064">
        <f>LOOKUP(Q252,'Circuit Breakers'!$B$5:$B$38,'Circuit Breakers'!$C$5:$C$38)</f>
        <v>250</v>
      </c>
      <c r="S252" s="64">
        <f t="shared" si="200"/>
        <v>30</v>
      </c>
      <c r="T252" s="25">
        <f t="shared" si="211"/>
        <v>227.5</v>
      </c>
      <c r="U252" s="158">
        <f>LOOKUP(T252,'Circuit Breakers'!$B$5:$B$38,'Circuit Breakers'!$C$5:$C$38)</f>
        <v>250</v>
      </c>
      <c r="V252" s="64">
        <f t="shared" si="212"/>
        <v>15</v>
      </c>
      <c r="W252" s="25">
        <f t="shared" si="213"/>
        <v>102.35939147507739</v>
      </c>
      <c r="X252" s="68" t="str">
        <f>LOOKUP(W252,'Wire-Cables Ampacities'!$B$5:$B$35,'Wire-Cables Ampacities'!$C$5:$C$35)</f>
        <v>#4</v>
      </c>
      <c r="Y252" s="64">
        <f t="shared" si="214"/>
        <v>10</v>
      </c>
      <c r="Z252" s="25">
        <f t="shared" si="215"/>
        <v>191.73</v>
      </c>
      <c r="AA252" s="68" t="str">
        <f>LOOKUP(Z252,'Wire-Cables Ampacities'!$B$5:$B$35,'Wire-Cables Ampacities'!$C$5:$C$35)</f>
        <v>#1/0</v>
      </c>
      <c r="AB252" s="64">
        <f t="shared" si="216"/>
        <v>10</v>
      </c>
      <c r="AC252" s="25">
        <f t="shared" si="217"/>
        <v>192.50000000000003</v>
      </c>
      <c r="AD252" s="68" t="str">
        <f>LOOKUP(AC252,'Wire-Cables Ampacities'!$B$5:$B$35,'Wire-Cables Ampacities'!$C$5:$C$35)</f>
        <v>#1/0</v>
      </c>
      <c r="AE252" s="81">
        <f t="shared" si="218"/>
        <v>5.5300000000000011</v>
      </c>
      <c r="AF252" s="56">
        <f t="shared" si="201"/>
        <v>18869.145260000005</v>
      </c>
      <c r="AG252" s="72">
        <f t="shared" si="219"/>
        <v>40</v>
      </c>
      <c r="AH252" s="15">
        <f t="shared" si="219"/>
        <v>55</v>
      </c>
      <c r="AI252" s="64">
        <f t="shared" si="219"/>
        <v>20</v>
      </c>
      <c r="AJ252" s="56">
        <f t="shared" si="220"/>
        <v>778.62400000000025</v>
      </c>
      <c r="AK252" s="271">
        <f t="shared" si="221"/>
        <v>7.7862400000000029</v>
      </c>
      <c r="AL252" s="277">
        <f t="shared" si="222"/>
        <v>3.8931200000000015</v>
      </c>
      <c r="AM252" s="58">
        <v>1200</v>
      </c>
      <c r="AN252" s="25">
        <v>38</v>
      </c>
      <c r="AO252" s="3">
        <v>70</v>
      </c>
      <c r="AP252" s="3">
        <v>28</v>
      </c>
      <c r="AQ252" s="281">
        <f t="shared" si="223"/>
        <v>71.555555555555557</v>
      </c>
      <c r="AR252" s="287">
        <f t="shared" si="202"/>
        <v>17527.478593333337</v>
      </c>
      <c r="AS252" s="93"/>
      <c r="AT252" s="4"/>
    </row>
    <row r="253" spans="1:46">
      <c r="A253" s="72">
        <f t="shared" si="203"/>
        <v>120</v>
      </c>
      <c r="B253" s="15">
        <v>2.4500000000000002</v>
      </c>
      <c r="C253" s="66">
        <f t="shared" si="204"/>
        <v>294</v>
      </c>
      <c r="D253" s="68">
        <v>200</v>
      </c>
      <c r="E253" s="66">
        <f t="shared" si="205"/>
        <v>480</v>
      </c>
      <c r="F253" s="45">
        <f t="shared" si="206"/>
        <v>102.23911016899623</v>
      </c>
      <c r="G253" s="94">
        <f t="shared" si="207"/>
        <v>12</v>
      </c>
      <c r="H253" s="295">
        <f t="shared" si="194"/>
        <v>140.93184000000002</v>
      </c>
      <c r="I253" s="25">
        <f t="shared" si="195"/>
        <v>244.10110728416782</v>
      </c>
      <c r="J253" s="52">
        <f t="shared" si="208"/>
        <v>20</v>
      </c>
      <c r="K253" s="25">
        <f t="shared" si="196"/>
        <v>199.2</v>
      </c>
      <c r="L253" s="157">
        <f t="shared" si="197"/>
        <v>85</v>
      </c>
      <c r="M253" s="64">
        <f t="shared" si="209"/>
        <v>30</v>
      </c>
      <c r="N253" s="838">
        <f t="shared" si="198"/>
        <v>132.9108432196951</v>
      </c>
      <c r="O253" s="68">
        <f>LOOKUP(N253,'Circuit Breakers'!$B$5:$B$38,'Circuit Breakers'!$C$5:$C$38)</f>
        <v>150</v>
      </c>
      <c r="P253" s="199">
        <f t="shared" si="199"/>
        <v>30</v>
      </c>
      <c r="Q253" s="1056">
        <f t="shared" si="210"/>
        <v>258.95999999999998</v>
      </c>
      <c r="R253" s="1064">
        <f>LOOKUP(Q253,'Circuit Breakers'!$B$5:$B$38,'Circuit Breakers'!$C$5:$C$38)</f>
        <v>300</v>
      </c>
      <c r="S253" s="64">
        <f t="shared" si="200"/>
        <v>30</v>
      </c>
      <c r="T253" s="25">
        <f t="shared" si="211"/>
        <v>260</v>
      </c>
      <c r="U253" s="158">
        <f>LOOKUP(T253,'Circuit Breakers'!$B$5:$B$38,'Circuit Breakers'!$C$5:$C$38)</f>
        <v>300</v>
      </c>
      <c r="V253" s="64">
        <f t="shared" si="212"/>
        <v>15</v>
      </c>
      <c r="W253" s="25">
        <f t="shared" si="213"/>
        <v>117.57497669434566</v>
      </c>
      <c r="X253" s="68" t="str">
        <f>LOOKUP(W253,'Wire-Cables Ampacities'!$B$5:$B$35,'Wire-Cables Ampacities'!$C$5:$C$35)</f>
        <v>#3</v>
      </c>
      <c r="Y253" s="64">
        <f t="shared" si="214"/>
        <v>10</v>
      </c>
      <c r="Z253" s="25">
        <f t="shared" si="215"/>
        <v>219.12</v>
      </c>
      <c r="AA253" s="68" t="str">
        <f>LOOKUP(Z253,'Wire-Cables Ampacities'!$B$5:$B$35,'Wire-Cables Ampacities'!$C$5:$C$35)</f>
        <v>#2/0</v>
      </c>
      <c r="AB253" s="64">
        <f t="shared" si="216"/>
        <v>10</v>
      </c>
      <c r="AC253" s="25">
        <f t="shared" si="217"/>
        <v>220.00000000000003</v>
      </c>
      <c r="AD253" s="68" t="str">
        <f>LOOKUP(AC253,'Wire-Cables Ampacities'!$B$5:$B$35,'Wire-Cables Ampacities'!$C$5:$C$35)</f>
        <v>#2/0</v>
      </c>
      <c r="AE253" s="81">
        <f t="shared" si="218"/>
        <v>6.35</v>
      </c>
      <c r="AF253" s="56">
        <f t="shared" si="201"/>
        <v>21667.101699999996</v>
      </c>
      <c r="AG253" s="72">
        <f t="shared" si="219"/>
        <v>40</v>
      </c>
      <c r="AH253" s="15">
        <f t="shared" si="219"/>
        <v>55</v>
      </c>
      <c r="AI253" s="64">
        <f t="shared" si="219"/>
        <v>20</v>
      </c>
      <c r="AJ253" s="56">
        <f t="shared" si="220"/>
        <v>894.08</v>
      </c>
      <c r="AK253" s="271">
        <f t="shared" si="221"/>
        <v>8.9408000000000012</v>
      </c>
      <c r="AL253" s="277">
        <f t="shared" si="222"/>
        <v>4.4704000000000006</v>
      </c>
      <c r="AM253" s="58">
        <v>1200</v>
      </c>
      <c r="AN253" s="25">
        <v>38</v>
      </c>
      <c r="AO253" s="3">
        <v>70</v>
      </c>
      <c r="AP253" s="3">
        <v>28</v>
      </c>
      <c r="AQ253" s="281">
        <f t="shared" si="223"/>
        <v>71.555555555555557</v>
      </c>
      <c r="AR253" s="287">
        <f t="shared" si="202"/>
        <v>20325.435033333328</v>
      </c>
      <c r="AS253" s="93"/>
      <c r="AT253" s="4"/>
    </row>
    <row r="254" spans="1:46">
      <c r="A254" s="98">
        <f t="shared" si="203"/>
        <v>120</v>
      </c>
      <c r="B254" s="99">
        <v>2.4500000000000002</v>
      </c>
      <c r="C254" s="100">
        <f t="shared" si="204"/>
        <v>294</v>
      </c>
      <c r="D254" s="101">
        <v>250</v>
      </c>
      <c r="E254" s="100">
        <f t="shared" si="205"/>
        <v>480</v>
      </c>
      <c r="F254" s="102">
        <f t="shared" si="206"/>
        <v>127.49818444604237</v>
      </c>
      <c r="G254" s="103">
        <f t="shared" si="207"/>
        <v>12</v>
      </c>
      <c r="H254" s="296">
        <f t="shared" si="194"/>
        <v>140.93184000000002</v>
      </c>
      <c r="I254" s="104">
        <f t="shared" si="195"/>
        <v>244.10110728416782</v>
      </c>
      <c r="J254" s="180">
        <f t="shared" si="208"/>
        <v>20</v>
      </c>
      <c r="K254" s="104">
        <f t="shared" si="196"/>
        <v>249</v>
      </c>
      <c r="L254" s="477">
        <f t="shared" si="197"/>
        <v>106</v>
      </c>
      <c r="M254" s="106">
        <f t="shared" si="209"/>
        <v>30</v>
      </c>
      <c r="N254" s="1060">
        <f t="shared" si="198"/>
        <v>165.74763977985509</v>
      </c>
      <c r="O254" s="101">
        <f>LOOKUP(N254,'Circuit Breakers'!$B$5:$B$38,'Circuit Breakers'!$C$5:$C$38)</f>
        <v>175</v>
      </c>
      <c r="P254" s="262">
        <f t="shared" si="199"/>
        <v>30</v>
      </c>
      <c r="Q254" s="1057">
        <f t="shared" si="210"/>
        <v>323.7</v>
      </c>
      <c r="R254" s="1065">
        <f>LOOKUP(Q254,'Circuit Breakers'!$B$5:$B$38,'Circuit Breakers'!$C$5:$C$38)</f>
        <v>350</v>
      </c>
      <c r="S254" s="106">
        <f t="shared" si="200"/>
        <v>30</v>
      </c>
      <c r="T254" s="104">
        <f t="shared" si="211"/>
        <v>325</v>
      </c>
      <c r="U254" s="477">
        <f>LOOKUP(T254,'Circuit Breakers'!$B$5:$B$38,'Circuit Breakers'!$C$5:$C$38)</f>
        <v>350</v>
      </c>
      <c r="V254" s="106">
        <f t="shared" si="212"/>
        <v>15</v>
      </c>
      <c r="W254" s="104">
        <f t="shared" si="213"/>
        <v>146.62291211294871</v>
      </c>
      <c r="X254" s="101" t="str">
        <f>LOOKUP(W254,'Wire-Cables Ampacities'!$B$5:$B$35,'Wire-Cables Ampacities'!$C$5:$C$35)</f>
        <v>#1</v>
      </c>
      <c r="Y254" s="106">
        <f t="shared" si="214"/>
        <v>10</v>
      </c>
      <c r="Z254" s="104">
        <f t="shared" si="215"/>
        <v>273.90000000000003</v>
      </c>
      <c r="AA254" s="101" t="str">
        <f>LOOKUP(Z254,'Wire-Cables Ampacities'!$B$5:$B$35,'Wire-Cables Ampacities'!$C$5:$C$35)</f>
        <v>#4/0</v>
      </c>
      <c r="AB254" s="106">
        <f t="shared" si="216"/>
        <v>10</v>
      </c>
      <c r="AC254" s="104">
        <f t="shared" si="217"/>
        <v>275</v>
      </c>
      <c r="AD254" s="101" t="str">
        <f>LOOKUP(AC254,'Wire-Cables Ampacities'!$B$5:$B$35,'Wire-Cables Ampacities'!$C$5:$C$35)</f>
        <v>#4/0</v>
      </c>
      <c r="AE254" s="107">
        <f t="shared" si="218"/>
        <v>7.9200000000000008</v>
      </c>
      <c r="AF254" s="105">
        <f t="shared" si="201"/>
        <v>27024.164640000003</v>
      </c>
      <c r="AG254" s="98">
        <f t="shared" si="219"/>
        <v>40</v>
      </c>
      <c r="AH254" s="99">
        <f t="shared" si="219"/>
        <v>55</v>
      </c>
      <c r="AI254" s="106">
        <f t="shared" si="219"/>
        <v>20</v>
      </c>
      <c r="AJ254" s="105">
        <f t="shared" si="220"/>
        <v>1115.136</v>
      </c>
      <c r="AK254" s="272">
        <f t="shared" si="221"/>
        <v>11.15136</v>
      </c>
      <c r="AL254" s="278">
        <f t="shared" si="222"/>
        <v>5.5756800000000002</v>
      </c>
      <c r="AM254" s="109">
        <v>1200</v>
      </c>
      <c r="AN254" s="104">
        <v>38</v>
      </c>
      <c r="AO254" s="110">
        <v>70</v>
      </c>
      <c r="AP254" s="110">
        <v>28</v>
      </c>
      <c r="AQ254" s="282">
        <f t="shared" si="223"/>
        <v>71.555555555555557</v>
      </c>
      <c r="AR254" s="288">
        <f t="shared" si="202"/>
        <v>25682.497973333335</v>
      </c>
      <c r="AS254" s="93"/>
      <c r="AT254" s="4"/>
    </row>
    <row r="255" spans="1:46">
      <c r="A255" s="72">
        <f t="shared" si="203"/>
        <v>120</v>
      </c>
      <c r="B255" s="15">
        <v>2.4500000000000002</v>
      </c>
      <c r="C255" s="66">
        <f t="shared" si="204"/>
        <v>294</v>
      </c>
      <c r="D255" s="68">
        <v>300</v>
      </c>
      <c r="E255" s="66">
        <f t="shared" si="205"/>
        <v>480</v>
      </c>
      <c r="F255" s="45">
        <f t="shared" si="206"/>
        <v>152.75725872308848</v>
      </c>
      <c r="G255" s="94">
        <f t="shared" si="207"/>
        <v>12</v>
      </c>
      <c r="H255" s="295">
        <f t="shared" si="194"/>
        <v>140.93184000000002</v>
      </c>
      <c r="I255" s="25">
        <f t="shared" si="195"/>
        <v>244.10110728416782</v>
      </c>
      <c r="J255" s="52">
        <f t="shared" si="208"/>
        <v>20</v>
      </c>
      <c r="K255" s="25">
        <f t="shared" si="196"/>
        <v>298.8</v>
      </c>
      <c r="L255" s="158">
        <f t="shared" si="197"/>
        <v>127</v>
      </c>
      <c r="M255" s="64">
        <f t="shared" si="209"/>
        <v>30</v>
      </c>
      <c r="N255" s="838">
        <f t="shared" si="198"/>
        <v>198.58443634001503</v>
      </c>
      <c r="O255" s="68">
        <f>LOOKUP(N255,'Circuit Breakers'!$B$5:$B$38,'Circuit Breakers'!$C$5:$C$38)</f>
        <v>200</v>
      </c>
      <c r="P255" s="199">
        <f t="shared" si="199"/>
        <v>30</v>
      </c>
      <c r="Q255" s="1056">
        <f t="shared" si="210"/>
        <v>388.44000000000005</v>
      </c>
      <c r="R255" s="1064">
        <f>LOOKUP(Q255,'Circuit Breakers'!$B$5:$B$38,'Circuit Breakers'!$C$5:$C$38)</f>
        <v>400</v>
      </c>
      <c r="S255" s="64">
        <f t="shared" si="200"/>
        <v>30</v>
      </c>
      <c r="T255" s="25">
        <f t="shared" si="211"/>
        <v>390</v>
      </c>
      <c r="U255" s="158">
        <f>LOOKUP(T255,'Circuit Breakers'!$B$5:$B$38,'Circuit Breakers'!$C$5:$C$38)</f>
        <v>400</v>
      </c>
      <c r="V255" s="64">
        <f t="shared" si="212"/>
        <v>15</v>
      </c>
      <c r="W255" s="25">
        <f t="shared" si="213"/>
        <v>175.67084753155174</v>
      </c>
      <c r="X255" s="68" t="str">
        <f>LOOKUP(W255,'Wire-Cables Ampacities'!$B$5:$B$35,'Wire-Cables Ampacities'!$C$5:$C$35)</f>
        <v>#1/0</v>
      </c>
      <c r="Y255" s="64">
        <f t="shared" si="214"/>
        <v>10</v>
      </c>
      <c r="Z255" s="25">
        <f t="shared" si="215"/>
        <v>328.68000000000006</v>
      </c>
      <c r="AA255" s="68" t="str">
        <f>LOOKUP(Z255,'Wire-Cables Ampacities'!$B$5:$B$35,'Wire-Cables Ampacities'!$C$5:$C$35)</f>
        <v>250MCM</v>
      </c>
      <c r="AB255" s="64">
        <f t="shared" si="216"/>
        <v>10</v>
      </c>
      <c r="AC255" s="25">
        <f t="shared" si="217"/>
        <v>330</v>
      </c>
      <c r="AD255" s="68" t="str">
        <f>LOOKUP(AC255,'Wire-Cables Ampacities'!$B$5:$B$35,'Wire-Cables Ampacities'!$C$5:$C$35)</f>
        <v>250MCM</v>
      </c>
      <c r="AE255" s="81">
        <f t="shared" si="218"/>
        <v>9.49</v>
      </c>
      <c r="AF255" s="56">
        <f t="shared" si="201"/>
        <v>32381.227580000002</v>
      </c>
      <c r="AG255" s="72">
        <f t="shared" si="219"/>
        <v>40</v>
      </c>
      <c r="AH255" s="15">
        <f t="shared" si="219"/>
        <v>55</v>
      </c>
      <c r="AI255" s="64">
        <f t="shared" si="219"/>
        <v>20</v>
      </c>
      <c r="AJ255" s="56">
        <f t="shared" si="220"/>
        <v>1336.192</v>
      </c>
      <c r="AK255" s="271">
        <f t="shared" si="221"/>
        <v>13.36192</v>
      </c>
      <c r="AL255" s="277">
        <f t="shared" si="222"/>
        <v>6.6809599999999998</v>
      </c>
      <c r="AM255" s="58">
        <v>1200</v>
      </c>
      <c r="AN255" s="25">
        <v>38</v>
      </c>
      <c r="AO255" s="3">
        <v>70</v>
      </c>
      <c r="AP255" s="3">
        <v>28</v>
      </c>
      <c r="AQ255" s="281">
        <f t="shared" si="223"/>
        <v>71.555555555555557</v>
      </c>
      <c r="AR255" s="287">
        <f t="shared" ref="AR255:AR266" si="224">AF255+(1.25*AQ255*(AG255-AH255))</f>
        <v>31039.560913333335</v>
      </c>
      <c r="AS255" s="93"/>
      <c r="AT255" s="4"/>
    </row>
    <row r="256" spans="1:46">
      <c r="A256" s="72">
        <f t="shared" si="203"/>
        <v>120</v>
      </c>
      <c r="B256" s="15">
        <v>2.4500000000000002</v>
      </c>
      <c r="C256" s="66">
        <f t="shared" si="204"/>
        <v>294</v>
      </c>
      <c r="D256" s="68">
        <v>350</v>
      </c>
      <c r="E256" s="66">
        <f t="shared" si="205"/>
        <v>480</v>
      </c>
      <c r="F256" s="45">
        <f t="shared" si="206"/>
        <v>178.01633300013461</v>
      </c>
      <c r="G256" s="94">
        <f t="shared" si="207"/>
        <v>12</v>
      </c>
      <c r="H256" s="295">
        <f t="shared" si="194"/>
        <v>140.93184000000002</v>
      </c>
      <c r="I256" s="25">
        <f t="shared" si="195"/>
        <v>244.10110728416782</v>
      </c>
      <c r="J256" s="52">
        <f t="shared" si="208"/>
        <v>20</v>
      </c>
      <c r="K256" s="25">
        <f t="shared" si="196"/>
        <v>348.59999999999997</v>
      </c>
      <c r="L256" s="158">
        <f t="shared" si="197"/>
        <v>148</v>
      </c>
      <c r="M256" s="64">
        <f t="shared" si="209"/>
        <v>30</v>
      </c>
      <c r="N256" s="838">
        <f t="shared" si="198"/>
        <v>231.421232900175</v>
      </c>
      <c r="O256" s="68">
        <f>LOOKUP(N256,'Circuit Breakers'!$B$5:$B$38,'Circuit Breakers'!$C$5:$C$38)</f>
        <v>250</v>
      </c>
      <c r="P256" s="199">
        <f t="shared" si="199"/>
        <v>30</v>
      </c>
      <c r="Q256" s="1056">
        <f t="shared" si="210"/>
        <v>453.17999999999995</v>
      </c>
      <c r="R256" s="1064">
        <f>LOOKUP(Q256,'Circuit Breakers'!$B$5:$B$38,'Circuit Breakers'!$C$5:$C$38)</f>
        <v>500</v>
      </c>
      <c r="S256" s="64">
        <f t="shared" si="200"/>
        <v>30</v>
      </c>
      <c r="T256" s="25">
        <f t="shared" si="211"/>
        <v>455</v>
      </c>
      <c r="U256" s="158">
        <f>LOOKUP(T256,'Circuit Breakers'!$B$5:$B$38,'Circuit Breakers'!$C$5:$C$38)</f>
        <v>500</v>
      </c>
      <c r="V256" s="64">
        <f t="shared" si="212"/>
        <v>15</v>
      </c>
      <c r="W256" s="25">
        <f t="shared" si="213"/>
        <v>204.71878295015478</v>
      </c>
      <c r="X256" s="68" t="str">
        <f>LOOKUP(W256,'Wire-Cables Ampacities'!$B$5:$B$35,'Wire-Cables Ampacities'!$C$5:$C$35)</f>
        <v>#2/0</v>
      </c>
      <c r="Y256" s="64">
        <f t="shared" si="214"/>
        <v>10</v>
      </c>
      <c r="Z256" s="25">
        <f t="shared" si="215"/>
        <v>383.46</v>
      </c>
      <c r="AA256" s="68" t="str">
        <f>LOOKUP(Z256,'Wire-Cables Ampacities'!$B$5:$B$35,'Wire-Cables Ampacities'!$C$5:$C$35)</f>
        <v>#2/0 2x</v>
      </c>
      <c r="AB256" s="64">
        <f t="shared" si="216"/>
        <v>10</v>
      </c>
      <c r="AC256" s="25">
        <f t="shared" si="217"/>
        <v>385.00000000000006</v>
      </c>
      <c r="AD256" s="68" t="str">
        <f>LOOKUP(AC256,'Wire-Cables Ampacities'!$B$5:$B$35,'Wire-Cables Ampacities'!$C$5:$C$35)</f>
        <v>#2/0 2x</v>
      </c>
      <c r="AE256" s="81">
        <f t="shared" si="218"/>
        <v>11.060000000000002</v>
      </c>
      <c r="AF256" s="56">
        <f t="shared" si="201"/>
        <v>37738.29052000001</v>
      </c>
      <c r="AG256" s="72">
        <f t="shared" si="219"/>
        <v>40</v>
      </c>
      <c r="AH256" s="15">
        <f t="shared" si="219"/>
        <v>55</v>
      </c>
      <c r="AI256" s="64">
        <f t="shared" si="219"/>
        <v>20</v>
      </c>
      <c r="AJ256" s="56">
        <f t="shared" si="220"/>
        <v>1557.2480000000005</v>
      </c>
      <c r="AK256" s="271">
        <f t="shared" si="221"/>
        <v>15.572480000000006</v>
      </c>
      <c r="AL256" s="277">
        <f t="shared" si="222"/>
        <v>7.7862400000000029</v>
      </c>
      <c r="AM256" s="58">
        <v>1200</v>
      </c>
      <c r="AN256" s="25">
        <v>38</v>
      </c>
      <c r="AO256" s="3">
        <v>70</v>
      </c>
      <c r="AP256" s="3">
        <v>28</v>
      </c>
      <c r="AQ256" s="281">
        <f t="shared" si="223"/>
        <v>71.555555555555557</v>
      </c>
      <c r="AR256" s="287">
        <f t="shared" si="224"/>
        <v>36396.623853333345</v>
      </c>
      <c r="AS256" s="93"/>
      <c r="AT256" s="4"/>
    </row>
    <row r="257" spans="1:46">
      <c r="A257" s="98">
        <f t="shared" si="203"/>
        <v>120</v>
      </c>
      <c r="B257" s="99">
        <v>2.4500000000000002</v>
      </c>
      <c r="C257" s="100">
        <f t="shared" si="204"/>
        <v>294</v>
      </c>
      <c r="D257" s="101">
        <v>400</v>
      </c>
      <c r="E257" s="100">
        <f t="shared" si="205"/>
        <v>480</v>
      </c>
      <c r="F257" s="102">
        <f t="shared" si="206"/>
        <v>203.27540727718073</v>
      </c>
      <c r="G257" s="103">
        <f t="shared" si="207"/>
        <v>12</v>
      </c>
      <c r="H257" s="296">
        <f t="shared" si="194"/>
        <v>140.93184000000002</v>
      </c>
      <c r="I257" s="104">
        <f t="shared" si="195"/>
        <v>244.10110728416782</v>
      </c>
      <c r="J257" s="180">
        <f t="shared" si="208"/>
        <v>20</v>
      </c>
      <c r="K257" s="104">
        <f t="shared" si="196"/>
        <v>398.4</v>
      </c>
      <c r="L257" s="477">
        <f t="shared" si="197"/>
        <v>169</v>
      </c>
      <c r="M257" s="106">
        <f t="shared" si="209"/>
        <v>30</v>
      </c>
      <c r="N257" s="1060">
        <f t="shared" si="198"/>
        <v>264.25802946033497</v>
      </c>
      <c r="O257" s="101">
        <f>LOOKUP(N257,'Circuit Breakers'!$B$5:$B$38,'Circuit Breakers'!$C$5:$C$38)</f>
        <v>300</v>
      </c>
      <c r="P257" s="262">
        <f t="shared" si="199"/>
        <v>30</v>
      </c>
      <c r="Q257" s="1057">
        <f t="shared" si="210"/>
        <v>517.91999999999996</v>
      </c>
      <c r="R257" s="1065">
        <f>LOOKUP(Q257,'Circuit Breakers'!$B$5:$B$38,'Circuit Breakers'!$C$5:$C$38)</f>
        <v>600</v>
      </c>
      <c r="S257" s="106">
        <f t="shared" si="200"/>
        <v>30</v>
      </c>
      <c r="T257" s="104">
        <f t="shared" si="211"/>
        <v>520</v>
      </c>
      <c r="U257" s="477">
        <f>LOOKUP(T257,'Circuit Breakers'!$B$5:$B$38,'Circuit Breakers'!$C$5:$C$38)</f>
        <v>600</v>
      </c>
      <c r="V257" s="106">
        <f t="shared" si="212"/>
        <v>15</v>
      </c>
      <c r="W257" s="104">
        <f t="shared" si="213"/>
        <v>233.76671836875784</v>
      </c>
      <c r="X257" s="101" t="str">
        <f>LOOKUP(W257,'Wire-Cables Ampacities'!$B$5:$B$35,'Wire-Cables Ampacities'!$C$5:$C$35)</f>
        <v>#3/0</v>
      </c>
      <c r="Y257" s="106">
        <f t="shared" si="214"/>
        <v>10</v>
      </c>
      <c r="Z257" s="104">
        <f t="shared" si="215"/>
        <v>438.24</v>
      </c>
      <c r="AA257" s="101" t="str">
        <f>LOOKUP(Z257,'Wire-Cables Ampacities'!$B$5:$B$35,'Wire-Cables Ampacities'!$C$5:$C$35)</f>
        <v>#3/0 2x</v>
      </c>
      <c r="AB257" s="106">
        <f t="shared" si="216"/>
        <v>10</v>
      </c>
      <c r="AC257" s="104">
        <f t="shared" si="217"/>
        <v>440.00000000000006</v>
      </c>
      <c r="AD257" s="101" t="str">
        <f>LOOKUP(AC257,'Wire-Cables Ampacities'!$B$5:$B$35,'Wire-Cables Ampacities'!$C$5:$C$35)</f>
        <v>#3/0 2x</v>
      </c>
      <c r="AE257" s="107">
        <f t="shared" si="218"/>
        <v>12.630000000000003</v>
      </c>
      <c r="AF257" s="105">
        <f t="shared" si="201"/>
        <v>43095.353460000006</v>
      </c>
      <c r="AG257" s="98">
        <f t="shared" si="219"/>
        <v>40</v>
      </c>
      <c r="AH257" s="99">
        <f t="shared" si="219"/>
        <v>55</v>
      </c>
      <c r="AI257" s="106">
        <f t="shared" si="219"/>
        <v>20</v>
      </c>
      <c r="AJ257" s="105">
        <f t="shared" si="220"/>
        <v>1778.3040000000003</v>
      </c>
      <c r="AK257" s="272">
        <f t="shared" si="221"/>
        <v>17.783040000000003</v>
      </c>
      <c r="AL257" s="278">
        <f t="shared" si="222"/>
        <v>8.8915200000000016</v>
      </c>
      <c r="AM257" s="109">
        <v>1200</v>
      </c>
      <c r="AN257" s="104">
        <v>38</v>
      </c>
      <c r="AO257" s="110">
        <v>70</v>
      </c>
      <c r="AP257" s="110">
        <v>28</v>
      </c>
      <c r="AQ257" s="282">
        <f t="shared" si="223"/>
        <v>71.555555555555557</v>
      </c>
      <c r="AR257" s="288">
        <f t="shared" si="224"/>
        <v>41753.686793333341</v>
      </c>
      <c r="AS257" s="93"/>
      <c r="AT257" s="4"/>
    </row>
    <row r="258" spans="1:46">
      <c r="A258" s="72">
        <f t="shared" si="203"/>
        <v>120</v>
      </c>
      <c r="B258" s="15">
        <v>2.4500000000000002</v>
      </c>
      <c r="C258" s="66">
        <f t="shared" si="204"/>
        <v>294</v>
      </c>
      <c r="D258" s="68">
        <v>450</v>
      </c>
      <c r="E258" s="66">
        <f t="shared" si="205"/>
        <v>480</v>
      </c>
      <c r="F258" s="45">
        <f t="shared" si="206"/>
        <v>228.53448155422686</v>
      </c>
      <c r="G258" s="94">
        <f t="shared" si="207"/>
        <v>12</v>
      </c>
      <c r="H258" s="295">
        <f t="shared" si="194"/>
        <v>140.93184000000002</v>
      </c>
      <c r="I258" s="25">
        <f t="shared" si="195"/>
        <v>244.10110728416782</v>
      </c>
      <c r="J258" s="52">
        <f t="shared" si="208"/>
        <v>20</v>
      </c>
      <c r="K258" s="25">
        <f t="shared" si="196"/>
        <v>448.2</v>
      </c>
      <c r="L258" s="158">
        <f t="shared" si="197"/>
        <v>190</v>
      </c>
      <c r="M258" s="64">
        <f t="shared" si="209"/>
        <v>30</v>
      </c>
      <c r="N258" s="838">
        <f t="shared" si="198"/>
        <v>297.09482602049491</v>
      </c>
      <c r="O258" s="68">
        <f>LOOKUP(N258,'Circuit Breakers'!$B$5:$B$38,'Circuit Breakers'!$C$5:$C$38)</f>
        <v>300</v>
      </c>
      <c r="P258" s="199">
        <f t="shared" si="199"/>
        <v>30</v>
      </c>
      <c r="Q258" s="1056">
        <f t="shared" si="210"/>
        <v>582.66</v>
      </c>
      <c r="R258" s="1064">
        <f>LOOKUP(Q258,'Circuit Breakers'!$B$5:$B$38,'Circuit Breakers'!$C$5:$C$38)</f>
        <v>600</v>
      </c>
      <c r="S258" s="64">
        <f t="shared" si="200"/>
        <v>30</v>
      </c>
      <c r="T258" s="25">
        <f t="shared" si="211"/>
        <v>585</v>
      </c>
      <c r="U258" s="158">
        <f>LOOKUP(T258,'Circuit Breakers'!$B$5:$B$38,'Circuit Breakers'!$C$5:$C$38)</f>
        <v>600</v>
      </c>
      <c r="V258" s="64">
        <f t="shared" si="212"/>
        <v>15</v>
      </c>
      <c r="W258" s="25">
        <f t="shared" si="213"/>
        <v>262.81465378736084</v>
      </c>
      <c r="X258" s="68" t="str">
        <f>LOOKUP(W258,'Wire-Cables Ampacities'!$B$5:$B$35,'Wire-Cables Ampacities'!$C$5:$C$35)</f>
        <v>#4/0</v>
      </c>
      <c r="Y258" s="64">
        <f t="shared" si="214"/>
        <v>10</v>
      </c>
      <c r="Z258" s="25">
        <f t="shared" si="215"/>
        <v>493.02000000000004</v>
      </c>
      <c r="AA258" s="68" t="str">
        <f>LOOKUP(Z258,'Wire-Cables Ampacities'!$B$5:$B$35,'Wire-Cables Ampacities'!$C$5:$C$35)</f>
        <v>#3/0 2x</v>
      </c>
      <c r="AB258" s="64">
        <f t="shared" si="216"/>
        <v>10</v>
      </c>
      <c r="AC258" s="25">
        <f t="shared" si="217"/>
        <v>495.00000000000006</v>
      </c>
      <c r="AD258" s="68" t="str">
        <f>LOOKUP(AC258,'Wire-Cables Ampacities'!$B$5:$B$35,'Wire-Cables Ampacities'!$C$5:$C$35)</f>
        <v>#3/0 2x</v>
      </c>
      <c r="AE258" s="81">
        <f t="shared" si="218"/>
        <v>14.2</v>
      </c>
      <c r="AF258" s="56">
        <f t="shared" si="201"/>
        <v>48452.416399999995</v>
      </c>
      <c r="AG258" s="72">
        <f t="shared" si="219"/>
        <v>40</v>
      </c>
      <c r="AH258" s="15">
        <f t="shared" si="219"/>
        <v>55</v>
      </c>
      <c r="AI258" s="64">
        <f t="shared" si="219"/>
        <v>20</v>
      </c>
      <c r="AJ258" s="56">
        <f t="shared" si="220"/>
        <v>1999.3600000000001</v>
      </c>
      <c r="AK258" s="271">
        <f t="shared" si="221"/>
        <v>19.993600000000001</v>
      </c>
      <c r="AL258" s="277">
        <f t="shared" si="222"/>
        <v>9.9968000000000004</v>
      </c>
      <c r="AM258" s="58">
        <v>1200</v>
      </c>
      <c r="AN258" s="25">
        <v>38</v>
      </c>
      <c r="AO258" s="3">
        <v>70</v>
      </c>
      <c r="AP258" s="3">
        <v>28</v>
      </c>
      <c r="AQ258" s="281">
        <f t="shared" si="223"/>
        <v>71.555555555555557</v>
      </c>
      <c r="AR258" s="287">
        <f t="shared" si="224"/>
        <v>47110.74973333333</v>
      </c>
      <c r="AS258" s="93"/>
      <c r="AT258" s="4"/>
    </row>
    <row r="259" spans="1:46">
      <c r="A259" s="72">
        <f t="shared" si="203"/>
        <v>120</v>
      </c>
      <c r="B259" s="15">
        <v>2.4500000000000002</v>
      </c>
      <c r="C259" s="66">
        <f t="shared" si="204"/>
        <v>294</v>
      </c>
      <c r="D259" s="68">
        <v>500</v>
      </c>
      <c r="E259" s="66">
        <f t="shared" si="205"/>
        <v>480</v>
      </c>
      <c r="F259" s="45">
        <f t="shared" si="206"/>
        <v>253.79355583127298</v>
      </c>
      <c r="G259" s="94">
        <f t="shared" si="207"/>
        <v>12</v>
      </c>
      <c r="H259" s="295">
        <f t="shared" si="194"/>
        <v>140.93184000000002</v>
      </c>
      <c r="I259" s="25">
        <f t="shared" si="195"/>
        <v>244.10110728416782</v>
      </c>
      <c r="J259" s="52">
        <f t="shared" si="208"/>
        <v>20</v>
      </c>
      <c r="K259" s="25">
        <f t="shared" si="196"/>
        <v>498</v>
      </c>
      <c r="L259" s="158">
        <f t="shared" si="197"/>
        <v>211</v>
      </c>
      <c r="M259" s="64">
        <f t="shared" si="209"/>
        <v>30</v>
      </c>
      <c r="N259" s="838">
        <f t="shared" si="198"/>
        <v>329.9316225806549</v>
      </c>
      <c r="O259" s="68">
        <f>LOOKUP(N259,'Circuit Breakers'!$B$5:$B$38,'Circuit Breakers'!$C$5:$C$38)</f>
        <v>350</v>
      </c>
      <c r="P259" s="199">
        <f t="shared" si="199"/>
        <v>30</v>
      </c>
      <c r="Q259" s="1056">
        <f t="shared" si="210"/>
        <v>647.4</v>
      </c>
      <c r="R259" s="1064">
        <f>LOOKUP(Q259,'Circuit Breakers'!$B$5:$B$38,'Circuit Breakers'!$C$5:$C$38)</f>
        <v>700</v>
      </c>
      <c r="S259" s="64">
        <f t="shared" si="200"/>
        <v>30</v>
      </c>
      <c r="T259" s="25">
        <f t="shared" si="211"/>
        <v>650</v>
      </c>
      <c r="U259" s="158">
        <f>LOOKUP(T259,'Circuit Breakers'!$B$5:$B$38,'Circuit Breakers'!$C$5:$C$38)</f>
        <v>700</v>
      </c>
      <c r="V259" s="64">
        <f t="shared" si="212"/>
        <v>15</v>
      </c>
      <c r="W259" s="25">
        <f t="shared" si="213"/>
        <v>291.8625892059639</v>
      </c>
      <c r="X259" s="68" t="str">
        <f>LOOKUP(W259,'Wire-Cables Ampacities'!$B$5:$B$35,'Wire-Cables Ampacities'!$C$5:$C$35)</f>
        <v>#4/0</v>
      </c>
      <c r="Y259" s="64">
        <f t="shared" si="214"/>
        <v>10</v>
      </c>
      <c r="Z259" s="25">
        <f t="shared" si="215"/>
        <v>547.80000000000007</v>
      </c>
      <c r="AA259" s="68" t="str">
        <f>LOOKUP(Z259,'Wire-Cables Ampacities'!$B$5:$B$35,'Wire-Cables Ampacities'!$C$5:$C$35)</f>
        <v>#4/0 2x</v>
      </c>
      <c r="AB259" s="64">
        <f t="shared" si="216"/>
        <v>10</v>
      </c>
      <c r="AC259" s="25">
        <f t="shared" si="217"/>
        <v>550</v>
      </c>
      <c r="AD259" s="68" t="str">
        <f>LOOKUP(AC259,'Wire-Cables Ampacities'!$B$5:$B$35,'Wire-Cables Ampacities'!$C$5:$C$35)</f>
        <v>#4/0 2x</v>
      </c>
      <c r="AE259" s="81">
        <f t="shared" si="218"/>
        <v>15.770000000000001</v>
      </c>
      <c r="AF259" s="56">
        <f t="shared" si="201"/>
        <v>53809.479340000005</v>
      </c>
      <c r="AG259" s="72">
        <f t="shared" si="219"/>
        <v>40</v>
      </c>
      <c r="AH259" s="15">
        <f t="shared" si="219"/>
        <v>55</v>
      </c>
      <c r="AI259" s="64">
        <f t="shared" si="219"/>
        <v>20</v>
      </c>
      <c r="AJ259" s="56">
        <f t="shared" si="220"/>
        <v>2220.4160000000002</v>
      </c>
      <c r="AK259" s="271">
        <f t="shared" si="221"/>
        <v>22.204160000000002</v>
      </c>
      <c r="AL259" s="277">
        <f t="shared" si="222"/>
        <v>11.102080000000001</v>
      </c>
      <c r="AM259" s="58">
        <v>1200</v>
      </c>
      <c r="AN259" s="25">
        <v>38</v>
      </c>
      <c r="AO259" s="3">
        <v>70</v>
      </c>
      <c r="AP259" s="3">
        <v>28</v>
      </c>
      <c r="AQ259" s="281">
        <f t="shared" si="223"/>
        <v>71.555555555555557</v>
      </c>
      <c r="AR259" s="287">
        <f t="shared" si="224"/>
        <v>52467.812673333341</v>
      </c>
      <c r="AS259" s="93"/>
      <c r="AT259" s="4"/>
    </row>
    <row r="260" spans="1:46">
      <c r="A260" s="98">
        <f t="shared" si="203"/>
        <v>120</v>
      </c>
      <c r="B260" s="99">
        <v>2.4500000000000002</v>
      </c>
      <c r="C260" s="100">
        <f t="shared" si="204"/>
        <v>294</v>
      </c>
      <c r="D260" s="101">
        <v>600</v>
      </c>
      <c r="E260" s="100">
        <f t="shared" si="205"/>
        <v>480</v>
      </c>
      <c r="F260" s="102">
        <f t="shared" si="206"/>
        <v>304.31170438536526</v>
      </c>
      <c r="G260" s="103">
        <f t="shared" si="207"/>
        <v>12</v>
      </c>
      <c r="H260" s="296">
        <f t="shared" si="194"/>
        <v>140.93184000000002</v>
      </c>
      <c r="I260" s="104">
        <f t="shared" si="195"/>
        <v>244.10110728416782</v>
      </c>
      <c r="J260" s="180">
        <f t="shared" si="208"/>
        <v>20</v>
      </c>
      <c r="K260" s="104">
        <f t="shared" si="196"/>
        <v>597.6</v>
      </c>
      <c r="L260" s="477">
        <f t="shared" si="197"/>
        <v>253</v>
      </c>
      <c r="M260" s="106">
        <f t="shared" si="209"/>
        <v>30</v>
      </c>
      <c r="N260" s="1060">
        <f t="shared" si="198"/>
        <v>395.60521570097484</v>
      </c>
      <c r="O260" s="101">
        <f>LOOKUP(N260,'Circuit Breakers'!$B$5:$B$38,'Circuit Breakers'!$C$5:$C$38)</f>
        <v>400</v>
      </c>
      <c r="P260" s="262">
        <f t="shared" si="199"/>
        <v>30</v>
      </c>
      <c r="Q260" s="1057">
        <f t="shared" si="210"/>
        <v>776.88000000000011</v>
      </c>
      <c r="R260" s="1065">
        <f>LOOKUP(Q260,'Circuit Breakers'!$B$5:$B$38,'Circuit Breakers'!$C$5:$C$38)</f>
        <v>800</v>
      </c>
      <c r="S260" s="106">
        <f t="shared" si="200"/>
        <v>30</v>
      </c>
      <c r="T260" s="104">
        <f t="shared" si="211"/>
        <v>780</v>
      </c>
      <c r="U260" s="477">
        <f>LOOKUP(T260,'Circuit Breakers'!$B$5:$B$38,'Circuit Breakers'!$C$5:$C$38)</f>
        <v>800</v>
      </c>
      <c r="V260" s="106">
        <f t="shared" si="212"/>
        <v>15</v>
      </c>
      <c r="W260" s="104">
        <f t="shared" si="213"/>
        <v>349.95846004317002</v>
      </c>
      <c r="X260" s="101" t="str">
        <f>LOOKUP(W260,'Wire-Cables Ampacities'!$B$5:$B$35,'Wire-Cables Ampacities'!$C$5:$C$35)</f>
        <v>300MCM</v>
      </c>
      <c r="Y260" s="106">
        <f t="shared" si="214"/>
        <v>10</v>
      </c>
      <c r="Z260" s="104">
        <f t="shared" si="215"/>
        <v>657.36000000000013</v>
      </c>
      <c r="AA260" s="101" t="str">
        <f>LOOKUP(Z260,'Wire-Cables Ampacities'!$B$5:$B$35,'Wire-Cables Ampacities'!$C$5:$C$35)</f>
        <v>300MCM 2x</v>
      </c>
      <c r="AB260" s="106">
        <f t="shared" si="216"/>
        <v>10</v>
      </c>
      <c r="AC260" s="104">
        <f t="shared" si="217"/>
        <v>660</v>
      </c>
      <c r="AD260" s="101" t="str">
        <f>LOOKUP(AC260,'Wire-Cables Ampacities'!$B$5:$B$35,'Wire-Cables Ampacities'!$C$5:$C$35)</f>
        <v>300MCM 2x</v>
      </c>
      <c r="AE260" s="107">
        <f t="shared" si="218"/>
        <v>18.91</v>
      </c>
      <c r="AF260" s="105">
        <f t="shared" si="201"/>
        <v>64523.60521999999</v>
      </c>
      <c r="AG260" s="98">
        <f t="shared" si="219"/>
        <v>40</v>
      </c>
      <c r="AH260" s="99">
        <f t="shared" si="219"/>
        <v>55</v>
      </c>
      <c r="AI260" s="106">
        <f t="shared" si="219"/>
        <v>20</v>
      </c>
      <c r="AJ260" s="105">
        <f t="shared" si="220"/>
        <v>2662.5279999999998</v>
      </c>
      <c r="AK260" s="272">
        <f t="shared" si="221"/>
        <v>26.625279999999997</v>
      </c>
      <c r="AL260" s="278">
        <f t="shared" si="222"/>
        <v>13.312639999999998</v>
      </c>
      <c r="AM260" s="109">
        <v>1200</v>
      </c>
      <c r="AN260" s="104">
        <v>38</v>
      </c>
      <c r="AO260" s="110">
        <v>70</v>
      </c>
      <c r="AP260" s="110">
        <v>28</v>
      </c>
      <c r="AQ260" s="282">
        <f t="shared" si="223"/>
        <v>71.555555555555557</v>
      </c>
      <c r="AR260" s="288">
        <f t="shared" si="224"/>
        <v>63181.938553333326</v>
      </c>
      <c r="AS260" s="93"/>
      <c r="AT260" s="4"/>
    </row>
    <row r="261" spans="1:46">
      <c r="A261" s="72">
        <f t="shared" si="203"/>
        <v>120</v>
      </c>
      <c r="B261" s="15">
        <v>2.4500000000000002</v>
      </c>
      <c r="C261" s="66">
        <f t="shared" si="204"/>
        <v>294</v>
      </c>
      <c r="D261" s="68">
        <v>700</v>
      </c>
      <c r="E261" s="66">
        <f t="shared" si="205"/>
        <v>480</v>
      </c>
      <c r="F261" s="45">
        <f t="shared" si="206"/>
        <v>354.82985293945757</v>
      </c>
      <c r="G261" s="94">
        <f t="shared" si="207"/>
        <v>12</v>
      </c>
      <c r="H261" s="295">
        <f t="shared" si="194"/>
        <v>140.93184000000002</v>
      </c>
      <c r="I261" s="25">
        <f t="shared" si="195"/>
        <v>244.10110728416782</v>
      </c>
      <c r="J261" s="52">
        <f t="shared" si="208"/>
        <v>20</v>
      </c>
      <c r="K261" s="25">
        <f t="shared" si="196"/>
        <v>697.19999999999993</v>
      </c>
      <c r="L261" s="158">
        <f t="shared" si="197"/>
        <v>295</v>
      </c>
      <c r="M261" s="64">
        <f t="shared" si="209"/>
        <v>30</v>
      </c>
      <c r="N261" s="838">
        <f t="shared" si="198"/>
        <v>461.27880882129483</v>
      </c>
      <c r="O261" s="68">
        <f>LOOKUP(N261,'Circuit Breakers'!$B$5:$B$38,'Circuit Breakers'!$C$5:$C$38)</f>
        <v>500</v>
      </c>
      <c r="P261" s="199">
        <f t="shared" si="199"/>
        <v>30</v>
      </c>
      <c r="Q261" s="1056">
        <f t="shared" si="210"/>
        <v>906.3599999999999</v>
      </c>
      <c r="R261" s="1064">
        <f>LOOKUP(Q261,'Circuit Breakers'!$B$5:$B$38,'Circuit Breakers'!$C$5:$C$38)</f>
        <v>1000</v>
      </c>
      <c r="S261" s="64">
        <f t="shared" si="200"/>
        <v>30</v>
      </c>
      <c r="T261" s="25">
        <f t="shared" si="211"/>
        <v>910</v>
      </c>
      <c r="U261" s="158">
        <f>LOOKUP(T261,'Circuit Breakers'!$B$5:$B$38,'Circuit Breakers'!$C$5:$C$38)</f>
        <v>1000</v>
      </c>
      <c r="V261" s="64">
        <f t="shared" si="212"/>
        <v>15</v>
      </c>
      <c r="W261" s="25">
        <f t="shared" si="213"/>
        <v>408.05433088037614</v>
      </c>
      <c r="X261" s="68" t="str">
        <f>LOOKUP(W261,'Wire-Cables Ampacities'!$B$5:$B$35,'Wire-Cables Ampacities'!$C$5:$C$35)</f>
        <v>#2/0 2x</v>
      </c>
      <c r="Y261" s="64">
        <f t="shared" si="214"/>
        <v>10</v>
      </c>
      <c r="Z261" s="25">
        <f t="shared" si="215"/>
        <v>766.92</v>
      </c>
      <c r="AA261" s="68" t="str">
        <f>LOOKUP(Z261,'Wire-Cables Ampacities'!$B$5:$B$35,'Wire-Cables Ampacities'!$C$5:$C$35)</f>
        <v>Buss</v>
      </c>
      <c r="AB261" s="64">
        <f t="shared" si="216"/>
        <v>10</v>
      </c>
      <c r="AC261" s="25">
        <f t="shared" si="217"/>
        <v>770.00000000000011</v>
      </c>
      <c r="AD261" s="68" t="str">
        <f>LOOKUP(AC261,'Wire-Cables Ampacities'!$B$5:$B$35,'Wire-Cables Ampacities'!$C$5:$C$35)</f>
        <v>Buss</v>
      </c>
      <c r="AE261" s="81">
        <f t="shared" si="218"/>
        <v>22.050000000000004</v>
      </c>
      <c r="AF261" s="56">
        <f t="shared" si="201"/>
        <v>75237.731100000005</v>
      </c>
      <c r="AG261" s="72">
        <f t="shared" si="219"/>
        <v>40</v>
      </c>
      <c r="AH261" s="15">
        <f t="shared" si="219"/>
        <v>55</v>
      </c>
      <c r="AI261" s="64">
        <f t="shared" si="219"/>
        <v>20</v>
      </c>
      <c r="AJ261" s="56">
        <f t="shared" si="220"/>
        <v>3104.6400000000003</v>
      </c>
      <c r="AK261" s="271">
        <f t="shared" si="221"/>
        <v>31.046400000000002</v>
      </c>
      <c r="AL261" s="277">
        <f t="shared" si="222"/>
        <v>15.523200000000001</v>
      </c>
      <c r="AM261" s="58">
        <v>1200</v>
      </c>
      <c r="AN261" s="25">
        <v>38</v>
      </c>
      <c r="AO261" s="3">
        <v>70</v>
      </c>
      <c r="AP261" s="3">
        <v>28</v>
      </c>
      <c r="AQ261" s="281">
        <f t="shared" si="223"/>
        <v>71.555555555555557</v>
      </c>
      <c r="AR261" s="287">
        <f t="shared" si="224"/>
        <v>73896.064433333333</v>
      </c>
      <c r="AS261" s="93"/>
      <c r="AT261" s="4"/>
    </row>
    <row r="262" spans="1:46">
      <c r="A262" s="72">
        <f t="shared" si="203"/>
        <v>120</v>
      </c>
      <c r="B262" s="15">
        <v>2.4500000000000002</v>
      </c>
      <c r="C262" s="66">
        <f t="shared" si="204"/>
        <v>294</v>
      </c>
      <c r="D262" s="68">
        <v>800</v>
      </c>
      <c r="E262" s="66">
        <f t="shared" si="205"/>
        <v>480</v>
      </c>
      <c r="F262" s="45">
        <f t="shared" si="206"/>
        <v>405.34800149354982</v>
      </c>
      <c r="G262" s="94">
        <f t="shared" si="207"/>
        <v>12</v>
      </c>
      <c r="H262" s="295">
        <f t="shared" si="194"/>
        <v>140.93184000000002</v>
      </c>
      <c r="I262" s="25">
        <f t="shared" si="195"/>
        <v>244.10110728416782</v>
      </c>
      <c r="J262" s="52">
        <f t="shared" si="208"/>
        <v>20</v>
      </c>
      <c r="K262" s="25">
        <f t="shared" si="196"/>
        <v>796.8</v>
      </c>
      <c r="L262" s="158">
        <f t="shared" si="197"/>
        <v>337</v>
      </c>
      <c r="M262" s="64">
        <f t="shared" si="209"/>
        <v>30</v>
      </c>
      <c r="N262" s="838">
        <f t="shared" si="198"/>
        <v>526.95240194161477</v>
      </c>
      <c r="O262" s="68">
        <f>LOOKUP(N262,'Circuit Breakers'!$B$5:$B$38,'Circuit Breakers'!$C$5:$C$38)</f>
        <v>600</v>
      </c>
      <c r="P262" s="199">
        <f t="shared" si="199"/>
        <v>30</v>
      </c>
      <c r="Q262" s="1056">
        <f t="shared" si="210"/>
        <v>1035.8399999999999</v>
      </c>
      <c r="R262" s="1064">
        <f>LOOKUP(Q262,'Circuit Breakers'!$B$5:$B$38,'Circuit Breakers'!$C$5:$C$38)</f>
        <v>1200</v>
      </c>
      <c r="S262" s="64">
        <f t="shared" si="200"/>
        <v>30</v>
      </c>
      <c r="T262" s="25">
        <f t="shared" si="211"/>
        <v>1040</v>
      </c>
      <c r="U262" s="158">
        <f>LOOKUP(T262,'Circuit Breakers'!$B$5:$B$38,'Circuit Breakers'!$C$5:$C$38)</f>
        <v>1200</v>
      </c>
      <c r="V262" s="64">
        <f t="shared" si="212"/>
        <v>15</v>
      </c>
      <c r="W262" s="25">
        <f t="shared" si="213"/>
        <v>466.15020171758226</v>
      </c>
      <c r="X262" s="68" t="str">
        <f>LOOKUP(W262,'Wire-Cables Ampacities'!$B$5:$B$35,'Wire-Cables Ampacities'!$C$5:$C$35)</f>
        <v>#3/0 2x</v>
      </c>
      <c r="Y262" s="64">
        <f t="shared" si="214"/>
        <v>10</v>
      </c>
      <c r="Z262" s="25">
        <f t="shared" si="215"/>
        <v>876.48</v>
      </c>
      <c r="AA262" s="68" t="str">
        <f>LOOKUP(Z262,'Wire-Cables Ampacities'!$B$5:$B$35,'Wire-Cables Ampacities'!$C$5:$C$35)</f>
        <v>Buss</v>
      </c>
      <c r="AB262" s="64">
        <f t="shared" si="216"/>
        <v>10</v>
      </c>
      <c r="AC262" s="25">
        <f t="shared" si="217"/>
        <v>880.00000000000011</v>
      </c>
      <c r="AD262" s="68" t="str">
        <f>LOOKUP(AC262,'Wire-Cables Ampacities'!$B$5:$B$35,'Wire-Cables Ampacities'!$C$5:$C$35)</f>
        <v>Buss</v>
      </c>
      <c r="AE262" s="81">
        <f t="shared" si="218"/>
        <v>25.190000000000005</v>
      </c>
      <c r="AF262" s="56">
        <f t="shared" si="201"/>
        <v>85951.856980000011</v>
      </c>
      <c r="AG262" s="72">
        <f t="shared" si="219"/>
        <v>40</v>
      </c>
      <c r="AH262" s="15">
        <f t="shared" si="219"/>
        <v>55</v>
      </c>
      <c r="AI262" s="64">
        <f t="shared" si="219"/>
        <v>20</v>
      </c>
      <c r="AJ262" s="56">
        <f t="shared" si="220"/>
        <v>3546.7520000000009</v>
      </c>
      <c r="AK262" s="271">
        <f t="shared" si="221"/>
        <v>35.467520000000007</v>
      </c>
      <c r="AL262" s="277">
        <f t="shared" si="222"/>
        <v>17.733760000000004</v>
      </c>
      <c r="AM262" s="58">
        <v>1200</v>
      </c>
      <c r="AN262" s="25">
        <v>38</v>
      </c>
      <c r="AO262" s="3">
        <v>70</v>
      </c>
      <c r="AP262" s="3">
        <v>28</v>
      </c>
      <c r="AQ262" s="281">
        <f t="shared" si="223"/>
        <v>71.555555555555557</v>
      </c>
      <c r="AR262" s="287">
        <f t="shared" si="224"/>
        <v>84610.19031333334</v>
      </c>
      <c r="AS262" s="93"/>
      <c r="AT262" s="4"/>
    </row>
    <row r="263" spans="1:46">
      <c r="A263" s="98">
        <f t="shared" si="203"/>
        <v>120</v>
      </c>
      <c r="B263" s="99">
        <v>2.4500000000000002</v>
      </c>
      <c r="C263" s="100">
        <f t="shared" si="204"/>
        <v>294</v>
      </c>
      <c r="D263" s="101">
        <v>900</v>
      </c>
      <c r="E263" s="100">
        <f t="shared" si="205"/>
        <v>480</v>
      </c>
      <c r="F263" s="102">
        <f t="shared" si="206"/>
        <v>455.86615004764207</v>
      </c>
      <c r="G263" s="103">
        <f t="shared" si="207"/>
        <v>12</v>
      </c>
      <c r="H263" s="296">
        <f t="shared" si="194"/>
        <v>140.93184000000002</v>
      </c>
      <c r="I263" s="104">
        <f t="shared" si="195"/>
        <v>244.10110728416782</v>
      </c>
      <c r="J263" s="180">
        <f t="shared" si="208"/>
        <v>20</v>
      </c>
      <c r="K263" s="104">
        <f t="shared" si="196"/>
        <v>896.4</v>
      </c>
      <c r="L263" s="477">
        <f t="shared" si="197"/>
        <v>379</v>
      </c>
      <c r="M263" s="106">
        <f t="shared" si="209"/>
        <v>30</v>
      </c>
      <c r="N263" s="1060">
        <f t="shared" si="198"/>
        <v>592.62599506193476</v>
      </c>
      <c r="O263" s="101">
        <f>LOOKUP(N263,'Circuit Breakers'!$B$5:$B$38,'Circuit Breakers'!$C$5:$C$38)</f>
        <v>600</v>
      </c>
      <c r="P263" s="262">
        <f t="shared" si="199"/>
        <v>30</v>
      </c>
      <c r="Q263" s="1057">
        <f t="shared" si="210"/>
        <v>1165.32</v>
      </c>
      <c r="R263" s="1065">
        <f>LOOKUP(Q263,'Circuit Breakers'!$B$5:$B$38,'Circuit Breakers'!$C$5:$C$38)</f>
        <v>1200</v>
      </c>
      <c r="S263" s="106">
        <f t="shared" si="200"/>
        <v>30</v>
      </c>
      <c r="T263" s="104">
        <f t="shared" si="211"/>
        <v>1170</v>
      </c>
      <c r="U263" s="477">
        <f>LOOKUP(T263,'Circuit Breakers'!$B$5:$B$38,'Circuit Breakers'!$C$5:$C$38)</f>
        <v>1200</v>
      </c>
      <c r="V263" s="106">
        <f t="shared" si="212"/>
        <v>15</v>
      </c>
      <c r="W263" s="104">
        <f t="shared" si="213"/>
        <v>524.24607255478838</v>
      </c>
      <c r="X263" s="101" t="str">
        <f>LOOKUP(W263,'Wire-Cables Ampacities'!$B$5:$B$35,'Wire-Cables Ampacities'!$C$5:$C$35)</f>
        <v>#4/0 2x</v>
      </c>
      <c r="Y263" s="106">
        <f t="shared" si="214"/>
        <v>10</v>
      </c>
      <c r="Z263" s="104">
        <f t="shared" si="215"/>
        <v>986.04000000000008</v>
      </c>
      <c r="AA263" s="101" t="str">
        <f>LOOKUP(Z263,'Wire-Cables Ampacities'!$B$5:$B$35,'Wire-Cables Ampacities'!$C$5:$C$35)</f>
        <v>Buss</v>
      </c>
      <c r="AB263" s="106">
        <f t="shared" si="216"/>
        <v>10</v>
      </c>
      <c r="AC263" s="104">
        <f t="shared" si="217"/>
        <v>990.00000000000011</v>
      </c>
      <c r="AD263" s="101" t="str">
        <f>LOOKUP(AC263,'Wire-Cables Ampacities'!$B$5:$B$35,'Wire-Cables Ampacities'!$C$5:$C$35)</f>
        <v>Buss</v>
      </c>
      <c r="AE263" s="107">
        <f t="shared" si="218"/>
        <v>28.33</v>
      </c>
      <c r="AF263" s="105">
        <f t="shared" si="201"/>
        <v>96665.982859999989</v>
      </c>
      <c r="AG263" s="98">
        <f t="shared" si="219"/>
        <v>40</v>
      </c>
      <c r="AH263" s="99">
        <f t="shared" si="219"/>
        <v>55</v>
      </c>
      <c r="AI263" s="106">
        <f t="shared" si="219"/>
        <v>20</v>
      </c>
      <c r="AJ263" s="105">
        <f t="shared" si="220"/>
        <v>3988.8639999999991</v>
      </c>
      <c r="AK263" s="272">
        <f t="shared" si="221"/>
        <v>39.888639999999988</v>
      </c>
      <c r="AL263" s="278">
        <f t="shared" si="222"/>
        <v>19.944319999999994</v>
      </c>
      <c r="AM263" s="109">
        <v>1200</v>
      </c>
      <c r="AN263" s="104">
        <v>38</v>
      </c>
      <c r="AO263" s="110">
        <v>70</v>
      </c>
      <c r="AP263" s="110">
        <v>28</v>
      </c>
      <c r="AQ263" s="282">
        <f t="shared" si="223"/>
        <v>71.555555555555557</v>
      </c>
      <c r="AR263" s="288">
        <f t="shared" si="224"/>
        <v>95324.316193333318</v>
      </c>
      <c r="AS263" s="93"/>
      <c r="AT263" s="4"/>
    </row>
    <row r="264" spans="1:46">
      <c r="A264" s="72">
        <f t="shared" si="203"/>
        <v>120</v>
      </c>
      <c r="B264" s="794">
        <v>2.4500000000000002</v>
      </c>
      <c r="C264" s="66">
        <f t="shared" si="204"/>
        <v>294</v>
      </c>
      <c r="D264" s="68">
        <v>1000</v>
      </c>
      <c r="E264" s="66">
        <f t="shared" si="205"/>
        <v>480</v>
      </c>
      <c r="F264" s="45">
        <f t="shared" si="206"/>
        <v>507.58711166254596</v>
      </c>
      <c r="G264" s="94">
        <f t="shared" si="207"/>
        <v>12</v>
      </c>
      <c r="H264" s="295">
        <f t="shared" si="194"/>
        <v>140.93184000000002</v>
      </c>
      <c r="I264" s="25">
        <f t="shared" si="195"/>
        <v>244.10110728416782</v>
      </c>
      <c r="J264" s="52">
        <f t="shared" si="208"/>
        <v>20</v>
      </c>
      <c r="K264" s="25">
        <f t="shared" si="196"/>
        <v>996</v>
      </c>
      <c r="L264" s="158">
        <f t="shared" si="197"/>
        <v>422</v>
      </c>
      <c r="M264" s="64">
        <f t="shared" si="209"/>
        <v>30</v>
      </c>
      <c r="N264" s="838">
        <f t="shared" si="198"/>
        <v>659.86324516130981</v>
      </c>
      <c r="O264" s="68">
        <f>LOOKUP(N264,'Circuit Breakers'!$B$5:$B$38,'Circuit Breakers'!$C$5:$C$38)</f>
        <v>700</v>
      </c>
      <c r="P264" s="199">
        <f t="shared" si="199"/>
        <v>30</v>
      </c>
      <c r="Q264" s="1056">
        <f t="shared" si="210"/>
        <v>1294.8</v>
      </c>
      <c r="R264" s="1064" t="str">
        <f>LOOKUP(Q264,'Circuit Breakers'!$B$5:$B$38,'Circuit Breakers'!$C$5:$C$38)</f>
        <v>Check</v>
      </c>
      <c r="S264" s="64">
        <f t="shared" si="200"/>
        <v>30</v>
      </c>
      <c r="T264" s="25">
        <f t="shared" si="211"/>
        <v>1300</v>
      </c>
      <c r="U264" s="158" t="str">
        <f>LOOKUP(T264,'Circuit Breakers'!$B$5:$B$38,'Circuit Breakers'!$C$5:$C$38)</f>
        <v>Check</v>
      </c>
      <c r="V264" s="64">
        <f t="shared" si="212"/>
        <v>15</v>
      </c>
      <c r="W264" s="25">
        <f t="shared" si="213"/>
        <v>583.7251784119278</v>
      </c>
      <c r="X264" s="68" t="str">
        <f>LOOKUP(W264,'Wire-Cables Ampacities'!$B$5:$B$35,'Wire-Cables Ampacities'!$C$5:$C$35)</f>
        <v>250MCM 2x</v>
      </c>
      <c r="Y264" s="64">
        <f t="shared" si="214"/>
        <v>10</v>
      </c>
      <c r="Z264" s="25">
        <f t="shared" si="215"/>
        <v>1095.6000000000001</v>
      </c>
      <c r="AA264" s="68" t="str">
        <f>LOOKUP(Z264,'Wire-Cables Ampacities'!$B$5:$B$35,'Wire-Cables Ampacities'!$C$5:$C$35)</f>
        <v>Buss</v>
      </c>
      <c r="AB264" s="64">
        <f t="shared" si="216"/>
        <v>10</v>
      </c>
      <c r="AC264" s="25">
        <f t="shared" si="217"/>
        <v>1100</v>
      </c>
      <c r="AD264" s="68" t="str">
        <f>LOOKUP(AC264,'Wire-Cables Ampacities'!$B$5:$B$35,'Wire-Cables Ampacities'!$C$5:$C$35)</f>
        <v>Buss</v>
      </c>
      <c r="AE264" s="81">
        <f t="shared" si="218"/>
        <v>31.540000000000003</v>
      </c>
      <c r="AF264" s="56">
        <f t="shared" si="201"/>
        <v>107618.95868000001</v>
      </c>
      <c r="AG264" s="72">
        <f t="shared" si="219"/>
        <v>40</v>
      </c>
      <c r="AH264" s="15">
        <f t="shared" si="219"/>
        <v>55</v>
      </c>
      <c r="AI264" s="64">
        <f t="shared" si="219"/>
        <v>20</v>
      </c>
      <c r="AJ264" s="56">
        <f t="shared" si="220"/>
        <v>4440.8320000000003</v>
      </c>
      <c r="AK264" s="271">
        <f t="shared" si="221"/>
        <v>44.408320000000003</v>
      </c>
      <c r="AL264" s="277">
        <f t="shared" si="222"/>
        <v>22.204160000000002</v>
      </c>
      <c r="AM264" s="58">
        <v>1200</v>
      </c>
      <c r="AN264" s="25">
        <v>38</v>
      </c>
      <c r="AO264" s="3">
        <v>70</v>
      </c>
      <c r="AP264" s="3">
        <v>28</v>
      </c>
      <c r="AQ264" s="281">
        <f t="shared" si="223"/>
        <v>71.555555555555557</v>
      </c>
      <c r="AR264" s="287">
        <f t="shared" si="224"/>
        <v>106277.29201333334</v>
      </c>
      <c r="AS264" s="93"/>
      <c r="AT264" s="4"/>
    </row>
    <row r="265" spans="1:46">
      <c r="A265" s="72">
        <f t="shared" si="203"/>
        <v>120</v>
      </c>
      <c r="B265" s="15">
        <v>2.4500000000000002</v>
      </c>
      <c r="C265" s="66">
        <f t="shared" si="204"/>
        <v>294</v>
      </c>
      <c r="D265" s="68">
        <v>1100</v>
      </c>
      <c r="E265" s="66">
        <f t="shared" si="205"/>
        <v>480</v>
      </c>
      <c r="F265" s="45">
        <f t="shared" si="206"/>
        <v>558.10526021663827</v>
      </c>
      <c r="G265" s="94">
        <f t="shared" si="207"/>
        <v>12</v>
      </c>
      <c r="H265" s="295">
        <f t="shared" si="194"/>
        <v>140.93184000000002</v>
      </c>
      <c r="I265" s="25">
        <f t="shared" si="195"/>
        <v>244.10110728416782</v>
      </c>
      <c r="J265" s="52">
        <f t="shared" si="208"/>
        <v>20</v>
      </c>
      <c r="K265" s="25">
        <f t="shared" si="196"/>
        <v>1095.5999999999999</v>
      </c>
      <c r="L265" s="158">
        <f t="shared" si="197"/>
        <v>464</v>
      </c>
      <c r="M265" s="64">
        <f t="shared" si="209"/>
        <v>30</v>
      </c>
      <c r="N265" s="838">
        <f t="shared" si="198"/>
        <v>725.5368382816298</v>
      </c>
      <c r="O265" s="68">
        <f>LOOKUP(N265,'Circuit Breakers'!$B$5:$B$38,'Circuit Breakers'!$C$5:$C$38)</f>
        <v>800</v>
      </c>
      <c r="P265" s="199">
        <f t="shared" si="199"/>
        <v>30</v>
      </c>
      <c r="Q265" s="1056">
        <f t="shared" si="210"/>
        <v>1424.28</v>
      </c>
      <c r="R265" s="1064" t="str">
        <f>LOOKUP(Q265,'Circuit Breakers'!$B$5:$B$38,'Circuit Breakers'!$C$5:$C$38)</f>
        <v>Check</v>
      </c>
      <c r="S265" s="64">
        <f t="shared" si="200"/>
        <v>30</v>
      </c>
      <c r="T265" s="25">
        <f t="shared" si="211"/>
        <v>1430</v>
      </c>
      <c r="U265" s="158" t="str">
        <f>LOOKUP(T265,'Circuit Breakers'!$B$5:$B$38,'Circuit Breakers'!$C$5:$C$38)</f>
        <v>Check</v>
      </c>
      <c r="V265" s="64">
        <f t="shared" si="212"/>
        <v>15</v>
      </c>
      <c r="W265" s="25">
        <f t="shared" si="213"/>
        <v>641.82104924913392</v>
      </c>
      <c r="X265" s="68" t="str">
        <f>LOOKUP(W265,'Wire-Cables Ampacities'!$B$5:$B$35,'Wire-Cables Ampacities'!$C$5:$C$35)</f>
        <v>250MCM 2x</v>
      </c>
      <c r="Y265" s="64">
        <f t="shared" si="214"/>
        <v>10</v>
      </c>
      <c r="Z265" s="25">
        <f t="shared" si="215"/>
        <v>1205.1600000000001</v>
      </c>
      <c r="AA265" s="68" t="str">
        <f>LOOKUP(Z265,'Wire-Cables Ampacities'!$B$5:$B$35,'Wire-Cables Ampacities'!$C$5:$C$35)</f>
        <v>Buss</v>
      </c>
      <c r="AB265" s="64">
        <f t="shared" si="216"/>
        <v>10</v>
      </c>
      <c r="AC265" s="25">
        <f t="shared" si="217"/>
        <v>1210</v>
      </c>
      <c r="AD265" s="68" t="str">
        <f>LOOKUP(AC265,'Wire-Cables Ampacities'!$B$5:$B$35,'Wire-Cables Ampacities'!$C$5:$C$35)</f>
        <v>Buss</v>
      </c>
      <c r="AE265" s="81">
        <f t="shared" si="218"/>
        <v>34.68</v>
      </c>
      <c r="AF265" s="56">
        <f t="shared" si="201"/>
        <v>118333.08455999999</v>
      </c>
      <c r="AG265" s="72">
        <f t="shared" si="219"/>
        <v>40</v>
      </c>
      <c r="AH265" s="15">
        <f t="shared" si="219"/>
        <v>55</v>
      </c>
      <c r="AI265" s="64">
        <f t="shared" si="219"/>
        <v>20</v>
      </c>
      <c r="AJ265" s="56">
        <f t="shared" si="220"/>
        <v>4882.9440000000004</v>
      </c>
      <c r="AK265" s="271">
        <f t="shared" si="221"/>
        <v>48.829440000000005</v>
      </c>
      <c r="AL265" s="277">
        <f t="shared" si="222"/>
        <v>24.414720000000003</v>
      </c>
      <c r="AM265" s="58">
        <v>1200</v>
      </c>
      <c r="AN265" s="25">
        <v>38</v>
      </c>
      <c r="AO265" s="3">
        <v>70</v>
      </c>
      <c r="AP265" s="3">
        <v>28</v>
      </c>
      <c r="AQ265" s="281">
        <f t="shared" si="223"/>
        <v>71.555555555555557</v>
      </c>
      <c r="AR265" s="287">
        <f t="shared" si="224"/>
        <v>116991.41789333332</v>
      </c>
      <c r="AS265" s="93"/>
      <c r="AT265" s="4"/>
    </row>
    <row r="266" spans="1:46" ht="13.5" thickBot="1">
      <c r="A266" s="253">
        <f t="shared" si="203"/>
        <v>120</v>
      </c>
      <c r="B266" s="254">
        <v>2.4500000000000002</v>
      </c>
      <c r="C266" s="258">
        <f t="shared" si="204"/>
        <v>294</v>
      </c>
      <c r="D266" s="259">
        <v>1200</v>
      </c>
      <c r="E266" s="258">
        <f t="shared" si="205"/>
        <v>480</v>
      </c>
      <c r="F266" s="260">
        <f t="shared" si="206"/>
        <v>608.62340877073052</v>
      </c>
      <c r="G266" s="261">
        <f t="shared" si="207"/>
        <v>12</v>
      </c>
      <c r="H266" s="297">
        <f t="shared" si="194"/>
        <v>140.93184000000002</v>
      </c>
      <c r="I266" s="264">
        <f t="shared" si="195"/>
        <v>244.10110728416782</v>
      </c>
      <c r="J266" s="265">
        <f t="shared" si="208"/>
        <v>20</v>
      </c>
      <c r="K266" s="264">
        <f t="shared" si="196"/>
        <v>1195.2</v>
      </c>
      <c r="L266" s="478">
        <f t="shared" si="197"/>
        <v>506</v>
      </c>
      <c r="M266" s="267">
        <f t="shared" si="209"/>
        <v>30</v>
      </c>
      <c r="N266" s="1061">
        <f t="shared" si="198"/>
        <v>791.21043140194968</v>
      </c>
      <c r="O266" s="259">
        <f>LOOKUP(N266,'Circuit Breakers'!$B$5:$B$38,'Circuit Breakers'!$C$5:$C$38)</f>
        <v>800</v>
      </c>
      <c r="P266" s="333">
        <f t="shared" si="199"/>
        <v>30</v>
      </c>
      <c r="Q266" s="1058">
        <f t="shared" si="210"/>
        <v>1553.7600000000002</v>
      </c>
      <c r="R266" s="1066" t="str">
        <f>LOOKUP(Q266,'Circuit Breakers'!$B$5:$B$38,'Circuit Breakers'!$C$5:$C$38)</f>
        <v>Check</v>
      </c>
      <c r="S266" s="267">
        <f t="shared" si="200"/>
        <v>30</v>
      </c>
      <c r="T266" s="264">
        <f t="shared" si="211"/>
        <v>1560</v>
      </c>
      <c r="U266" s="478" t="str">
        <f>LOOKUP(T266,'Circuit Breakers'!$B$5:$B$38,'Circuit Breakers'!$C$5:$C$38)</f>
        <v>Check</v>
      </c>
      <c r="V266" s="267">
        <f t="shared" si="212"/>
        <v>15</v>
      </c>
      <c r="W266" s="264">
        <f t="shared" si="213"/>
        <v>699.91692008634004</v>
      </c>
      <c r="X266" s="259" t="str">
        <f>LOOKUP(W266,'Wire-Cables Ampacities'!$B$5:$B$35,'Wire-Cables Ampacities'!$C$5:$C$35)</f>
        <v>300MCM 2x</v>
      </c>
      <c r="Y266" s="267">
        <f t="shared" si="214"/>
        <v>10</v>
      </c>
      <c r="Z266" s="264">
        <f t="shared" si="215"/>
        <v>1314.7200000000003</v>
      </c>
      <c r="AA266" s="259" t="str">
        <f>LOOKUP(Z266,'Wire-Cables Ampacities'!$B$5:$B$35,'Wire-Cables Ampacities'!$C$5:$C$35)</f>
        <v>Buss</v>
      </c>
      <c r="AB266" s="267">
        <f t="shared" si="216"/>
        <v>10</v>
      </c>
      <c r="AC266" s="264">
        <f t="shared" si="217"/>
        <v>1320</v>
      </c>
      <c r="AD266" s="259" t="str">
        <f>LOOKUP(AC266,'Wire-Cables Ampacities'!$B$5:$B$35,'Wire-Cables Ampacities'!$C$5:$C$35)</f>
        <v>Buss</v>
      </c>
      <c r="AE266" s="270">
        <f t="shared" si="218"/>
        <v>37.82</v>
      </c>
      <c r="AF266" s="268">
        <f t="shared" si="201"/>
        <v>129047.21043999998</v>
      </c>
      <c r="AG266" s="253">
        <f t="shared" si="219"/>
        <v>40</v>
      </c>
      <c r="AH266" s="254">
        <f t="shared" si="219"/>
        <v>55</v>
      </c>
      <c r="AI266" s="267">
        <f t="shared" si="219"/>
        <v>20</v>
      </c>
      <c r="AJ266" s="268">
        <f t="shared" si="220"/>
        <v>5325.0559999999996</v>
      </c>
      <c r="AK266" s="273">
        <f t="shared" si="221"/>
        <v>53.250559999999993</v>
      </c>
      <c r="AL266" s="279">
        <f t="shared" si="222"/>
        <v>26.625279999999997</v>
      </c>
      <c r="AM266" s="275">
        <v>1200</v>
      </c>
      <c r="AN266" s="264">
        <v>38</v>
      </c>
      <c r="AO266" s="276">
        <v>70</v>
      </c>
      <c r="AP266" s="276">
        <v>28</v>
      </c>
      <c r="AQ266" s="283">
        <f t="shared" si="223"/>
        <v>71.555555555555557</v>
      </c>
      <c r="AR266" s="289">
        <f t="shared" si="224"/>
        <v>127705.54377333331</v>
      </c>
      <c r="AS266" s="93"/>
      <c r="AT266" s="4"/>
    </row>
    <row r="268" spans="1:46" ht="13.5" thickBot="1">
      <c r="A268" s="253">
        <f t="shared" si="203"/>
        <v>120</v>
      </c>
      <c r="B268" s="254">
        <v>2.4500000000000002</v>
      </c>
      <c r="C268" s="258">
        <f>A268*B268</f>
        <v>294</v>
      </c>
      <c r="D268" s="259">
        <v>2000</v>
      </c>
      <c r="E268" s="258">
        <f>IF(L268*1000/120/SQRT(3)*1.5&lt;65,120,IF(L268*1000/208/SQRT(3)*1.5&lt;65,208,IF(L268*1000/240/SQRT(3)*1.5&lt;65,240,480)))</f>
        <v>480</v>
      </c>
      <c r="F268" s="260">
        <f>L268*1000/E268/SQRT(3)</f>
        <v>1013.9714102642803</v>
      </c>
      <c r="G268" s="261">
        <f t="shared" si="207"/>
        <v>12</v>
      </c>
      <c r="H268" s="297">
        <f>IF(C268&lt;150,0.428*(1+G268/100)*C268+3,0.428*(1+G268/100)*C268)</f>
        <v>140.93184000000002</v>
      </c>
      <c r="I268" s="264">
        <f>SQRT(3)*H268</f>
        <v>244.10110728416782</v>
      </c>
      <c r="J268" s="265">
        <f t="shared" si="208"/>
        <v>20</v>
      </c>
      <c r="K268" s="264">
        <f>(1+J268/100)*D268*0.83</f>
        <v>1992</v>
      </c>
      <c r="L268" s="478">
        <f>IF(CEILING(I268*K268*SQRT(3)/1000,0.25)&lt;10,CEILING(I268*K268*SQRT(3)/1000,0.25),IF(CEILING(I268*K268*SQRT(3)/1000,0.25)&lt;20,CEILING(I268*K268*SQRT(3)/1000,0.5),CEILING(I268*K268*SQRT(3)/1000,1)))</f>
        <v>843</v>
      </c>
      <c r="M268" s="267">
        <f t="shared" si="209"/>
        <v>30</v>
      </c>
      <c r="N268" s="1061">
        <f>(1+M268/100)*F268</f>
        <v>1318.1628333435644</v>
      </c>
      <c r="O268" s="259" t="str">
        <f>LOOKUP(N268,'Circuit Breakers'!$B$5:$B$38,'Circuit Breakers'!$C$5:$C$38)</f>
        <v>Check</v>
      </c>
      <c r="P268" s="333">
        <f t="shared" si="199"/>
        <v>30</v>
      </c>
      <c r="Q268" s="1058">
        <f>(1+P268/100)*K268</f>
        <v>2589.6</v>
      </c>
      <c r="R268" s="1066" t="str">
        <f>LOOKUP(Q268,'Circuit Breakers'!$B$5:$B$38,'Circuit Breakers'!$C$5:$C$38)</f>
        <v>Check</v>
      </c>
      <c r="S268" s="267">
        <f t="shared" si="200"/>
        <v>30</v>
      </c>
      <c r="T268" s="264">
        <f>(1+S268/100)*D268</f>
        <v>2600</v>
      </c>
      <c r="U268" s="478" t="str">
        <f>LOOKUP(T268,'Circuit Breakers'!$B$5:$B$38,'Circuit Breakers'!$C$5:$C$38)</f>
        <v>Check</v>
      </c>
      <c r="V268" s="267">
        <f t="shared" si="212"/>
        <v>15</v>
      </c>
      <c r="W268" s="264">
        <f>(1+V268/100)*F268</f>
        <v>1166.0671218039222</v>
      </c>
      <c r="X268" s="259" t="str">
        <f>LOOKUP(W268,'Wire-Cables Ampacities'!$B$5:$B$35,'Wire-Cables Ampacities'!$C$5:$C$35)</f>
        <v>Buss</v>
      </c>
      <c r="Y268" s="267">
        <f t="shared" si="214"/>
        <v>10</v>
      </c>
      <c r="Z268" s="264">
        <f>(1+Y268/100)*K268</f>
        <v>2191.2000000000003</v>
      </c>
      <c r="AA268" s="259" t="str">
        <f>LOOKUP(Z268,'Wire-Cables Ampacities'!$B$5:$B$35,'Wire-Cables Ampacities'!$C$5:$C$35)</f>
        <v>Buss</v>
      </c>
      <c r="AB268" s="267">
        <f t="shared" si="216"/>
        <v>10</v>
      </c>
      <c r="AC268" s="264">
        <f>(1+AB268/100)*D268</f>
        <v>2200</v>
      </c>
      <c r="AD268" s="259" t="str">
        <f>LOOKUP(AC268,'Wire-Cables Ampacities'!$B$5:$B$35,'Wire-Cables Ampacities'!$C$5:$C$35)</f>
        <v>Buss</v>
      </c>
      <c r="AE268" s="270">
        <f>(2*D268+0.07*L268*1000)/1000</f>
        <v>63.010000000000005</v>
      </c>
      <c r="AF268" s="268">
        <f>AE268*3.412142*1000</f>
        <v>214999.06742000001</v>
      </c>
      <c r="AG268" s="253">
        <f t="shared" si="219"/>
        <v>40</v>
      </c>
      <c r="AH268" s="254">
        <f t="shared" si="219"/>
        <v>55</v>
      </c>
      <c r="AI268" s="267">
        <f t="shared" si="219"/>
        <v>20</v>
      </c>
      <c r="AJ268" s="268">
        <f>1760*AE268/(AH268-AG268)*(1+AI268/100)</f>
        <v>8871.8080000000009</v>
      </c>
      <c r="AK268" s="273">
        <f>AJ268/AK$19</f>
        <v>88.718080000000015</v>
      </c>
      <c r="AL268" s="279">
        <f>AJ268/AL$19</f>
        <v>44.359040000000007</v>
      </c>
      <c r="AM268" s="275">
        <v>1200</v>
      </c>
      <c r="AN268" s="264">
        <v>38</v>
      </c>
      <c r="AO268" s="276">
        <v>70</v>
      </c>
      <c r="AP268" s="276">
        <v>28</v>
      </c>
      <c r="AQ268" s="283">
        <f>((2*AO268*AN268)+2*(AO268*AP268)+(AN268*AP268))/144</f>
        <v>71.555555555555557</v>
      </c>
      <c r="AR268" s="289">
        <f>AF268+(1.25*AQ268*(AG268-AH268))</f>
        <v>213657.40075333335</v>
      </c>
      <c r="AS268" s="93"/>
      <c r="AT268" s="4"/>
    </row>
  </sheetData>
  <phoneticPr fontId="2" type="noConversion"/>
  <pageMargins left="0.31" right="0.17" top="0.25" bottom="0.25" header="0.25" footer="0.25"/>
  <pageSetup paperSize="3" scale="61" fitToHeight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13"/>
  </sheetPr>
  <dimension ref="B3:I32"/>
  <sheetViews>
    <sheetView workbookViewId="0">
      <selection activeCell="C36" sqref="C36"/>
    </sheetView>
  </sheetViews>
  <sheetFormatPr baseColWidth="10" defaultColWidth="9.140625" defaultRowHeight="12.75"/>
  <sheetData>
    <row r="3" spans="2:7" ht="15">
      <c r="B3" s="1469"/>
      <c r="C3" s="1469"/>
      <c r="D3" s="1469"/>
      <c r="E3" s="1469"/>
      <c r="F3" s="1469"/>
      <c r="G3" s="1469"/>
    </row>
    <row r="4" spans="2:7" ht="15">
      <c r="B4" s="1469" t="s">
        <v>478</v>
      </c>
      <c r="C4" s="1469"/>
      <c r="D4" s="1470" t="s">
        <v>580</v>
      </c>
      <c r="E4" s="1469"/>
      <c r="F4" s="1469"/>
      <c r="G4" s="1469"/>
    </row>
    <row r="5" spans="2:7" ht="61.5">
      <c r="B5" s="1475" t="s">
        <v>108</v>
      </c>
      <c r="C5" s="1475" t="s">
        <v>108</v>
      </c>
      <c r="D5" s="1478" t="s">
        <v>476</v>
      </c>
      <c r="F5" s="1468" t="s">
        <v>584</v>
      </c>
    </row>
    <row r="6" spans="2:7" ht="15">
      <c r="B6" s="1472" t="s">
        <v>109</v>
      </c>
      <c r="C6" s="1472" t="s">
        <v>477</v>
      </c>
      <c r="D6" s="1472" t="s">
        <v>480</v>
      </c>
      <c r="F6" s="1471"/>
    </row>
    <row r="7" spans="2:7" ht="15">
      <c r="B7" s="1473">
        <v>165</v>
      </c>
      <c r="C7" s="1474">
        <v>6.4960629921259843</v>
      </c>
      <c r="D7" s="1476">
        <v>0.36899999999999999</v>
      </c>
      <c r="F7" s="1466">
        <v>16.350000000000001</v>
      </c>
      <c r="G7" s="1469"/>
    </row>
    <row r="8" spans="2:7" ht="15">
      <c r="B8" s="1473">
        <v>250</v>
      </c>
      <c r="C8" s="1477">
        <v>9.8425196850393704</v>
      </c>
      <c r="D8" s="1476">
        <v>0.28000000000000003</v>
      </c>
      <c r="F8" s="1466">
        <v>19.86</v>
      </c>
      <c r="G8" s="1469"/>
    </row>
    <row r="9" spans="2:7" ht="15">
      <c r="B9" s="1473">
        <v>330</v>
      </c>
      <c r="C9" s="1477">
        <v>12.992125984251969</v>
      </c>
      <c r="D9" s="1476">
        <v>0.255</v>
      </c>
      <c r="F9" s="1466">
        <v>24.55</v>
      </c>
      <c r="G9" s="1469"/>
    </row>
    <row r="10" spans="2:7" ht="15">
      <c r="B10" s="1473">
        <v>380</v>
      </c>
      <c r="C10" s="1477">
        <v>14.960629921259843</v>
      </c>
      <c r="D10" s="1476">
        <v>0.25</v>
      </c>
      <c r="F10" s="1466">
        <v>28.26</v>
      </c>
      <c r="G10" s="1469"/>
    </row>
    <row r="11" spans="2:7" ht="15">
      <c r="B11" s="1469"/>
      <c r="C11" s="1469"/>
      <c r="D11" s="1470" t="s">
        <v>582</v>
      </c>
      <c r="E11" s="1469"/>
      <c r="F11" s="1469"/>
      <c r="G11" s="1469"/>
    </row>
    <row r="12" spans="2:7" ht="20.25">
      <c r="B12" s="1475" t="s">
        <v>108</v>
      </c>
      <c r="C12" s="1475" t="s">
        <v>108</v>
      </c>
      <c r="D12" s="1478" t="s">
        <v>476</v>
      </c>
      <c r="E12" s="1469"/>
      <c r="F12" s="1469"/>
      <c r="G12" s="1469"/>
    </row>
    <row r="13" spans="2:7" ht="15">
      <c r="B13" s="1472" t="s">
        <v>109</v>
      </c>
      <c r="C13" s="1472" t="s">
        <v>477</v>
      </c>
      <c r="D13" s="1472" t="s">
        <v>480</v>
      </c>
      <c r="E13" s="1469"/>
      <c r="F13" s="1469"/>
      <c r="G13" s="1469"/>
    </row>
    <row r="14" spans="2:7" ht="15">
      <c r="B14" s="1473">
        <v>165</v>
      </c>
      <c r="C14" s="1474">
        <v>6.4960629921259843</v>
      </c>
      <c r="D14" s="1476">
        <v>0.33</v>
      </c>
      <c r="E14" s="1469"/>
      <c r="F14" s="1469"/>
      <c r="G14" s="1469"/>
    </row>
    <row r="15" spans="2:7" ht="15">
      <c r="B15" s="1473">
        <v>250</v>
      </c>
      <c r="C15" s="1477">
        <v>9.8425196850393704</v>
      </c>
      <c r="D15" s="1476">
        <v>0.24099999999999999</v>
      </c>
      <c r="E15" s="1469"/>
      <c r="F15" s="1469"/>
      <c r="G15" s="1469"/>
    </row>
    <row r="16" spans="2:7" ht="15">
      <c r="B16" s="1473">
        <v>330</v>
      </c>
      <c r="C16" s="1477">
        <v>12.992125984251969</v>
      </c>
      <c r="D16" s="1476">
        <v>0.22</v>
      </c>
      <c r="E16" s="1469"/>
      <c r="F16" s="1469"/>
      <c r="G16" s="1469"/>
    </row>
    <row r="17" spans="2:9" ht="15">
      <c r="B17" s="1473">
        <v>380</v>
      </c>
      <c r="C17" s="1477">
        <v>14.960629921259843</v>
      </c>
      <c r="D17" s="1476">
        <v>0.21</v>
      </c>
      <c r="E17" s="1469"/>
      <c r="F17" s="1469"/>
      <c r="G17" s="1469"/>
    </row>
    <row r="18" spans="2:9" ht="15">
      <c r="B18" s="1469"/>
      <c r="C18" s="1469"/>
      <c r="D18" s="1479"/>
      <c r="E18" s="1469"/>
      <c r="F18" s="1469"/>
      <c r="G18" s="1469"/>
    </row>
    <row r="19" spans="2:9" ht="15">
      <c r="B19" s="1469" t="s">
        <v>583</v>
      </c>
      <c r="C19" s="1469"/>
      <c r="D19" s="1470" t="s">
        <v>580</v>
      </c>
      <c r="E19" s="1469"/>
      <c r="F19" s="1469"/>
      <c r="G19" s="1469"/>
    </row>
    <row r="20" spans="2:9" ht="61.5">
      <c r="B20" s="1475" t="s">
        <v>108</v>
      </c>
      <c r="C20" s="1475" t="s">
        <v>108</v>
      </c>
      <c r="D20" s="1478" t="s">
        <v>476</v>
      </c>
      <c r="F20" s="1468" t="s">
        <v>584</v>
      </c>
      <c r="G20" s="1"/>
      <c r="H20" s="1"/>
      <c r="I20" s="1"/>
    </row>
    <row r="21" spans="2:9" ht="15">
      <c r="B21" s="1472" t="s">
        <v>109</v>
      </c>
      <c r="C21" s="1472" t="s">
        <v>477</v>
      </c>
      <c r="D21" s="1472" t="s">
        <v>480</v>
      </c>
      <c r="F21" s="1471"/>
      <c r="G21" s="1467" t="s">
        <v>581</v>
      </c>
      <c r="H21" s="1467" t="s">
        <v>143</v>
      </c>
      <c r="I21" s="480" t="s">
        <v>578</v>
      </c>
    </row>
    <row r="22" spans="2:9" ht="15">
      <c r="B22" s="1473">
        <v>165</v>
      </c>
      <c r="C22" s="1474">
        <v>6.4960629921259843</v>
      </c>
      <c r="D22" s="1476">
        <v>0.122</v>
      </c>
      <c r="F22" s="1466">
        <v>16.350000000000001</v>
      </c>
      <c r="G22" s="1467">
        <v>1.83</v>
      </c>
      <c r="H22" s="1467">
        <v>10</v>
      </c>
      <c r="I22" s="1462">
        <f>F22+G22+H22</f>
        <v>28.18</v>
      </c>
    </row>
    <row r="23" spans="2:9" ht="15">
      <c r="B23" s="1473">
        <v>250</v>
      </c>
      <c r="C23" s="1477">
        <v>9.8425196850393704</v>
      </c>
      <c r="D23" s="1476">
        <v>0.115</v>
      </c>
      <c r="F23" s="1466">
        <v>19.86</v>
      </c>
      <c r="G23" s="1467">
        <v>1.83</v>
      </c>
      <c r="H23" s="1467">
        <v>10</v>
      </c>
      <c r="I23" s="1462">
        <f>F23+G23+H23</f>
        <v>31.689999999999998</v>
      </c>
    </row>
    <row r="24" spans="2:9" ht="15">
      <c r="B24" s="1473">
        <v>330</v>
      </c>
      <c r="C24" s="1477">
        <v>12.992125984251969</v>
      </c>
      <c r="D24" s="1476">
        <v>0.11</v>
      </c>
      <c r="F24" s="1466">
        <v>24.55</v>
      </c>
      <c r="G24" s="1467">
        <v>1.83</v>
      </c>
      <c r="H24" s="1467">
        <v>10</v>
      </c>
      <c r="I24" s="1462">
        <f>F24+G24+H24</f>
        <v>36.380000000000003</v>
      </c>
    </row>
    <row r="25" spans="2:9" ht="15">
      <c r="B25" s="1473">
        <v>380</v>
      </c>
      <c r="C25" s="1477">
        <v>14.960629921259843</v>
      </c>
      <c r="D25" s="1476">
        <v>0.106</v>
      </c>
      <c r="F25" s="1466">
        <v>28.26</v>
      </c>
      <c r="G25" s="1467">
        <v>1.83</v>
      </c>
      <c r="H25" s="1467">
        <v>10</v>
      </c>
      <c r="I25" s="1462">
        <f>F25+G25+H25</f>
        <v>40.090000000000003</v>
      </c>
    </row>
    <row r="26" spans="2:9" ht="15">
      <c r="B26" s="1469"/>
      <c r="C26" s="1469"/>
      <c r="D26" s="1470" t="s">
        <v>582</v>
      </c>
    </row>
    <row r="27" spans="2:9" ht="20.25">
      <c r="B27" s="1475" t="s">
        <v>108</v>
      </c>
      <c r="C27" s="1475" t="s">
        <v>108</v>
      </c>
      <c r="D27" s="1478" t="s">
        <v>476</v>
      </c>
    </row>
    <row r="28" spans="2:9" ht="15">
      <c r="B28" s="1472" t="s">
        <v>109</v>
      </c>
      <c r="C28" s="1472" t="s">
        <v>477</v>
      </c>
      <c r="D28" s="1472" t="s">
        <v>480</v>
      </c>
      <c r="E28" s="1469"/>
      <c r="F28" s="1469"/>
      <c r="G28" s="1469"/>
    </row>
    <row r="29" spans="2:9" ht="15">
      <c r="B29" s="1473">
        <v>165</v>
      </c>
      <c r="C29" s="1474">
        <v>6.4960629921259843</v>
      </c>
      <c r="D29" s="1476">
        <v>0.114</v>
      </c>
      <c r="E29" s="1469"/>
      <c r="F29" s="1469"/>
      <c r="G29" s="1469"/>
    </row>
    <row r="30" spans="2:9" ht="15">
      <c r="B30" s="1473">
        <v>250</v>
      </c>
      <c r="C30" s="1477">
        <v>9.8425196850393704</v>
      </c>
      <c r="D30" s="1476">
        <v>9.9000000000000005E-2</v>
      </c>
      <c r="E30" s="1469"/>
      <c r="F30" s="1469"/>
      <c r="G30" s="1469"/>
    </row>
    <row r="31" spans="2:9" ht="15">
      <c r="B31" s="1473">
        <v>330</v>
      </c>
      <c r="C31" s="1477">
        <v>12.992125984251969</v>
      </c>
      <c r="D31" s="1476">
        <v>8.4000000000000005E-2</v>
      </c>
      <c r="E31" s="1469"/>
      <c r="F31" s="1469"/>
      <c r="G31" s="1469"/>
    </row>
    <row r="32" spans="2:9" ht="15">
      <c r="B32" s="1473">
        <v>380</v>
      </c>
      <c r="C32" s="1477">
        <v>14.960629921259843</v>
      </c>
      <c r="D32" s="1476">
        <v>7.1999999999999995E-2</v>
      </c>
      <c r="E32" s="1469"/>
      <c r="F32" s="1469"/>
      <c r="G32" s="1469"/>
    </row>
  </sheetData>
  <phoneticPr fontId="2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AFCB4"/>
  </sheetPr>
  <dimension ref="A1:AB76"/>
  <sheetViews>
    <sheetView topLeftCell="D52" zoomScaleNormal="100" workbookViewId="0">
      <selection activeCell="F76" sqref="F76"/>
    </sheetView>
  </sheetViews>
  <sheetFormatPr baseColWidth="10" defaultColWidth="9.140625" defaultRowHeight="12.75"/>
  <cols>
    <col min="10" max="10" width="13.42578125" customWidth="1"/>
    <col min="11" max="11" width="7.85546875" customWidth="1"/>
    <col min="12" max="12" width="8" customWidth="1"/>
    <col min="13" max="13" width="7.140625" customWidth="1"/>
    <col min="22" max="22" width="5.7109375" customWidth="1"/>
    <col min="23" max="23" width="5" customWidth="1"/>
    <col min="25" max="25" width="7.140625" customWidth="1"/>
  </cols>
  <sheetData>
    <row r="1" spans="1:28" ht="15.75" thickBot="1">
      <c r="A1" s="1485" t="s">
        <v>585</v>
      </c>
      <c r="B1" s="1485"/>
      <c r="C1" s="1485"/>
      <c r="D1" s="1485"/>
      <c r="E1" s="1484"/>
      <c r="F1" s="1484"/>
      <c r="G1" s="1484"/>
      <c r="H1" s="1484"/>
      <c r="I1" s="1484"/>
      <c r="J1" s="1484"/>
      <c r="K1" s="1484"/>
      <c r="L1" s="1484"/>
      <c r="M1" s="1484"/>
      <c r="N1" s="1484"/>
      <c r="O1" s="1484"/>
      <c r="P1" s="1484"/>
      <c r="Q1" s="1484"/>
      <c r="R1" s="1484"/>
      <c r="S1" s="1484"/>
      <c r="T1" s="1484"/>
      <c r="U1" s="1484"/>
      <c r="V1" s="1484"/>
      <c r="W1" s="1484"/>
      <c r="X1" s="1484"/>
      <c r="Y1" s="1484"/>
      <c r="Z1" s="1484"/>
      <c r="AA1" s="1484"/>
      <c r="AB1" s="1484"/>
    </row>
    <row r="2" spans="1:28" ht="53.25">
      <c r="A2" s="1496" t="s">
        <v>573</v>
      </c>
      <c r="B2" s="1504" t="s">
        <v>586</v>
      </c>
      <c r="C2" s="1504" t="s">
        <v>587</v>
      </c>
      <c r="D2" s="1548" t="s">
        <v>574</v>
      </c>
      <c r="E2" s="1549" t="s">
        <v>588</v>
      </c>
      <c r="F2" s="1502" t="s">
        <v>589</v>
      </c>
      <c r="G2" s="1502" t="s">
        <v>590</v>
      </c>
      <c r="H2" s="1502" t="s">
        <v>591</v>
      </c>
      <c r="I2" s="1550" t="s">
        <v>592</v>
      </c>
      <c r="J2" s="1496" t="s">
        <v>523</v>
      </c>
      <c r="K2" s="1502" t="s">
        <v>524</v>
      </c>
      <c r="L2" s="1502" t="s">
        <v>525</v>
      </c>
      <c r="M2" s="1563" t="s">
        <v>575</v>
      </c>
      <c r="N2" s="1562" t="s">
        <v>605</v>
      </c>
      <c r="O2" s="1497" t="s">
        <v>528</v>
      </c>
      <c r="P2" s="1497" t="s">
        <v>529</v>
      </c>
      <c r="Q2" s="1497" t="s">
        <v>530</v>
      </c>
      <c r="R2" s="1503" t="s">
        <v>531</v>
      </c>
      <c r="S2" s="1551" t="s">
        <v>593</v>
      </c>
      <c r="T2" s="1502" t="s">
        <v>594</v>
      </c>
      <c r="U2" s="1502" t="s">
        <v>595</v>
      </c>
      <c r="V2" s="1548" t="s">
        <v>603</v>
      </c>
      <c r="W2" s="1548" t="s">
        <v>137</v>
      </c>
      <c r="X2" s="1552" t="s">
        <v>596</v>
      </c>
      <c r="Y2" s="1549" t="s">
        <v>597</v>
      </c>
      <c r="Z2" s="1549" t="s">
        <v>576</v>
      </c>
      <c r="AA2" s="1549" t="s">
        <v>577</v>
      </c>
      <c r="AB2" s="1553" t="s">
        <v>597</v>
      </c>
    </row>
    <row r="3" spans="1:28" ht="16.5" thickBot="1">
      <c r="A3" s="1554"/>
      <c r="B3" s="1555"/>
      <c r="C3" s="1555"/>
      <c r="D3" s="1555"/>
      <c r="E3" s="1556" t="s">
        <v>22</v>
      </c>
      <c r="F3" s="1555" t="s">
        <v>534</v>
      </c>
      <c r="G3" s="1555" t="s">
        <v>534</v>
      </c>
      <c r="H3" s="1556" t="s">
        <v>22</v>
      </c>
      <c r="I3" s="1557"/>
      <c r="J3" s="1554"/>
      <c r="K3" s="1556" t="s">
        <v>22</v>
      </c>
      <c r="L3" s="1556" t="s">
        <v>22</v>
      </c>
      <c r="M3" s="1556" t="s">
        <v>22</v>
      </c>
      <c r="N3" s="1555" t="s">
        <v>534</v>
      </c>
      <c r="O3" s="1555" t="s">
        <v>53</v>
      </c>
      <c r="P3" s="1558" t="s">
        <v>535</v>
      </c>
      <c r="Q3" s="1555" t="s">
        <v>536</v>
      </c>
      <c r="R3" s="1559" t="s">
        <v>536</v>
      </c>
      <c r="S3" s="1560" t="s">
        <v>275</v>
      </c>
      <c r="T3" s="1556" t="s">
        <v>275</v>
      </c>
      <c r="U3" s="1556" t="s">
        <v>275</v>
      </c>
      <c r="V3" s="1556" t="s">
        <v>477</v>
      </c>
      <c r="W3" s="1556" t="s">
        <v>604</v>
      </c>
      <c r="X3" s="1561" t="s">
        <v>598</v>
      </c>
      <c r="Y3" s="1555" t="s">
        <v>534</v>
      </c>
      <c r="Z3" s="1555" t="s">
        <v>534</v>
      </c>
      <c r="AA3" s="1555" t="s">
        <v>534</v>
      </c>
      <c r="AB3" s="1559" t="s">
        <v>534</v>
      </c>
    </row>
    <row r="4" spans="1:28" ht="15">
      <c r="A4" s="1536">
        <v>3</v>
      </c>
      <c r="B4" s="1536">
        <f>IF(A4=3,6,IF(A4=1,4,IF(A4="bd",1,IF(A4="fwd","Error"))))</f>
        <v>6</v>
      </c>
      <c r="C4" s="1537">
        <f>B4/D4</f>
        <v>6</v>
      </c>
      <c r="D4" s="1537">
        <v>1</v>
      </c>
      <c r="E4" s="1537">
        <v>160</v>
      </c>
      <c r="F4" s="1538">
        <v>70</v>
      </c>
      <c r="G4" s="1538">
        <v>34.6</v>
      </c>
      <c r="H4" s="1539">
        <f>IF(A4=3,E4/3,IF(A4=1,E4/2,IF(A4="BD",E4/1,IF(A4="fwd",E4/1,"Error"))))</f>
        <v>53.333333333333336</v>
      </c>
      <c r="I4" s="1540">
        <f>IF(A4=3,SQRT(3),IF(A4=1,SQRT(2),IF(A4="BD",1,IF(A4="fwd",1,"Error"))))</f>
        <v>1.7320508075688772</v>
      </c>
      <c r="J4" s="1541" t="s">
        <v>554</v>
      </c>
      <c r="K4" s="1536"/>
      <c r="L4" s="1536"/>
      <c r="M4" s="1536"/>
      <c r="N4" s="1536">
        <v>125</v>
      </c>
      <c r="O4" s="1536">
        <v>0.85</v>
      </c>
      <c r="P4" s="1536">
        <v>1.5</v>
      </c>
      <c r="Q4" s="1536">
        <v>0.17</v>
      </c>
      <c r="R4" s="1542">
        <v>0.1</v>
      </c>
      <c r="S4" s="1543">
        <f>(H4*I4)^2*P4*10^-3+H4*O4</f>
        <v>58.133333333333333</v>
      </c>
      <c r="T4" s="1544">
        <f>C4*S4</f>
        <v>348.8</v>
      </c>
      <c r="U4" s="1536">
        <f>IF(A4=3,S4*6,IF(A4=1,S4*4,S4))</f>
        <v>348.8</v>
      </c>
      <c r="V4" s="1536"/>
      <c r="W4" s="1536"/>
      <c r="X4" s="1545">
        <f>IF(C4=6,(F4-G4)/6/S4,IF(C4=4,(F4-G4)/4/S4,IF(C4=3,(F4-G4)/3/S4,IF(C4=2,(F4-G4)/2/S4,IF(C4=1,(F4-G4)/1/S4,"Error")))))</f>
        <v>0.10149082568807338</v>
      </c>
      <c r="Y4" s="1546">
        <f>G4+S4*(Q4+R4+X4*C4)</f>
        <v>85.695999999999998</v>
      </c>
      <c r="Z4" s="1547"/>
      <c r="AA4" s="1547"/>
      <c r="AB4" s="1546">
        <f>S4*(Q4+R4)+F4</f>
        <v>85.695999999999998</v>
      </c>
    </row>
    <row r="5" spans="1:28" ht="15">
      <c r="A5" s="1493">
        <v>3</v>
      </c>
      <c r="B5" s="1493">
        <f t="shared" ref="B5:B46" si="0">IF(A5=3,6,IF(A5=1,4,IF(A5="bd",1,IF(A5="fwd","Error"))))</f>
        <v>6</v>
      </c>
      <c r="C5" s="1527">
        <f t="shared" ref="C5:C46" si="1">B5/D5</f>
        <v>6</v>
      </c>
      <c r="D5" s="1493">
        <v>1</v>
      </c>
      <c r="E5" s="1493">
        <v>160</v>
      </c>
      <c r="F5" s="1493">
        <v>77</v>
      </c>
      <c r="G5" s="1493">
        <v>23</v>
      </c>
      <c r="H5" s="1528">
        <f t="shared" ref="H5:H45" si="2">IF(A5=3,E5/3,IF(A5=1,E5/2,IF(A5="BD",E5/1,IF(A5="fwd",E5/1,"Error"))))</f>
        <v>53.333333333333336</v>
      </c>
      <c r="I5" s="1526">
        <f t="shared" ref="I5:I45" si="3">IF(A5=3,SQRT(3),IF(A5=1,SQRT(2),IF(A5="BD",1,IF(A5="fwd",1,"Error"))))</f>
        <v>1.7320508075688772</v>
      </c>
      <c r="J5" s="1498" t="s">
        <v>554</v>
      </c>
      <c r="K5" s="1493"/>
      <c r="L5" s="1493"/>
      <c r="M5" s="1493"/>
      <c r="N5" s="1493">
        <v>125</v>
      </c>
      <c r="O5" s="1493">
        <v>0.85</v>
      </c>
      <c r="P5" s="1493">
        <v>1.5</v>
      </c>
      <c r="Q5" s="1493">
        <v>0.17</v>
      </c>
      <c r="R5" s="1499">
        <v>0.1</v>
      </c>
      <c r="S5" s="1534">
        <f t="shared" ref="S5:S61" si="4">(H5*I5)^2*P5*10^-3+H5*O5</f>
        <v>58.133333333333333</v>
      </c>
      <c r="T5" s="1495">
        <f t="shared" ref="T5:T61" si="5">C5*S5</f>
        <v>348.8</v>
      </c>
      <c r="U5" s="1493">
        <f t="shared" ref="U5:U61" si="6">IF(A5=3,S5*6,IF(A5=1,S5*4,S5))</f>
        <v>348.8</v>
      </c>
      <c r="V5" s="1493"/>
      <c r="W5" s="1493"/>
      <c r="X5" s="1505">
        <f t="shared" ref="X5:X61" si="7">IF(C5=6,(F5-G5)/6/S5,IF(C5=4,(F5-G5)/4/S5,IF(C5=3,(F5-G5)/3/S5,IF(C5=2,(F5-G5)/2/S5,IF(C5=1,(F5-G5)/1/S5,"Error")))))</f>
        <v>0.15481651376146788</v>
      </c>
      <c r="Y5" s="1480">
        <f t="shared" ref="Y5:Y61" si="8">G5+S5*(Q5+R5+X5*C5)</f>
        <v>92.695999999999998</v>
      </c>
      <c r="Z5" s="1506"/>
      <c r="AA5" s="1506"/>
      <c r="AB5" s="1480">
        <f t="shared" ref="AB5:AB61" si="9">S5*(Q5+R5)+F5</f>
        <v>92.695999999999998</v>
      </c>
    </row>
    <row r="6" spans="1:28" ht="15">
      <c r="A6" s="1493" t="s">
        <v>599</v>
      </c>
      <c r="B6" s="1493">
        <f t="shared" si="0"/>
        <v>1</v>
      </c>
      <c r="C6" s="1527">
        <f t="shared" si="1"/>
        <v>1</v>
      </c>
      <c r="D6" s="1493">
        <v>1</v>
      </c>
      <c r="E6" s="1493">
        <v>160</v>
      </c>
      <c r="F6" s="1506"/>
      <c r="G6" s="1506"/>
      <c r="H6" s="1528">
        <f t="shared" si="2"/>
        <v>160</v>
      </c>
      <c r="I6" s="1526">
        <f t="shared" si="3"/>
        <v>1</v>
      </c>
      <c r="J6" s="1498" t="s">
        <v>554</v>
      </c>
      <c r="K6" s="1493"/>
      <c r="L6" s="1493"/>
      <c r="M6" s="1493"/>
      <c r="N6" s="1493">
        <v>125</v>
      </c>
      <c r="O6" s="1493">
        <v>0.85</v>
      </c>
      <c r="P6" s="1493">
        <v>1.5</v>
      </c>
      <c r="Q6" s="1493">
        <v>0.17</v>
      </c>
      <c r="R6" s="1499">
        <v>0.1</v>
      </c>
      <c r="S6" s="1534">
        <f t="shared" si="4"/>
        <v>174.4</v>
      </c>
      <c r="T6" s="1495">
        <f t="shared" si="5"/>
        <v>174.4</v>
      </c>
      <c r="U6" s="1493">
        <f t="shared" si="6"/>
        <v>174.4</v>
      </c>
      <c r="V6" s="1493"/>
      <c r="W6" s="1493"/>
      <c r="X6" s="1505">
        <f t="shared" si="7"/>
        <v>0</v>
      </c>
      <c r="Y6" s="1480">
        <f t="shared" si="8"/>
        <v>47.088000000000008</v>
      </c>
      <c r="Z6" s="1506"/>
      <c r="AA6" s="1506"/>
      <c r="AB6" s="1480">
        <f t="shared" si="9"/>
        <v>47.088000000000008</v>
      </c>
    </row>
    <row r="7" spans="1:28" ht="15">
      <c r="A7" s="1493">
        <v>3</v>
      </c>
      <c r="B7" s="1493">
        <f t="shared" si="0"/>
        <v>6</v>
      </c>
      <c r="C7" s="1527">
        <f t="shared" si="1"/>
        <v>6</v>
      </c>
      <c r="D7" s="1493">
        <v>1</v>
      </c>
      <c r="E7" s="1493">
        <v>127</v>
      </c>
      <c r="F7" s="1533">
        <v>97.6</v>
      </c>
      <c r="G7" s="1533">
        <v>0</v>
      </c>
      <c r="H7" s="1528">
        <f t="shared" si="2"/>
        <v>42.333333333333336</v>
      </c>
      <c r="I7" s="1526">
        <f t="shared" si="3"/>
        <v>1.7320508075688772</v>
      </c>
      <c r="J7" s="1498" t="s">
        <v>554</v>
      </c>
      <c r="K7" s="1493"/>
      <c r="L7" s="1493"/>
      <c r="M7" s="1493"/>
      <c r="N7" s="1493">
        <v>125</v>
      </c>
      <c r="O7" s="1493">
        <v>0.85</v>
      </c>
      <c r="P7" s="1493">
        <v>1.5</v>
      </c>
      <c r="Q7" s="1493">
        <v>0.17</v>
      </c>
      <c r="R7" s="1499">
        <v>0.1</v>
      </c>
      <c r="S7" s="1534">
        <f t="shared" si="4"/>
        <v>44.047833333333337</v>
      </c>
      <c r="T7" s="1495">
        <f t="shared" si="5"/>
        <v>264.28700000000003</v>
      </c>
      <c r="U7" s="1493">
        <f t="shared" si="6"/>
        <v>264.28700000000003</v>
      </c>
      <c r="V7" s="1493"/>
      <c r="W7" s="1493"/>
      <c r="X7" s="1505">
        <f t="shared" si="7"/>
        <v>0.369295500724591</v>
      </c>
      <c r="Y7" s="1480">
        <f t="shared" si="8"/>
        <v>109.49291499999998</v>
      </c>
      <c r="Z7" s="1506"/>
      <c r="AA7" s="1506"/>
      <c r="AB7" s="1480">
        <f t="shared" si="9"/>
        <v>109.492915</v>
      </c>
    </row>
    <row r="8" spans="1:28" ht="15">
      <c r="A8" s="1493">
        <v>3</v>
      </c>
      <c r="B8" s="1493">
        <f t="shared" si="0"/>
        <v>6</v>
      </c>
      <c r="C8" s="1527">
        <f t="shared" si="1"/>
        <v>6</v>
      </c>
      <c r="D8" s="1493">
        <v>1</v>
      </c>
      <c r="E8" s="1493">
        <v>160</v>
      </c>
      <c r="F8" s="1533">
        <v>70</v>
      </c>
      <c r="G8" s="1533">
        <v>34.6</v>
      </c>
      <c r="H8" s="1528">
        <f t="shared" si="2"/>
        <v>53.333333333333336</v>
      </c>
      <c r="I8" s="1526">
        <f t="shared" si="3"/>
        <v>1.7320508075688772</v>
      </c>
      <c r="J8" s="1498" t="s">
        <v>554</v>
      </c>
      <c r="K8" s="1493"/>
      <c r="L8" s="1493"/>
      <c r="M8" s="1493"/>
      <c r="N8" s="1493">
        <v>125</v>
      </c>
      <c r="O8" s="1493">
        <v>0.85</v>
      </c>
      <c r="P8" s="1493">
        <v>1.5</v>
      </c>
      <c r="Q8" s="1493">
        <v>0.17</v>
      </c>
      <c r="R8" s="1499">
        <v>0.1</v>
      </c>
      <c r="S8" s="1534">
        <f t="shared" si="4"/>
        <v>58.133333333333333</v>
      </c>
      <c r="T8" s="1495">
        <f t="shared" si="5"/>
        <v>348.8</v>
      </c>
      <c r="U8" s="1493">
        <f t="shared" si="6"/>
        <v>348.8</v>
      </c>
      <c r="V8" s="1493"/>
      <c r="W8" s="1493"/>
      <c r="X8" s="1505">
        <f t="shared" si="7"/>
        <v>0.10149082568807338</v>
      </c>
      <c r="Y8" s="1480">
        <f t="shared" si="8"/>
        <v>85.695999999999998</v>
      </c>
      <c r="Z8" s="1506"/>
      <c r="AA8" s="1506"/>
      <c r="AB8" s="1480">
        <f t="shared" si="9"/>
        <v>85.695999999999998</v>
      </c>
    </row>
    <row r="9" spans="1:28" ht="15">
      <c r="A9" s="1493">
        <v>3</v>
      </c>
      <c r="B9" s="1493">
        <f t="shared" si="0"/>
        <v>6</v>
      </c>
      <c r="C9" s="1527">
        <f t="shared" si="1"/>
        <v>6</v>
      </c>
      <c r="D9" s="1493">
        <v>1</v>
      </c>
      <c r="E9" s="1493">
        <v>160</v>
      </c>
      <c r="F9" s="1533">
        <v>70</v>
      </c>
      <c r="G9" s="1533">
        <v>34.6</v>
      </c>
      <c r="H9" s="1528">
        <f t="shared" si="2"/>
        <v>53.333333333333336</v>
      </c>
      <c r="I9" s="1526">
        <f t="shared" si="3"/>
        <v>1.7320508075688772</v>
      </c>
      <c r="J9" s="1498" t="s">
        <v>554</v>
      </c>
      <c r="K9" s="1493"/>
      <c r="L9" s="1493"/>
      <c r="M9" s="1493"/>
      <c r="N9" s="1493">
        <v>125</v>
      </c>
      <c r="O9" s="1493">
        <v>0.85</v>
      </c>
      <c r="P9" s="1493">
        <v>1.5</v>
      </c>
      <c r="Q9" s="1493">
        <v>0.17</v>
      </c>
      <c r="R9" s="1499">
        <v>0.1</v>
      </c>
      <c r="S9" s="1534">
        <f t="shared" si="4"/>
        <v>58.133333333333333</v>
      </c>
      <c r="T9" s="1495">
        <f t="shared" si="5"/>
        <v>348.8</v>
      </c>
      <c r="U9" s="1493">
        <f t="shared" si="6"/>
        <v>348.8</v>
      </c>
      <c r="V9" s="1493"/>
      <c r="W9" s="1493"/>
      <c r="X9" s="1505">
        <f t="shared" si="7"/>
        <v>0.10149082568807338</v>
      </c>
      <c r="Y9" s="1480">
        <f t="shared" si="8"/>
        <v>85.695999999999998</v>
      </c>
      <c r="Z9" s="1506"/>
      <c r="AA9" s="1506"/>
      <c r="AB9" s="1480">
        <f t="shared" si="9"/>
        <v>85.695999999999998</v>
      </c>
    </row>
    <row r="10" spans="1:28" ht="15">
      <c r="A10" s="1493">
        <v>3</v>
      </c>
      <c r="B10" s="1493">
        <f t="shared" si="0"/>
        <v>6</v>
      </c>
      <c r="C10" s="1527">
        <f t="shared" si="1"/>
        <v>6</v>
      </c>
      <c r="D10" s="1493">
        <v>1</v>
      </c>
      <c r="E10" s="1493">
        <v>325</v>
      </c>
      <c r="F10" s="1533">
        <v>81.3</v>
      </c>
      <c r="G10" s="1533">
        <v>34.6</v>
      </c>
      <c r="H10" s="1528">
        <f t="shared" si="2"/>
        <v>108.33333333333333</v>
      </c>
      <c r="I10" s="1526">
        <f t="shared" si="3"/>
        <v>1.7320508075688772</v>
      </c>
      <c r="J10" s="1498" t="s">
        <v>600</v>
      </c>
      <c r="K10" s="1493"/>
      <c r="L10" s="1493"/>
      <c r="M10" s="1493"/>
      <c r="N10" s="1493">
        <v>130</v>
      </c>
      <c r="O10" s="1493">
        <v>0.81899999999999995</v>
      </c>
      <c r="P10" s="1493">
        <v>0.58899999999999997</v>
      </c>
      <c r="Q10" s="1493">
        <v>0.14000000000000001</v>
      </c>
      <c r="R10" s="1499">
        <v>0.06</v>
      </c>
      <c r="S10" s="1534">
        <f t="shared" si="4"/>
        <v>109.46270833333332</v>
      </c>
      <c r="T10" s="1495">
        <f t="shared" si="5"/>
        <v>656.77624999999989</v>
      </c>
      <c r="U10" s="1493">
        <f t="shared" si="6"/>
        <v>656.77624999999989</v>
      </c>
      <c r="V10" s="1493"/>
      <c r="W10" s="1493"/>
      <c r="X10" s="1505">
        <f t="shared" si="7"/>
        <v>7.1104885415695221E-2</v>
      </c>
      <c r="Y10" s="1480">
        <f t="shared" si="8"/>
        <v>103.19254166666667</v>
      </c>
      <c r="Z10" s="1506"/>
      <c r="AA10" s="1506"/>
      <c r="AB10" s="1480">
        <f t="shared" si="9"/>
        <v>103.19254166666667</v>
      </c>
    </row>
    <row r="11" spans="1:28" ht="15">
      <c r="A11" s="1493" t="s">
        <v>599</v>
      </c>
      <c r="B11" s="1493">
        <f t="shared" si="0"/>
        <v>1</v>
      </c>
      <c r="C11" s="1527">
        <f t="shared" si="1"/>
        <v>1</v>
      </c>
      <c r="D11" s="1493">
        <v>1</v>
      </c>
      <c r="E11" s="1493">
        <v>325</v>
      </c>
      <c r="F11" s="1533">
        <v>69.7</v>
      </c>
      <c r="G11" s="1533">
        <v>34.6</v>
      </c>
      <c r="H11" s="1528">
        <f t="shared" si="2"/>
        <v>325</v>
      </c>
      <c r="I11" s="1526">
        <f t="shared" si="3"/>
        <v>1</v>
      </c>
      <c r="J11" s="1498" t="s">
        <v>473</v>
      </c>
      <c r="K11" s="1493"/>
      <c r="L11" s="1493"/>
      <c r="M11" s="1493"/>
      <c r="N11" s="1493">
        <v>150</v>
      </c>
      <c r="O11" s="1493">
        <v>0.747</v>
      </c>
      <c r="P11" s="1493">
        <v>0.24299999999999999</v>
      </c>
      <c r="Q11" s="1493">
        <v>6.5000000000000002E-2</v>
      </c>
      <c r="R11" s="1499">
        <v>0.02</v>
      </c>
      <c r="S11" s="1534">
        <f t="shared" si="4"/>
        <v>268.44187499999998</v>
      </c>
      <c r="T11" s="1495">
        <f t="shared" si="5"/>
        <v>268.44187499999998</v>
      </c>
      <c r="U11" s="1493">
        <f t="shared" si="6"/>
        <v>268.44187499999998</v>
      </c>
      <c r="V11" s="1493"/>
      <c r="W11" s="1493"/>
      <c r="X11" s="1505">
        <f t="shared" si="7"/>
        <v>0.13075456278943068</v>
      </c>
      <c r="Y11" s="1480">
        <f t="shared" si="8"/>
        <v>92.51755937499999</v>
      </c>
      <c r="Z11" s="1506"/>
      <c r="AA11" s="1506"/>
      <c r="AB11" s="1480">
        <f t="shared" si="9"/>
        <v>92.517559375000005</v>
      </c>
    </row>
    <row r="12" spans="1:28" ht="15">
      <c r="A12" s="1493">
        <v>3</v>
      </c>
      <c r="B12" s="1493">
        <f t="shared" si="0"/>
        <v>6</v>
      </c>
      <c r="C12" s="1527">
        <f t="shared" si="1"/>
        <v>6</v>
      </c>
      <c r="D12" s="1493">
        <v>1</v>
      </c>
      <c r="E12" s="1493">
        <v>352</v>
      </c>
      <c r="F12" s="1533">
        <v>83.4</v>
      </c>
      <c r="G12" s="1533">
        <v>32.299999999999997</v>
      </c>
      <c r="H12" s="1528">
        <f t="shared" si="2"/>
        <v>117.33333333333333</v>
      </c>
      <c r="I12" s="1526">
        <f t="shared" si="3"/>
        <v>1.7320508075688772</v>
      </c>
      <c r="J12" s="1498" t="s">
        <v>600</v>
      </c>
      <c r="K12" s="1493"/>
      <c r="L12" s="1493"/>
      <c r="M12" s="1493"/>
      <c r="N12" s="1493">
        <v>130</v>
      </c>
      <c r="O12" s="1493">
        <v>0.81899999999999995</v>
      </c>
      <c r="P12" s="1493">
        <v>0.58899999999999997</v>
      </c>
      <c r="Q12" s="1493">
        <v>0.14000000000000001</v>
      </c>
      <c r="R12" s="1499">
        <v>0.06</v>
      </c>
      <c r="S12" s="1534">
        <f t="shared" si="4"/>
        <v>120.42248533333331</v>
      </c>
      <c r="T12" s="1495">
        <f t="shared" si="5"/>
        <v>722.53491199999985</v>
      </c>
      <c r="U12" s="1493">
        <f t="shared" si="6"/>
        <v>722.53491199999985</v>
      </c>
      <c r="V12" s="1493"/>
      <c r="W12" s="1493"/>
      <c r="X12" s="1505">
        <f t="shared" si="7"/>
        <v>7.0723226174017759E-2</v>
      </c>
      <c r="Y12" s="1480">
        <f t="shared" si="8"/>
        <v>107.48449706666666</v>
      </c>
      <c r="Z12" s="1506"/>
      <c r="AA12" s="1506"/>
      <c r="AB12" s="1480">
        <f t="shared" si="9"/>
        <v>107.48449706666668</v>
      </c>
    </row>
    <row r="13" spans="1:28" ht="15">
      <c r="A13" s="1493" t="s">
        <v>599</v>
      </c>
      <c r="B13" s="1493">
        <f t="shared" si="0"/>
        <v>1</v>
      </c>
      <c r="C13" s="1527">
        <f t="shared" si="1"/>
        <v>1</v>
      </c>
      <c r="D13" s="1493">
        <v>1</v>
      </c>
      <c r="E13" s="1493">
        <v>352</v>
      </c>
      <c r="F13" s="1533">
        <v>70.599999999999994</v>
      </c>
      <c r="G13" s="1533">
        <v>32.299999999999997</v>
      </c>
      <c r="H13" s="1528">
        <f t="shared" si="2"/>
        <v>352</v>
      </c>
      <c r="I13" s="1526">
        <f t="shared" si="3"/>
        <v>1</v>
      </c>
      <c r="J13" s="1498" t="s">
        <v>473</v>
      </c>
      <c r="K13" s="1493"/>
      <c r="L13" s="1493"/>
      <c r="M13" s="1493"/>
      <c r="N13" s="1493">
        <v>150</v>
      </c>
      <c r="O13" s="1493">
        <v>0.747</v>
      </c>
      <c r="P13" s="1493">
        <v>0.24299999999999999</v>
      </c>
      <c r="Q13" s="1493">
        <v>6.5000000000000002E-2</v>
      </c>
      <c r="R13" s="1499">
        <v>0.02</v>
      </c>
      <c r="S13" s="1534">
        <f t="shared" si="4"/>
        <v>293.05267200000003</v>
      </c>
      <c r="T13" s="1495">
        <f t="shared" si="5"/>
        <v>293.05267200000003</v>
      </c>
      <c r="U13" s="1493">
        <f t="shared" si="6"/>
        <v>293.05267200000003</v>
      </c>
      <c r="V13" s="1493"/>
      <c r="W13" s="1493"/>
      <c r="X13" s="1505">
        <f t="shared" si="7"/>
        <v>0.13069322909978448</v>
      </c>
      <c r="Y13" s="1480">
        <f t="shared" si="8"/>
        <v>95.509477120000014</v>
      </c>
      <c r="Z13" s="1506"/>
      <c r="AA13" s="1506"/>
      <c r="AB13" s="1480">
        <f t="shared" si="9"/>
        <v>95.50947712</v>
      </c>
    </row>
    <row r="14" spans="1:28" ht="15">
      <c r="A14" s="1493">
        <v>3</v>
      </c>
      <c r="B14" s="1493">
        <f t="shared" si="0"/>
        <v>6</v>
      </c>
      <c r="C14" s="1527">
        <f t="shared" si="1"/>
        <v>6</v>
      </c>
      <c r="D14" s="1493">
        <v>1</v>
      </c>
      <c r="E14" s="1493">
        <v>375</v>
      </c>
      <c r="F14" s="1533">
        <v>90.4</v>
      </c>
      <c r="G14" s="1533">
        <v>34.5</v>
      </c>
      <c r="H14" s="1528">
        <f t="shared" si="2"/>
        <v>125</v>
      </c>
      <c r="I14" s="1526">
        <f t="shared" si="3"/>
        <v>1.7320508075688772</v>
      </c>
      <c r="J14" s="1498" t="s">
        <v>600</v>
      </c>
      <c r="K14" s="1493"/>
      <c r="L14" s="1493"/>
      <c r="M14" s="1493"/>
      <c r="N14" s="1493">
        <v>130</v>
      </c>
      <c r="O14" s="1493">
        <v>0.81899999999999995</v>
      </c>
      <c r="P14" s="1493">
        <v>0.58899999999999997</v>
      </c>
      <c r="Q14" s="1493">
        <v>0.14000000000000001</v>
      </c>
      <c r="R14" s="1499">
        <v>0.06</v>
      </c>
      <c r="S14" s="1534">
        <f t="shared" si="4"/>
        <v>129.984375</v>
      </c>
      <c r="T14" s="1495">
        <f t="shared" si="5"/>
        <v>779.90625</v>
      </c>
      <c r="U14" s="1493">
        <f t="shared" si="6"/>
        <v>779.90625</v>
      </c>
      <c r="V14" s="1493"/>
      <c r="W14" s="1493"/>
      <c r="X14" s="1505">
        <f t="shared" si="7"/>
        <v>7.1675281484152753E-2</v>
      </c>
      <c r="Y14" s="1480">
        <f t="shared" si="8"/>
        <v>116.39687500000002</v>
      </c>
      <c r="Z14" s="1506"/>
      <c r="AA14" s="1506"/>
      <c r="AB14" s="1480">
        <f t="shared" si="9"/>
        <v>116.39687500000001</v>
      </c>
    </row>
    <row r="15" spans="1:28" ht="15">
      <c r="A15" s="1493" t="s">
        <v>599</v>
      </c>
      <c r="B15" s="1493">
        <f t="shared" si="0"/>
        <v>1</v>
      </c>
      <c r="C15" s="1527">
        <f t="shared" si="1"/>
        <v>1</v>
      </c>
      <c r="D15" s="1493">
        <v>1</v>
      </c>
      <c r="E15" s="1493">
        <v>375</v>
      </c>
      <c r="F15" s="1533">
        <v>75.099999999999994</v>
      </c>
      <c r="G15" s="1533">
        <v>34.5</v>
      </c>
      <c r="H15" s="1528">
        <f t="shared" si="2"/>
        <v>375</v>
      </c>
      <c r="I15" s="1526">
        <f t="shared" si="3"/>
        <v>1</v>
      </c>
      <c r="J15" s="1498" t="s">
        <v>473</v>
      </c>
      <c r="K15" s="1493"/>
      <c r="L15" s="1493"/>
      <c r="M15" s="1493"/>
      <c r="N15" s="1493">
        <v>150</v>
      </c>
      <c r="O15" s="1493">
        <v>0.747</v>
      </c>
      <c r="P15" s="1493">
        <v>0.24299999999999999</v>
      </c>
      <c r="Q15" s="1493">
        <v>6.5000000000000002E-2</v>
      </c>
      <c r="R15" s="1499">
        <v>0.02</v>
      </c>
      <c r="S15" s="1534">
        <f t="shared" si="4"/>
        <v>314.296875</v>
      </c>
      <c r="T15" s="1495">
        <f t="shared" si="5"/>
        <v>314.296875</v>
      </c>
      <c r="U15" s="1493">
        <f t="shared" si="6"/>
        <v>314.296875</v>
      </c>
      <c r="V15" s="1493"/>
      <c r="W15" s="1493"/>
      <c r="X15" s="1505">
        <f t="shared" si="7"/>
        <v>0.12917723092219735</v>
      </c>
      <c r="Y15" s="1480">
        <f t="shared" si="8"/>
        <v>101.815234375</v>
      </c>
      <c r="Z15" s="1506"/>
      <c r="AA15" s="1506"/>
      <c r="AB15" s="1480">
        <f t="shared" si="9"/>
        <v>101.81523437499999</v>
      </c>
    </row>
    <row r="16" spans="1:28" ht="15">
      <c r="A16" s="1493">
        <v>3</v>
      </c>
      <c r="B16" s="1493">
        <f t="shared" si="0"/>
        <v>6</v>
      </c>
      <c r="C16" s="1527">
        <f t="shared" si="1"/>
        <v>6</v>
      </c>
      <c r="D16" s="1493">
        <v>1</v>
      </c>
      <c r="E16" s="1493">
        <v>115</v>
      </c>
      <c r="F16" s="1533">
        <v>90.8</v>
      </c>
      <c r="G16" s="1533">
        <v>35.200000000000003</v>
      </c>
      <c r="H16" s="1528">
        <f t="shared" si="2"/>
        <v>38.333333333333336</v>
      </c>
      <c r="I16" s="1526">
        <f t="shared" si="3"/>
        <v>1.7320508075688772</v>
      </c>
      <c r="J16" s="1498" t="s">
        <v>554</v>
      </c>
      <c r="K16" s="1493"/>
      <c r="L16" s="1493"/>
      <c r="M16" s="1493"/>
      <c r="N16" s="1493">
        <v>125</v>
      </c>
      <c r="O16" s="1493">
        <v>0.85</v>
      </c>
      <c r="P16" s="1493">
        <v>1.5</v>
      </c>
      <c r="Q16" s="1493">
        <v>0.17</v>
      </c>
      <c r="R16" s="1499">
        <v>0.1</v>
      </c>
      <c r="S16" s="1534">
        <f t="shared" si="4"/>
        <v>39.195833333333333</v>
      </c>
      <c r="T16" s="1495">
        <f t="shared" si="5"/>
        <v>235.17500000000001</v>
      </c>
      <c r="U16" s="1493">
        <f t="shared" si="6"/>
        <v>235.17500000000001</v>
      </c>
      <c r="V16" s="1493"/>
      <c r="W16" s="1493"/>
      <c r="X16" s="1505">
        <f t="shared" si="7"/>
        <v>0.23641968746678005</v>
      </c>
      <c r="Y16" s="1480">
        <f t="shared" si="8"/>
        <v>101.382875</v>
      </c>
      <c r="Z16" s="1506"/>
      <c r="AA16" s="1506"/>
      <c r="AB16" s="1480">
        <f t="shared" si="9"/>
        <v>101.382875</v>
      </c>
    </row>
    <row r="17" spans="1:28" ht="15">
      <c r="A17" s="1493">
        <v>3</v>
      </c>
      <c r="B17" s="1493">
        <f t="shared" si="0"/>
        <v>6</v>
      </c>
      <c r="C17" s="1527">
        <f t="shared" si="1"/>
        <v>6</v>
      </c>
      <c r="D17" s="1493">
        <v>1</v>
      </c>
      <c r="E17" s="1493">
        <v>127</v>
      </c>
      <c r="F17" s="1533">
        <v>97.6</v>
      </c>
      <c r="G17" s="1533">
        <v>37.299999999999997</v>
      </c>
      <c r="H17" s="1528">
        <f t="shared" si="2"/>
        <v>42.333333333333336</v>
      </c>
      <c r="I17" s="1526">
        <f t="shared" si="3"/>
        <v>1.7320508075688772</v>
      </c>
      <c r="J17" s="1498" t="s">
        <v>554</v>
      </c>
      <c r="K17" s="1493"/>
      <c r="L17" s="1493"/>
      <c r="M17" s="1493"/>
      <c r="N17" s="1493">
        <v>125</v>
      </c>
      <c r="O17" s="1493">
        <v>0.85</v>
      </c>
      <c r="P17" s="1493">
        <v>1.5</v>
      </c>
      <c r="Q17" s="1493">
        <v>0.17</v>
      </c>
      <c r="R17" s="1499">
        <v>0.1</v>
      </c>
      <c r="S17" s="1534">
        <f t="shared" si="4"/>
        <v>44.047833333333337</v>
      </c>
      <c r="T17" s="1495">
        <f t="shared" si="5"/>
        <v>264.28700000000003</v>
      </c>
      <c r="U17" s="1493">
        <f t="shared" si="6"/>
        <v>264.28700000000003</v>
      </c>
      <c r="V17" s="1493"/>
      <c r="W17" s="1493"/>
      <c r="X17" s="1505">
        <f t="shared" si="7"/>
        <v>0.2281610521894758</v>
      </c>
      <c r="Y17" s="1480">
        <f t="shared" si="8"/>
        <v>109.492915</v>
      </c>
      <c r="Z17" s="1506"/>
      <c r="AA17" s="1506"/>
      <c r="AB17" s="1480">
        <f t="shared" si="9"/>
        <v>109.492915</v>
      </c>
    </row>
    <row r="18" spans="1:28" ht="15">
      <c r="A18" s="1493">
        <v>3</v>
      </c>
      <c r="B18" s="1493">
        <f t="shared" si="0"/>
        <v>6</v>
      </c>
      <c r="C18" s="1527">
        <f t="shared" si="1"/>
        <v>6</v>
      </c>
      <c r="D18" s="1493">
        <v>1</v>
      </c>
      <c r="E18" s="1493">
        <v>106</v>
      </c>
      <c r="F18" s="1533">
        <v>92.3</v>
      </c>
      <c r="G18" s="1533">
        <v>31.5</v>
      </c>
      <c r="H18" s="1528">
        <f t="shared" si="2"/>
        <v>35.333333333333336</v>
      </c>
      <c r="I18" s="1526">
        <f t="shared" si="3"/>
        <v>1.7320508075688772</v>
      </c>
      <c r="J18" s="1498" t="s">
        <v>554</v>
      </c>
      <c r="K18" s="1493"/>
      <c r="L18" s="1493"/>
      <c r="M18" s="1493"/>
      <c r="N18" s="1493">
        <v>125</v>
      </c>
      <c r="O18" s="1493">
        <v>0.85</v>
      </c>
      <c r="P18" s="1493">
        <v>1.5</v>
      </c>
      <c r="Q18" s="1493">
        <v>0.17</v>
      </c>
      <c r="R18" s="1499">
        <v>0.1</v>
      </c>
      <c r="S18" s="1534">
        <f t="shared" si="4"/>
        <v>35.651333333333334</v>
      </c>
      <c r="T18" s="1495">
        <f t="shared" si="5"/>
        <v>213.90800000000002</v>
      </c>
      <c r="U18" s="1493">
        <f t="shared" si="6"/>
        <v>213.90800000000002</v>
      </c>
      <c r="V18" s="1493"/>
      <c r="W18" s="1493"/>
      <c r="X18" s="1505">
        <f t="shared" si="7"/>
        <v>0.28423434373655965</v>
      </c>
      <c r="Y18" s="1480">
        <f t="shared" si="8"/>
        <v>101.92586</v>
      </c>
      <c r="Z18" s="1506"/>
      <c r="AA18" s="1506"/>
      <c r="AB18" s="1480">
        <f t="shared" si="9"/>
        <v>101.92586</v>
      </c>
    </row>
    <row r="19" spans="1:28" ht="15">
      <c r="A19" s="1493" t="s">
        <v>599</v>
      </c>
      <c r="B19" s="1493">
        <f t="shared" si="0"/>
        <v>1</v>
      </c>
      <c r="C19" s="1527">
        <f t="shared" si="1"/>
        <v>1</v>
      </c>
      <c r="D19" s="1493">
        <v>1</v>
      </c>
      <c r="E19" s="1493">
        <v>106</v>
      </c>
      <c r="F19" s="1533">
        <v>95.8</v>
      </c>
      <c r="G19" s="1533">
        <v>31.5</v>
      </c>
      <c r="H19" s="1528">
        <f t="shared" si="2"/>
        <v>106</v>
      </c>
      <c r="I19" s="1526">
        <f t="shared" si="3"/>
        <v>1</v>
      </c>
      <c r="J19" s="1498" t="s">
        <v>473</v>
      </c>
      <c r="K19" s="1493"/>
      <c r="L19" s="1493"/>
      <c r="M19" s="1493"/>
      <c r="N19" s="1493">
        <v>150</v>
      </c>
      <c r="O19" s="1493">
        <v>0.747</v>
      </c>
      <c r="P19" s="1493">
        <v>0.24299999999999999</v>
      </c>
      <c r="Q19" s="1493">
        <v>6.5000000000000002E-2</v>
      </c>
      <c r="R19" s="1499">
        <v>0.02</v>
      </c>
      <c r="S19" s="1534">
        <f t="shared" si="4"/>
        <v>81.912348000000009</v>
      </c>
      <c r="T19" s="1495">
        <f t="shared" si="5"/>
        <v>81.912348000000009</v>
      </c>
      <c r="U19" s="1493">
        <f t="shared" si="6"/>
        <v>81.912348000000009</v>
      </c>
      <c r="V19" s="1493"/>
      <c r="W19" s="1493"/>
      <c r="X19" s="1505">
        <f t="shared" si="7"/>
        <v>0.7849854334538181</v>
      </c>
      <c r="Y19" s="1480">
        <f t="shared" si="8"/>
        <v>102.76254958</v>
      </c>
      <c r="Z19" s="1506"/>
      <c r="AA19" s="1506"/>
      <c r="AB19" s="1480">
        <f t="shared" si="9"/>
        <v>102.76254958</v>
      </c>
    </row>
    <row r="20" spans="1:28" ht="15">
      <c r="A20" s="1493">
        <v>3</v>
      </c>
      <c r="B20" s="1493">
        <f t="shared" si="0"/>
        <v>6</v>
      </c>
      <c r="C20" s="1527">
        <f t="shared" si="1"/>
        <v>6</v>
      </c>
      <c r="D20" s="1493">
        <v>1</v>
      </c>
      <c r="E20" s="1493">
        <v>56</v>
      </c>
      <c r="F20" s="1533">
        <v>78.3</v>
      </c>
      <c r="G20" s="1533">
        <v>37</v>
      </c>
      <c r="H20" s="1528">
        <f t="shared" si="2"/>
        <v>18.666666666666668</v>
      </c>
      <c r="I20" s="1526">
        <f t="shared" si="3"/>
        <v>1.7320508075688772</v>
      </c>
      <c r="J20" s="1498" t="s">
        <v>468</v>
      </c>
      <c r="K20" s="1493"/>
      <c r="L20" s="1493"/>
      <c r="M20" s="1493"/>
      <c r="N20" s="1493">
        <v>125</v>
      </c>
      <c r="O20" s="1493">
        <v>1.55</v>
      </c>
      <c r="P20" s="1493">
        <v>0</v>
      </c>
      <c r="Q20" s="1493">
        <v>0.3</v>
      </c>
      <c r="R20" s="1499">
        <v>0.05</v>
      </c>
      <c r="S20" s="1534">
        <f t="shared" si="4"/>
        <v>28.933333333333337</v>
      </c>
      <c r="T20" s="1495">
        <f t="shared" si="5"/>
        <v>173.60000000000002</v>
      </c>
      <c r="U20" s="1493">
        <f t="shared" si="6"/>
        <v>173.60000000000002</v>
      </c>
      <c r="V20" s="1493"/>
      <c r="W20" s="1493"/>
      <c r="X20" s="1505">
        <f t="shared" si="7"/>
        <v>0.23790322580645157</v>
      </c>
      <c r="Y20" s="1480">
        <f t="shared" si="8"/>
        <v>88.426666666666677</v>
      </c>
      <c r="Z20" s="1506"/>
      <c r="AA20" s="1506"/>
      <c r="AB20" s="1480">
        <f t="shared" si="9"/>
        <v>88.426666666666662</v>
      </c>
    </row>
    <row r="21" spans="1:28" ht="15">
      <c r="A21" s="1493" t="s">
        <v>599</v>
      </c>
      <c r="B21" s="1493">
        <f t="shared" si="0"/>
        <v>1</v>
      </c>
      <c r="C21" s="1527">
        <f t="shared" si="1"/>
        <v>1</v>
      </c>
      <c r="D21" s="1493">
        <v>1</v>
      </c>
      <c r="E21" s="1493">
        <v>56</v>
      </c>
      <c r="F21" s="1533">
        <v>78.3</v>
      </c>
      <c r="G21" s="1533">
        <v>37</v>
      </c>
      <c r="H21" s="1528">
        <f t="shared" si="2"/>
        <v>56</v>
      </c>
      <c r="I21" s="1526">
        <f t="shared" si="3"/>
        <v>1</v>
      </c>
      <c r="J21" s="1498" t="s">
        <v>291</v>
      </c>
      <c r="K21" s="1493"/>
      <c r="L21" s="1493"/>
      <c r="M21" s="1493"/>
      <c r="N21" s="1493">
        <v>125</v>
      </c>
      <c r="O21" s="1493">
        <v>1.4</v>
      </c>
      <c r="P21" s="1493">
        <v>0</v>
      </c>
      <c r="Q21" s="1493">
        <v>0.28000000000000003</v>
      </c>
      <c r="R21" s="1499">
        <v>0.02</v>
      </c>
      <c r="S21" s="1534">
        <f t="shared" si="4"/>
        <v>78.399999999999991</v>
      </c>
      <c r="T21" s="1495">
        <f t="shared" si="5"/>
        <v>78.399999999999991</v>
      </c>
      <c r="U21" s="1493">
        <f t="shared" si="6"/>
        <v>78.399999999999991</v>
      </c>
      <c r="V21" s="1493"/>
      <c r="W21" s="1493"/>
      <c r="X21" s="1505">
        <f t="shared" si="7"/>
        <v>0.5267857142857143</v>
      </c>
      <c r="Y21" s="1480">
        <f t="shared" si="8"/>
        <v>101.82</v>
      </c>
      <c r="Z21" s="1506"/>
      <c r="AA21" s="1506"/>
      <c r="AB21" s="1480">
        <f t="shared" si="9"/>
        <v>101.82</v>
      </c>
    </row>
    <row r="22" spans="1:28" ht="15">
      <c r="A22" s="1493">
        <v>3</v>
      </c>
      <c r="B22" s="1493">
        <f t="shared" si="0"/>
        <v>6</v>
      </c>
      <c r="C22" s="1527">
        <f t="shared" si="1"/>
        <v>6</v>
      </c>
      <c r="D22" s="1493">
        <v>1</v>
      </c>
      <c r="E22" s="1493">
        <v>55</v>
      </c>
      <c r="F22" s="1533">
        <v>77.099999999999994</v>
      </c>
      <c r="G22" s="1533">
        <v>40.700000000000003</v>
      </c>
      <c r="H22" s="1528">
        <f t="shared" si="2"/>
        <v>18.333333333333332</v>
      </c>
      <c r="I22" s="1526">
        <f t="shared" si="3"/>
        <v>1.7320508075688772</v>
      </c>
      <c r="J22" s="1498" t="s">
        <v>468</v>
      </c>
      <c r="K22" s="1493"/>
      <c r="L22" s="1493"/>
      <c r="M22" s="1493"/>
      <c r="N22" s="1493">
        <v>125</v>
      </c>
      <c r="O22" s="1493">
        <v>0.85</v>
      </c>
      <c r="P22" s="1493">
        <v>1.8</v>
      </c>
      <c r="Q22" s="1493">
        <v>0.3</v>
      </c>
      <c r="R22" s="1499">
        <v>0.05</v>
      </c>
      <c r="S22" s="1534">
        <f t="shared" si="4"/>
        <v>17.398333333333333</v>
      </c>
      <c r="T22" s="1495">
        <f t="shared" si="5"/>
        <v>104.39</v>
      </c>
      <c r="U22" s="1493">
        <f t="shared" si="6"/>
        <v>104.39</v>
      </c>
      <c r="V22" s="1493"/>
      <c r="W22" s="1493"/>
      <c r="X22" s="1505">
        <f t="shared" si="7"/>
        <v>0.34869240348692399</v>
      </c>
      <c r="Y22" s="1480">
        <f t="shared" si="8"/>
        <v>83.189416666666659</v>
      </c>
      <c r="Z22" s="1506"/>
      <c r="AA22" s="1506"/>
      <c r="AB22" s="1480">
        <f t="shared" si="9"/>
        <v>83.189416666666659</v>
      </c>
    </row>
    <row r="23" spans="1:28" ht="15">
      <c r="A23" s="1493">
        <v>3</v>
      </c>
      <c r="B23" s="1493">
        <f t="shared" si="0"/>
        <v>6</v>
      </c>
      <c r="C23" s="1527">
        <f t="shared" si="1"/>
        <v>6</v>
      </c>
      <c r="D23" s="1493">
        <v>1</v>
      </c>
      <c r="E23" s="1493">
        <v>51</v>
      </c>
      <c r="F23" s="1533">
        <v>72.599999999999994</v>
      </c>
      <c r="G23" s="1533">
        <v>38.9</v>
      </c>
      <c r="H23" s="1528">
        <f t="shared" si="2"/>
        <v>17</v>
      </c>
      <c r="I23" s="1526">
        <f t="shared" si="3"/>
        <v>1.7320508075688772</v>
      </c>
      <c r="J23" s="1498" t="s">
        <v>468</v>
      </c>
      <c r="K23" s="1493"/>
      <c r="L23" s="1493"/>
      <c r="M23" s="1493"/>
      <c r="N23" s="1493">
        <v>125</v>
      </c>
      <c r="O23" s="1493">
        <v>0.85</v>
      </c>
      <c r="P23" s="1493">
        <v>1.8</v>
      </c>
      <c r="Q23" s="1493">
        <v>0.3</v>
      </c>
      <c r="R23" s="1499">
        <v>0.05</v>
      </c>
      <c r="S23" s="1534">
        <f t="shared" si="4"/>
        <v>16.0106</v>
      </c>
      <c r="T23" s="1495">
        <f t="shared" si="5"/>
        <v>96.063600000000008</v>
      </c>
      <c r="U23" s="1493">
        <f t="shared" si="6"/>
        <v>96.063600000000008</v>
      </c>
      <c r="V23" s="1493"/>
      <c r="W23" s="1493"/>
      <c r="X23" s="1505">
        <f t="shared" si="7"/>
        <v>0.3508092555348748</v>
      </c>
      <c r="Y23" s="1480">
        <f t="shared" si="8"/>
        <v>78.203710000000001</v>
      </c>
      <c r="Z23" s="1506"/>
      <c r="AA23" s="1506"/>
      <c r="AB23" s="1480">
        <f t="shared" si="9"/>
        <v>78.203710000000001</v>
      </c>
    </row>
    <row r="24" spans="1:28" ht="15">
      <c r="A24" s="1493" t="s">
        <v>599</v>
      </c>
      <c r="B24" s="1493">
        <f t="shared" si="0"/>
        <v>1</v>
      </c>
      <c r="C24" s="1527">
        <f t="shared" si="1"/>
        <v>1</v>
      </c>
      <c r="D24" s="1493">
        <v>1</v>
      </c>
      <c r="E24" s="1493">
        <v>56</v>
      </c>
      <c r="F24" s="1533">
        <v>78.3</v>
      </c>
      <c r="G24" s="1533">
        <v>37</v>
      </c>
      <c r="H24" s="1528">
        <f t="shared" si="2"/>
        <v>56</v>
      </c>
      <c r="I24" s="1526">
        <f t="shared" si="3"/>
        <v>1</v>
      </c>
      <c r="J24" s="1498" t="s">
        <v>291</v>
      </c>
      <c r="K24" s="1493"/>
      <c r="L24" s="1493"/>
      <c r="M24" s="1493"/>
      <c r="N24" s="1493">
        <v>125</v>
      </c>
      <c r="O24" s="1493">
        <v>0.85</v>
      </c>
      <c r="P24" s="1493">
        <v>1.8</v>
      </c>
      <c r="Q24" s="1493">
        <v>0.28000000000000003</v>
      </c>
      <c r="R24" s="1499">
        <v>0.02</v>
      </c>
      <c r="S24" s="1534">
        <f t="shared" si="4"/>
        <v>53.244799999999998</v>
      </c>
      <c r="T24" s="1495">
        <f t="shared" si="5"/>
        <v>53.244799999999998</v>
      </c>
      <c r="U24" s="1493">
        <f t="shared" si="6"/>
        <v>53.244799999999998</v>
      </c>
      <c r="V24" s="1493"/>
      <c r="W24" s="1493"/>
      <c r="X24" s="1505">
        <f t="shared" si="7"/>
        <v>0.77566259991586028</v>
      </c>
      <c r="Y24" s="1480">
        <f t="shared" si="8"/>
        <v>94.273439999999994</v>
      </c>
      <c r="Z24" s="1506"/>
      <c r="AA24" s="1506"/>
      <c r="AB24" s="1480">
        <f t="shared" si="9"/>
        <v>94.273439999999994</v>
      </c>
    </row>
    <row r="25" spans="1:28" ht="15">
      <c r="A25" s="1493">
        <v>3</v>
      </c>
      <c r="B25" s="1493">
        <f t="shared" si="0"/>
        <v>6</v>
      </c>
      <c r="C25" s="1527">
        <f t="shared" si="1"/>
        <v>6</v>
      </c>
      <c r="D25" s="1493">
        <v>1</v>
      </c>
      <c r="E25" s="1493">
        <v>56</v>
      </c>
      <c r="F25" s="1533">
        <v>90</v>
      </c>
      <c r="G25" s="1533">
        <v>37</v>
      </c>
      <c r="H25" s="1528">
        <f t="shared" si="2"/>
        <v>18.666666666666668</v>
      </c>
      <c r="I25" s="1526">
        <f t="shared" si="3"/>
        <v>1.7320508075688772</v>
      </c>
      <c r="J25" s="1498" t="s">
        <v>601</v>
      </c>
      <c r="K25" s="1506"/>
      <c r="L25" s="1506"/>
      <c r="M25" s="1506"/>
      <c r="N25" s="1493">
        <v>125</v>
      </c>
      <c r="O25" s="1493">
        <v>1</v>
      </c>
      <c r="P25" s="1493">
        <v>10</v>
      </c>
      <c r="Q25" s="1493">
        <v>1.2</v>
      </c>
      <c r="R25" s="1499">
        <v>0</v>
      </c>
      <c r="S25" s="1534">
        <f t="shared" si="4"/>
        <v>29.120000000000005</v>
      </c>
      <c r="T25" s="1495">
        <f t="shared" si="5"/>
        <v>174.72000000000003</v>
      </c>
      <c r="U25" s="1493">
        <f t="shared" si="6"/>
        <v>174.72000000000003</v>
      </c>
      <c r="V25" s="1493"/>
      <c r="W25" s="1493"/>
      <c r="X25" s="1505">
        <f t="shared" si="7"/>
        <v>0.30334249084249082</v>
      </c>
      <c r="Y25" s="1480">
        <f t="shared" si="8"/>
        <v>124.944</v>
      </c>
      <c r="Z25" s="1506"/>
      <c r="AA25" s="1506"/>
      <c r="AB25" s="1480">
        <f t="shared" si="9"/>
        <v>124.944</v>
      </c>
    </row>
    <row r="26" spans="1:28" ht="15">
      <c r="A26" s="1493">
        <v>3</v>
      </c>
      <c r="B26" s="1493">
        <f t="shared" si="0"/>
        <v>6</v>
      </c>
      <c r="C26" s="1527">
        <f t="shared" si="1"/>
        <v>6</v>
      </c>
      <c r="D26" s="1493">
        <v>1</v>
      </c>
      <c r="E26" s="1493">
        <v>100</v>
      </c>
      <c r="F26" s="1533">
        <v>85.3</v>
      </c>
      <c r="G26" s="1533">
        <v>34.5</v>
      </c>
      <c r="H26" s="1528">
        <f t="shared" si="2"/>
        <v>33.333333333333336</v>
      </c>
      <c r="I26" s="1526">
        <f t="shared" si="3"/>
        <v>1.7320508075688772</v>
      </c>
      <c r="J26" s="1498" t="s">
        <v>468</v>
      </c>
      <c r="K26" s="1493"/>
      <c r="L26" s="1493"/>
      <c r="M26" s="1493"/>
      <c r="N26" s="1493">
        <v>125</v>
      </c>
      <c r="O26" s="1493">
        <v>1</v>
      </c>
      <c r="P26" s="1493">
        <v>0</v>
      </c>
      <c r="Q26" s="1493">
        <v>0.3</v>
      </c>
      <c r="R26" s="1499">
        <v>0.05</v>
      </c>
      <c r="S26" s="1534">
        <f t="shared" si="4"/>
        <v>33.333333333333336</v>
      </c>
      <c r="T26" s="1495">
        <f t="shared" si="5"/>
        <v>200</v>
      </c>
      <c r="U26" s="1493">
        <f t="shared" si="6"/>
        <v>200</v>
      </c>
      <c r="V26" s="1493"/>
      <c r="W26" s="1493"/>
      <c r="X26" s="1505">
        <f t="shared" si="7"/>
        <v>0.254</v>
      </c>
      <c r="Y26" s="1480">
        <f t="shared" si="8"/>
        <v>96.966666666666669</v>
      </c>
      <c r="Z26" s="1506"/>
      <c r="AA26" s="1506"/>
      <c r="AB26" s="1480">
        <f t="shared" si="9"/>
        <v>96.966666666666669</v>
      </c>
    </row>
    <row r="27" spans="1:28" ht="15">
      <c r="A27" s="1493" t="s">
        <v>599</v>
      </c>
      <c r="B27" s="1493">
        <f t="shared" si="0"/>
        <v>1</v>
      </c>
      <c r="C27" s="1527">
        <f t="shared" si="1"/>
        <v>1</v>
      </c>
      <c r="D27" s="1493">
        <v>1</v>
      </c>
      <c r="E27" s="1501">
        <v>149</v>
      </c>
      <c r="F27" s="1533">
        <v>72.7</v>
      </c>
      <c r="G27" s="1533">
        <v>34.200000000000003</v>
      </c>
      <c r="H27" s="1528">
        <f t="shared" si="2"/>
        <v>149</v>
      </c>
      <c r="I27" s="1526">
        <f t="shared" si="3"/>
        <v>1</v>
      </c>
      <c r="J27" s="1498" t="s">
        <v>554</v>
      </c>
      <c r="K27" s="1493"/>
      <c r="L27" s="1493"/>
      <c r="M27" s="1493"/>
      <c r="N27" s="1481">
        <v>150</v>
      </c>
      <c r="O27" s="1493">
        <v>0.85</v>
      </c>
      <c r="P27" s="1493">
        <v>1.2</v>
      </c>
      <c r="Q27" s="1493">
        <v>0.18</v>
      </c>
      <c r="R27" s="1499">
        <v>0.1</v>
      </c>
      <c r="S27" s="1534">
        <f t="shared" si="4"/>
        <v>153.2912</v>
      </c>
      <c r="T27" s="1495">
        <f t="shared" si="5"/>
        <v>153.2912</v>
      </c>
      <c r="U27" s="1493">
        <f t="shared" si="6"/>
        <v>153.2912</v>
      </c>
      <c r="V27" s="1493"/>
      <c r="W27" s="1493"/>
      <c r="X27" s="1505">
        <f t="shared" si="7"/>
        <v>0.25115596981431421</v>
      </c>
      <c r="Y27" s="1480">
        <f t="shared" si="8"/>
        <v>115.62153600000001</v>
      </c>
      <c r="Z27" s="1506"/>
      <c r="AA27" s="1506"/>
      <c r="AB27" s="1480">
        <f t="shared" si="9"/>
        <v>115.62153600000001</v>
      </c>
    </row>
    <row r="28" spans="1:28" ht="15">
      <c r="A28" s="1493" t="s">
        <v>599</v>
      </c>
      <c r="B28" s="1493">
        <f t="shared" si="0"/>
        <v>1</v>
      </c>
      <c r="C28" s="1527">
        <f t="shared" si="1"/>
        <v>1</v>
      </c>
      <c r="D28" s="1493">
        <v>1</v>
      </c>
      <c r="E28" s="1501">
        <v>149</v>
      </c>
      <c r="F28" s="1533">
        <v>75.599999999999994</v>
      </c>
      <c r="G28" s="1533">
        <v>34.200000000000003</v>
      </c>
      <c r="H28" s="1528">
        <f t="shared" si="2"/>
        <v>149</v>
      </c>
      <c r="I28" s="1526">
        <f t="shared" si="3"/>
        <v>1</v>
      </c>
      <c r="J28" s="1498" t="s">
        <v>554</v>
      </c>
      <c r="K28" s="1493"/>
      <c r="L28" s="1493"/>
      <c r="M28" s="1493"/>
      <c r="N28" s="1481">
        <v>150</v>
      </c>
      <c r="O28" s="1493">
        <v>0.85</v>
      </c>
      <c r="P28" s="1493">
        <v>1.2</v>
      </c>
      <c r="Q28" s="1493">
        <v>0.18</v>
      </c>
      <c r="R28" s="1499">
        <v>0.1</v>
      </c>
      <c r="S28" s="1534">
        <f t="shared" si="4"/>
        <v>153.2912</v>
      </c>
      <c r="T28" s="1495">
        <f t="shared" si="5"/>
        <v>153.2912</v>
      </c>
      <c r="U28" s="1493">
        <f t="shared" si="6"/>
        <v>153.2912</v>
      </c>
      <c r="V28" s="1493"/>
      <c r="W28" s="1493"/>
      <c r="X28" s="1505">
        <f t="shared" si="7"/>
        <v>0.27007421169643131</v>
      </c>
      <c r="Y28" s="1480">
        <f t="shared" si="8"/>
        <v>118.521536</v>
      </c>
      <c r="Z28" s="1506"/>
      <c r="AA28" s="1506"/>
      <c r="AB28" s="1480">
        <f t="shared" si="9"/>
        <v>118.521536</v>
      </c>
    </row>
    <row r="29" spans="1:28" ht="15">
      <c r="A29" s="1493" t="s">
        <v>599</v>
      </c>
      <c r="B29" s="1493">
        <f t="shared" si="0"/>
        <v>1</v>
      </c>
      <c r="C29" s="1527">
        <f t="shared" si="1"/>
        <v>1</v>
      </c>
      <c r="D29" s="1493">
        <v>1</v>
      </c>
      <c r="E29" s="1501">
        <v>149</v>
      </c>
      <c r="F29" s="1533">
        <v>80.2</v>
      </c>
      <c r="G29" s="1533">
        <v>34.200000000000003</v>
      </c>
      <c r="H29" s="1528">
        <f t="shared" si="2"/>
        <v>149</v>
      </c>
      <c r="I29" s="1526">
        <f t="shared" si="3"/>
        <v>1</v>
      </c>
      <c r="J29" s="1498" t="s">
        <v>554</v>
      </c>
      <c r="K29" s="1493"/>
      <c r="L29" s="1493"/>
      <c r="M29" s="1493"/>
      <c r="N29" s="1481">
        <v>150</v>
      </c>
      <c r="O29" s="1493">
        <v>0.85</v>
      </c>
      <c r="P29" s="1493">
        <v>1.2</v>
      </c>
      <c r="Q29" s="1493">
        <v>0.18</v>
      </c>
      <c r="R29" s="1499">
        <v>0.1</v>
      </c>
      <c r="S29" s="1534">
        <f t="shared" si="4"/>
        <v>153.2912</v>
      </c>
      <c r="T29" s="1495">
        <f t="shared" si="5"/>
        <v>153.2912</v>
      </c>
      <c r="U29" s="1493">
        <f t="shared" si="6"/>
        <v>153.2912</v>
      </c>
      <c r="V29" s="1493"/>
      <c r="W29" s="1493"/>
      <c r="X29" s="1505">
        <f t="shared" si="7"/>
        <v>0.30008245744047929</v>
      </c>
      <c r="Y29" s="1480">
        <f t="shared" si="8"/>
        <v>123.12153600000001</v>
      </c>
      <c r="Z29" s="1506"/>
      <c r="AA29" s="1506"/>
      <c r="AB29" s="1480">
        <f t="shared" si="9"/>
        <v>123.12153600000001</v>
      </c>
    </row>
    <row r="30" spans="1:28" ht="15">
      <c r="A30" s="1493" t="s">
        <v>599</v>
      </c>
      <c r="B30" s="1493">
        <f t="shared" si="0"/>
        <v>1</v>
      </c>
      <c r="C30" s="1527">
        <f t="shared" si="1"/>
        <v>1</v>
      </c>
      <c r="D30" s="1493">
        <v>1</v>
      </c>
      <c r="E30" s="1501">
        <v>149</v>
      </c>
      <c r="F30" s="1533">
        <v>90.8</v>
      </c>
      <c r="G30" s="1533">
        <v>34.200000000000003</v>
      </c>
      <c r="H30" s="1528">
        <f t="shared" si="2"/>
        <v>149</v>
      </c>
      <c r="I30" s="1526">
        <f t="shared" si="3"/>
        <v>1</v>
      </c>
      <c r="J30" s="1498" t="s">
        <v>554</v>
      </c>
      <c r="K30" s="1493"/>
      <c r="L30" s="1493"/>
      <c r="M30" s="1493"/>
      <c r="N30" s="1481">
        <v>150</v>
      </c>
      <c r="O30" s="1493">
        <v>0.85</v>
      </c>
      <c r="P30" s="1493">
        <v>1.2</v>
      </c>
      <c r="Q30" s="1493">
        <v>0.18</v>
      </c>
      <c r="R30" s="1499">
        <v>0.1</v>
      </c>
      <c r="S30" s="1534">
        <f t="shared" si="4"/>
        <v>153.2912</v>
      </c>
      <c r="T30" s="1495">
        <f t="shared" si="5"/>
        <v>153.2912</v>
      </c>
      <c r="U30" s="1493">
        <f t="shared" si="6"/>
        <v>153.2912</v>
      </c>
      <c r="V30" s="1493"/>
      <c r="W30" s="1493"/>
      <c r="X30" s="1505">
        <f t="shared" si="7"/>
        <v>0.36923189328545925</v>
      </c>
      <c r="Y30" s="1480">
        <f t="shared" si="8"/>
        <v>133.72153600000001</v>
      </c>
      <c r="Z30" s="1506"/>
      <c r="AA30" s="1506"/>
      <c r="AB30" s="1480">
        <f t="shared" si="9"/>
        <v>133.72153600000001</v>
      </c>
    </row>
    <row r="31" spans="1:28" ht="15">
      <c r="A31" s="1493" t="s">
        <v>599</v>
      </c>
      <c r="B31" s="1493">
        <f t="shared" si="0"/>
        <v>1</v>
      </c>
      <c r="C31" s="1527">
        <f t="shared" si="1"/>
        <v>1</v>
      </c>
      <c r="D31" s="1493">
        <v>1</v>
      </c>
      <c r="E31" s="1493">
        <v>181</v>
      </c>
      <c r="F31" s="1533">
        <v>86.3</v>
      </c>
      <c r="G31" s="1533">
        <v>38.1</v>
      </c>
      <c r="H31" s="1528">
        <f t="shared" si="2"/>
        <v>181</v>
      </c>
      <c r="I31" s="1526">
        <f t="shared" si="3"/>
        <v>1</v>
      </c>
      <c r="J31" s="1498" t="s">
        <v>554</v>
      </c>
      <c r="K31" s="1493"/>
      <c r="L31" s="1493"/>
      <c r="M31" s="1493"/>
      <c r="N31" s="1481">
        <v>150</v>
      </c>
      <c r="O31" s="1493">
        <v>0.85</v>
      </c>
      <c r="P31" s="1493">
        <v>1.2</v>
      </c>
      <c r="Q31" s="1493">
        <v>0.18</v>
      </c>
      <c r="R31" s="1499">
        <v>0.1</v>
      </c>
      <c r="S31" s="1534">
        <f t="shared" si="4"/>
        <v>193.16319999999999</v>
      </c>
      <c r="T31" s="1495">
        <f t="shared" si="5"/>
        <v>193.16319999999999</v>
      </c>
      <c r="U31" s="1493">
        <f t="shared" si="6"/>
        <v>193.16319999999999</v>
      </c>
      <c r="V31" s="1493"/>
      <c r="W31" s="1493"/>
      <c r="X31" s="1505">
        <f t="shared" si="7"/>
        <v>0.24952993116701316</v>
      </c>
      <c r="Y31" s="1480">
        <f t="shared" si="8"/>
        <v>140.385696</v>
      </c>
      <c r="Z31" s="1506"/>
      <c r="AA31" s="1506"/>
      <c r="AB31" s="1480">
        <f t="shared" si="9"/>
        <v>140.385696</v>
      </c>
    </row>
    <row r="32" spans="1:28" ht="15">
      <c r="A32" s="1493" t="s">
        <v>599</v>
      </c>
      <c r="B32" s="1493">
        <f t="shared" si="0"/>
        <v>1</v>
      </c>
      <c r="C32" s="1527">
        <f t="shared" si="1"/>
        <v>1</v>
      </c>
      <c r="D32" s="1493">
        <v>1</v>
      </c>
      <c r="E32" s="1493">
        <v>181</v>
      </c>
      <c r="F32" s="1533">
        <v>87.1</v>
      </c>
      <c r="G32" s="1533">
        <v>38.1</v>
      </c>
      <c r="H32" s="1528">
        <f t="shared" si="2"/>
        <v>181</v>
      </c>
      <c r="I32" s="1526">
        <f t="shared" si="3"/>
        <v>1</v>
      </c>
      <c r="J32" s="1498" t="s">
        <v>554</v>
      </c>
      <c r="K32" s="1493"/>
      <c r="L32" s="1493"/>
      <c r="M32" s="1493"/>
      <c r="N32" s="1481">
        <v>150</v>
      </c>
      <c r="O32" s="1493">
        <v>0.85</v>
      </c>
      <c r="P32" s="1493">
        <v>1.2</v>
      </c>
      <c r="Q32" s="1493">
        <v>0.18</v>
      </c>
      <c r="R32" s="1499">
        <v>0.1</v>
      </c>
      <c r="S32" s="1534">
        <f t="shared" si="4"/>
        <v>193.16319999999999</v>
      </c>
      <c r="T32" s="1495">
        <f t="shared" si="5"/>
        <v>193.16319999999999</v>
      </c>
      <c r="U32" s="1493">
        <f t="shared" si="6"/>
        <v>193.16319999999999</v>
      </c>
      <c r="V32" s="1493"/>
      <c r="W32" s="1493"/>
      <c r="X32" s="1505">
        <f t="shared" si="7"/>
        <v>0.2536715067880424</v>
      </c>
      <c r="Y32" s="1480">
        <f t="shared" si="8"/>
        <v>141.18569599999998</v>
      </c>
      <c r="Z32" s="1506"/>
      <c r="AA32" s="1506"/>
      <c r="AB32" s="1480">
        <f t="shared" si="9"/>
        <v>141.18569600000001</v>
      </c>
    </row>
    <row r="33" spans="1:28" ht="15">
      <c r="A33" s="1493" t="s">
        <v>599</v>
      </c>
      <c r="B33" s="1493">
        <f t="shared" si="0"/>
        <v>1</v>
      </c>
      <c r="C33" s="1527">
        <f t="shared" si="1"/>
        <v>1</v>
      </c>
      <c r="D33" s="1493">
        <v>1</v>
      </c>
      <c r="E33" s="1493">
        <v>181</v>
      </c>
      <c r="F33" s="1533">
        <v>89.9</v>
      </c>
      <c r="G33" s="1533">
        <v>38.1</v>
      </c>
      <c r="H33" s="1528">
        <f t="shared" si="2"/>
        <v>181</v>
      </c>
      <c r="I33" s="1526">
        <f t="shared" si="3"/>
        <v>1</v>
      </c>
      <c r="J33" s="1498" t="s">
        <v>554</v>
      </c>
      <c r="K33" s="1493"/>
      <c r="L33" s="1493"/>
      <c r="M33" s="1493"/>
      <c r="N33" s="1481">
        <v>150</v>
      </c>
      <c r="O33" s="1493">
        <v>0.85</v>
      </c>
      <c r="P33" s="1493">
        <v>1.2</v>
      </c>
      <c r="Q33" s="1493">
        <v>0.18</v>
      </c>
      <c r="R33" s="1499">
        <v>0.1</v>
      </c>
      <c r="S33" s="1534">
        <f t="shared" si="4"/>
        <v>193.16319999999999</v>
      </c>
      <c r="T33" s="1495">
        <f t="shared" si="5"/>
        <v>193.16319999999999</v>
      </c>
      <c r="U33" s="1493">
        <f t="shared" si="6"/>
        <v>193.16319999999999</v>
      </c>
      <c r="V33" s="1493"/>
      <c r="W33" s="1493"/>
      <c r="X33" s="1505">
        <f t="shared" si="7"/>
        <v>0.26816702146164489</v>
      </c>
      <c r="Y33" s="1480">
        <f t="shared" si="8"/>
        <v>143.98569600000002</v>
      </c>
      <c r="Z33" s="1506"/>
      <c r="AA33" s="1506"/>
      <c r="AB33" s="1480">
        <f t="shared" si="9"/>
        <v>143.98569600000002</v>
      </c>
    </row>
    <row r="34" spans="1:28" ht="15">
      <c r="A34" s="1493" t="s">
        <v>599</v>
      </c>
      <c r="B34" s="1493">
        <f t="shared" si="0"/>
        <v>1</v>
      </c>
      <c r="C34" s="1527">
        <f t="shared" si="1"/>
        <v>1</v>
      </c>
      <c r="D34" s="1493">
        <v>1</v>
      </c>
      <c r="E34" s="1493">
        <v>181</v>
      </c>
      <c r="F34" s="1533" t="s">
        <v>504</v>
      </c>
      <c r="G34" s="1533">
        <v>38.1</v>
      </c>
      <c r="H34" s="1528">
        <f t="shared" si="2"/>
        <v>181</v>
      </c>
      <c r="I34" s="1526">
        <f t="shared" si="3"/>
        <v>1</v>
      </c>
      <c r="J34" s="1498" t="s">
        <v>554</v>
      </c>
      <c r="K34" s="1493"/>
      <c r="L34" s="1493"/>
      <c r="M34" s="1493"/>
      <c r="N34" s="1481">
        <v>150</v>
      </c>
      <c r="O34" s="1493">
        <v>0.85</v>
      </c>
      <c r="P34" s="1493">
        <v>1.2</v>
      </c>
      <c r="Q34" s="1493">
        <v>0.18</v>
      </c>
      <c r="R34" s="1499">
        <v>0.1</v>
      </c>
      <c r="S34" s="1534">
        <f t="shared" si="4"/>
        <v>193.16319999999999</v>
      </c>
      <c r="T34" s="1495">
        <f t="shared" si="5"/>
        <v>193.16319999999999</v>
      </c>
      <c r="U34" s="1493">
        <f t="shared" si="6"/>
        <v>193.16319999999999</v>
      </c>
      <c r="V34" s="1493"/>
      <c r="W34" s="1493"/>
      <c r="X34" s="1505" t="e">
        <f t="shared" si="7"/>
        <v>#VALUE!</v>
      </c>
      <c r="Y34" s="1480" t="e">
        <f t="shared" si="8"/>
        <v>#VALUE!</v>
      </c>
      <c r="Z34" s="1506"/>
      <c r="AA34" s="1506"/>
      <c r="AB34" s="1480" t="e">
        <f t="shared" si="9"/>
        <v>#VALUE!</v>
      </c>
    </row>
    <row r="35" spans="1:28" ht="15">
      <c r="A35" s="1493" t="s">
        <v>599</v>
      </c>
      <c r="B35" s="1493">
        <f t="shared" si="0"/>
        <v>1</v>
      </c>
      <c r="C35" s="1527">
        <f t="shared" si="1"/>
        <v>1</v>
      </c>
      <c r="D35" s="1493">
        <v>1</v>
      </c>
      <c r="E35" s="1493">
        <v>176</v>
      </c>
      <c r="F35" s="1533">
        <v>60</v>
      </c>
      <c r="G35" s="1533">
        <v>39.700000000000003</v>
      </c>
      <c r="H35" s="1528">
        <f t="shared" si="2"/>
        <v>176</v>
      </c>
      <c r="I35" s="1526">
        <f t="shared" si="3"/>
        <v>1</v>
      </c>
      <c r="J35" s="1498" t="s">
        <v>554</v>
      </c>
      <c r="K35" s="1493"/>
      <c r="L35" s="1493"/>
      <c r="M35" s="1493"/>
      <c r="N35" s="1481">
        <v>150</v>
      </c>
      <c r="O35" s="1493">
        <v>0.85</v>
      </c>
      <c r="P35" s="1493">
        <v>1.2</v>
      </c>
      <c r="Q35" s="1493">
        <v>0.18</v>
      </c>
      <c r="R35" s="1499">
        <v>0.1</v>
      </c>
      <c r="S35" s="1534">
        <f t="shared" si="4"/>
        <v>186.77119999999999</v>
      </c>
      <c r="T35" s="1495">
        <f t="shared" si="5"/>
        <v>186.77119999999999</v>
      </c>
      <c r="U35" s="1493">
        <f t="shared" si="6"/>
        <v>186.77119999999999</v>
      </c>
      <c r="V35" s="1493"/>
      <c r="W35" s="1493"/>
      <c r="X35" s="1505">
        <f t="shared" si="7"/>
        <v>0.10868913408491243</v>
      </c>
      <c r="Y35" s="1480">
        <f t="shared" si="8"/>
        <v>112.295936</v>
      </c>
      <c r="Z35" s="1506"/>
      <c r="AA35" s="1506"/>
      <c r="AB35" s="1480">
        <f t="shared" si="9"/>
        <v>112.29593600000001</v>
      </c>
    </row>
    <row r="36" spans="1:28" ht="15">
      <c r="A36" s="1493" t="s">
        <v>599</v>
      </c>
      <c r="B36" s="1493">
        <f t="shared" si="0"/>
        <v>1</v>
      </c>
      <c r="C36" s="1527">
        <f t="shared" si="1"/>
        <v>1</v>
      </c>
      <c r="D36" s="1493">
        <v>1</v>
      </c>
      <c r="E36" s="1493">
        <v>176</v>
      </c>
      <c r="F36" s="1533">
        <v>60.8</v>
      </c>
      <c r="G36" s="1533">
        <v>39.700000000000003</v>
      </c>
      <c r="H36" s="1528">
        <f t="shared" si="2"/>
        <v>176</v>
      </c>
      <c r="I36" s="1526">
        <f t="shared" si="3"/>
        <v>1</v>
      </c>
      <c r="J36" s="1498" t="s">
        <v>554</v>
      </c>
      <c r="K36" s="1493"/>
      <c r="L36" s="1493"/>
      <c r="M36" s="1493"/>
      <c r="N36" s="1481">
        <v>150</v>
      </c>
      <c r="O36" s="1493">
        <v>0.85</v>
      </c>
      <c r="P36" s="1493">
        <v>1.2</v>
      </c>
      <c r="Q36" s="1493">
        <v>0.18</v>
      </c>
      <c r="R36" s="1499">
        <v>0.1</v>
      </c>
      <c r="S36" s="1534">
        <f t="shared" si="4"/>
        <v>186.77119999999999</v>
      </c>
      <c r="T36" s="1495">
        <f t="shared" si="5"/>
        <v>186.77119999999999</v>
      </c>
      <c r="U36" s="1493">
        <f t="shared" si="6"/>
        <v>186.77119999999999</v>
      </c>
      <c r="V36" s="1493"/>
      <c r="W36" s="1493"/>
      <c r="X36" s="1505">
        <f t="shared" si="7"/>
        <v>0.11297244971387449</v>
      </c>
      <c r="Y36" s="1480">
        <f t="shared" si="8"/>
        <v>113.09593599999999</v>
      </c>
      <c r="Z36" s="1506"/>
      <c r="AA36" s="1506"/>
      <c r="AB36" s="1480">
        <f t="shared" si="9"/>
        <v>113.09593599999999</v>
      </c>
    </row>
    <row r="37" spans="1:28" ht="15">
      <c r="A37" s="1493" t="s">
        <v>599</v>
      </c>
      <c r="B37" s="1493">
        <f t="shared" si="0"/>
        <v>1</v>
      </c>
      <c r="C37" s="1527">
        <f t="shared" si="1"/>
        <v>1</v>
      </c>
      <c r="D37" s="1493">
        <v>1</v>
      </c>
      <c r="E37" s="1493">
        <v>176</v>
      </c>
      <c r="F37" s="1533">
        <v>62.1</v>
      </c>
      <c r="G37" s="1533">
        <v>39.700000000000003</v>
      </c>
      <c r="H37" s="1528">
        <f t="shared" si="2"/>
        <v>176</v>
      </c>
      <c r="I37" s="1526">
        <f t="shared" si="3"/>
        <v>1</v>
      </c>
      <c r="J37" s="1498" t="s">
        <v>554</v>
      </c>
      <c r="K37" s="1493"/>
      <c r="L37" s="1493"/>
      <c r="M37" s="1493"/>
      <c r="N37" s="1481">
        <v>150</v>
      </c>
      <c r="O37" s="1493">
        <v>0.85</v>
      </c>
      <c r="P37" s="1493">
        <v>1.2</v>
      </c>
      <c r="Q37" s="1493">
        <v>0.18</v>
      </c>
      <c r="R37" s="1499">
        <v>0.1</v>
      </c>
      <c r="S37" s="1534">
        <f t="shared" si="4"/>
        <v>186.77119999999999</v>
      </c>
      <c r="T37" s="1495">
        <f t="shared" si="5"/>
        <v>186.77119999999999</v>
      </c>
      <c r="U37" s="1493">
        <f t="shared" si="6"/>
        <v>186.77119999999999</v>
      </c>
      <c r="V37" s="1493"/>
      <c r="W37" s="1493"/>
      <c r="X37" s="1505">
        <f t="shared" si="7"/>
        <v>0.11993283761093787</v>
      </c>
      <c r="Y37" s="1480">
        <f t="shared" si="8"/>
        <v>114.39593600000001</v>
      </c>
      <c r="Z37" s="1506"/>
      <c r="AA37" s="1506"/>
      <c r="AB37" s="1480">
        <f t="shared" si="9"/>
        <v>114.39593600000001</v>
      </c>
    </row>
    <row r="38" spans="1:28" ht="15">
      <c r="A38" s="1493" t="s">
        <v>599</v>
      </c>
      <c r="B38" s="1493">
        <f t="shared" si="0"/>
        <v>1</v>
      </c>
      <c r="C38" s="1527">
        <f t="shared" si="1"/>
        <v>1</v>
      </c>
      <c r="D38" s="1493">
        <v>1</v>
      </c>
      <c r="E38" s="1493">
        <v>176</v>
      </c>
      <c r="F38" s="1533">
        <v>62.8</v>
      </c>
      <c r="G38" s="1533">
        <v>39.700000000000003</v>
      </c>
      <c r="H38" s="1528">
        <f t="shared" si="2"/>
        <v>176</v>
      </c>
      <c r="I38" s="1526">
        <f t="shared" si="3"/>
        <v>1</v>
      </c>
      <c r="J38" s="1498" t="s">
        <v>554</v>
      </c>
      <c r="K38" s="1493"/>
      <c r="L38" s="1493"/>
      <c r="M38" s="1493"/>
      <c r="N38" s="1481">
        <v>150</v>
      </c>
      <c r="O38" s="1493">
        <v>0.85</v>
      </c>
      <c r="P38" s="1493">
        <v>1.2</v>
      </c>
      <c r="Q38" s="1493">
        <v>0.18</v>
      </c>
      <c r="R38" s="1499">
        <v>0.1</v>
      </c>
      <c r="S38" s="1534">
        <f t="shared" si="4"/>
        <v>186.77119999999999</v>
      </c>
      <c r="T38" s="1495">
        <f t="shared" si="5"/>
        <v>186.77119999999999</v>
      </c>
      <c r="U38" s="1493">
        <f t="shared" si="6"/>
        <v>186.77119999999999</v>
      </c>
      <c r="V38" s="1493"/>
      <c r="W38" s="1493"/>
      <c r="X38" s="1505">
        <f t="shared" si="7"/>
        <v>0.12368073878627965</v>
      </c>
      <c r="Y38" s="1480">
        <f t="shared" si="8"/>
        <v>115.09593599999999</v>
      </c>
      <c r="Z38" s="1506"/>
      <c r="AA38" s="1506"/>
      <c r="AB38" s="1480">
        <f t="shared" si="9"/>
        <v>115.09593599999999</v>
      </c>
    </row>
    <row r="39" spans="1:28" ht="15">
      <c r="A39" s="1493" t="s">
        <v>599</v>
      </c>
      <c r="B39" s="1493">
        <f t="shared" si="0"/>
        <v>1</v>
      </c>
      <c r="C39" s="1527">
        <f t="shared" si="1"/>
        <v>1</v>
      </c>
      <c r="D39" s="1493">
        <v>1</v>
      </c>
      <c r="E39" s="1493">
        <v>201</v>
      </c>
      <c r="F39" s="1533">
        <v>63</v>
      </c>
      <c r="G39" s="1533">
        <v>39.299999999999997</v>
      </c>
      <c r="H39" s="1528">
        <f t="shared" si="2"/>
        <v>201</v>
      </c>
      <c r="I39" s="1526">
        <f t="shared" si="3"/>
        <v>1</v>
      </c>
      <c r="J39" s="1498" t="s">
        <v>554</v>
      </c>
      <c r="K39" s="1493"/>
      <c r="L39" s="1493"/>
      <c r="M39" s="1493"/>
      <c r="N39" s="1481">
        <v>150</v>
      </c>
      <c r="O39" s="1493">
        <v>0.85</v>
      </c>
      <c r="P39" s="1493">
        <v>1.2</v>
      </c>
      <c r="Q39" s="1493">
        <v>0.18</v>
      </c>
      <c r="R39" s="1499">
        <v>0.1</v>
      </c>
      <c r="S39" s="1534">
        <f t="shared" si="4"/>
        <v>219.3312</v>
      </c>
      <c r="T39" s="1495">
        <f t="shared" si="5"/>
        <v>219.3312</v>
      </c>
      <c r="U39" s="1493">
        <f t="shared" si="6"/>
        <v>219.3312</v>
      </c>
      <c r="V39" s="1493"/>
      <c r="W39" s="1493"/>
      <c r="X39" s="1505">
        <f t="shared" si="7"/>
        <v>0.10805576224449601</v>
      </c>
      <c r="Y39" s="1480">
        <f t="shared" si="8"/>
        <v>124.412736</v>
      </c>
      <c r="Z39" s="1506"/>
      <c r="AA39" s="1506"/>
      <c r="AB39" s="1480">
        <f t="shared" si="9"/>
        <v>124.412736</v>
      </c>
    </row>
    <row r="40" spans="1:28" ht="15">
      <c r="A40" s="1493" t="s">
        <v>599</v>
      </c>
      <c r="B40" s="1493">
        <f t="shared" si="0"/>
        <v>1</v>
      </c>
      <c r="C40" s="1527">
        <f t="shared" si="1"/>
        <v>1</v>
      </c>
      <c r="D40" s="1493">
        <v>1</v>
      </c>
      <c r="E40" s="1493">
        <v>201</v>
      </c>
      <c r="F40" s="1533">
        <v>63.9</v>
      </c>
      <c r="G40" s="1533">
        <v>39.299999999999997</v>
      </c>
      <c r="H40" s="1528">
        <f t="shared" si="2"/>
        <v>201</v>
      </c>
      <c r="I40" s="1526">
        <f t="shared" si="3"/>
        <v>1</v>
      </c>
      <c r="J40" s="1498" t="s">
        <v>554</v>
      </c>
      <c r="K40" s="1493"/>
      <c r="L40" s="1493"/>
      <c r="M40" s="1493"/>
      <c r="N40" s="1481">
        <v>150</v>
      </c>
      <c r="O40" s="1493">
        <v>0.85</v>
      </c>
      <c r="P40" s="1493">
        <v>1.2</v>
      </c>
      <c r="Q40" s="1493">
        <v>0.18</v>
      </c>
      <c r="R40" s="1499">
        <v>0.1</v>
      </c>
      <c r="S40" s="1534">
        <f t="shared" si="4"/>
        <v>219.3312</v>
      </c>
      <c r="T40" s="1495">
        <f t="shared" si="5"/>
        <v>219.3312</v>
      </c>
      <c r="U40" s="1493">
        <f t="shared" si="6"/>
        <v>219.3312</v>
      </c>
      <c r="V40" s="1493"/>
      <c r="W40" s="1493"/>
      <c r="X40" s="1505">
        <f t="shared" si="7"/>
        <v>0.11215914562086927</v>
      </c>
      <c r="Y40" s="1480">
        <f t="shared" si="8"/>
        <v>125.312736</v>
      </c>
      <c r="Z40" s="1506"/>
      <c r="AA40" s="1506"/>
      <c r="AB40" s="1480">
        <f t="shared" si="9"/>
        <v>125.312736</v>
      </c>
    </row>
    <row r="41" spans="1:28" ht="15">
      <c r="A41" s="1493" t="s">
        <v>599</v>
      </c>
      <c r="B41" s="1493">
        <f t="shared" si="0"/>
        <v>1</v>
      </c>
      <c r="C41" s="1527">
        <f t="shared" si="1"/>
        <v>1</v>
      </c>
      <c r="D41" s="1493">
        <v>1</v>
      </c>
      <c r="E41" s="1493">
        <v>201</v>
      </c>
      <c r="F41" s="1533">
        <v>65.3</v>
      </c>
      <c r="G41" s="1533">
        <v>39.299999999999997</v>
      </c>
      <c r="H41" s="1528">
        <f t="shared" si="2"/>
        <v>201</v>
      </c>
      <c r="I41" s="1526">
        <f t="shared" si="3"/>
        <v>1</v>
      </c>
      <c r="J41" s="1498" t="s">
        <v>554</v>
      </c>
      <c r="K41" s="1493"/>
      <c r="L41" s="1493"/>
      <c r="M41" s="1493"/>
      <c r="N41" s="1481">
        <v>150</v>
      </c>
      <c r="O41" s="1493">
        <v>0.85</v>
      </c>
      <c r="P41" s="1493">
        <v>1.2</v>
      </c>
      <c r="Q41" s="1493">
        <v>0.18</v>
      </c>
      <c r="R41" s="1499">
        <v>0.1</v>
      </c>
      <c r="S41" s="1534">
        <f t="shared" si="4"/>
        <v>219.3312</v>
      </c>
      <c r="T41" s="1495">
        <f t="shared" si="5"/>
        <v>219.3312</v>
      </c>
      <c r="U41" s="1493">
        <f t="shared" si="6"/>
        <v>219.3312</v>
      </c>
      <c r="V41" s="1493"/>
      <c r="W41" s="1493"/>
      <c r="X41" s="1505">
        <f t="shared" si="7"/>
        <v>0.11854218642856101</v>
      </c>
      <c r="Y41" s="1480">
        <f t="shared" si="8"/>
        <v>126.71273600000001</v>
      </c>
      <c r="Z41" s="1506"/>
      <c r="AA41" s="1506"/>
      <c r="AB41" s="1480">
        <f t="shared" si="9"/>
        <v>126.71273600000001</v>
      </c>
    </row>
    <row r="42" spans="1:28" ht="15">
      <c r="A42" s="1493" t="s">
        <v>599</v>
      </c>
      <c r="B42" s="1493">
        <f t="shared" si="0"/>
        <v>1</v>
      </c>
      <c r="C42" s="1527">
        <f t="shared" si="1"/>
        <v>1</v>
      </c>
      <c r="D42" s="1493">
        <v>1</v>
      </c>
      <c r="E42" s="1493">
        <v>201</v>
      </c>
      <c r="F42" s="1533">
        <v>66.5</v>
      </c>
      <c r="G42" s="1533">
        <v>39.299999999999997</v>
      </c>
      <c r="H42" s="1528">
        <f t="shared" si="2"/>
        <v>201</v>
      </c>
      <c r="I42" s="1526">
        <f t="shared" si="3"/>
        <v>1</v>
      </c>
      <c r="J42" s="1498" t="s">
        <v>554</v>
      </c>
      <c r="K42" s="1493"/>
      <c r="L42" s="1493"/>
      <c r="M42" s="1493"/>
      <c r="N42" s="1481">
        <v>150</v>
      </c>
      <c r="O42" s="1493">
        <v>0.85</v>
      </c>
      <c r="P42" s="1493">
        <v>1.2</v>
      </c>
      <c r="Q42" s="1493">
        <v>0.18</v>
      </c>
      <c r="R42" s="1499">
        <v>0.1</v>
      </c>
      <c r="S42" s="1534">
        <f t="shared" si="4"/>
        <v>219.3312</v>
      </c>
      <c r="T42" s="1495">
        <f t="shared" si="5"/>
        <v>219.3312</v>
      </c>
      <c r="U42" s="1493">
        <f t="shared" si="6"/>
        <v>219.3312</v>
      </c>
      <c r="V42" s="1493"/>
      <c r="W42" s="1493"/>
      <c r="X42" s="1505">
        <f t="shared" si="7"/>
        <v>0.12401336426372538</v>
      </c>
      <c r="Y42" s="1480">
        <f t="shared" si="8"/>
        <v>127.91273600000001</v>
      </c>
      <c r="Z42" s="1506"/>
      <c r="AA42" s="1506"/>
      <c r="AB42" s="1480">
        <f t="shared" si="9"/>
        <v>127.912736</v>
      </c>
    </row>
    <row r="43" spans="1:28" ht="15">
      <c r="A43" s="1493" t="s">
        <v>599</v>
      </c>
      <c r="B43" s="1493">
        <f t="shared" si="0"/>
        <v>1</v>
      </c>
      <c r="C43" s="1527">
        <f t="shared" si="1"/>
        <v>1</v>
      </c>
      <c r="D43" s="1493">
        <v>1</v>
      </c>
      <c r="E43" s="1493">
        <v>225</v>
      </c>
      <c r="F43" s="1533">
        <v>66</v>
      </c>
      <c r="G43" s="1533">
        <v>38.799999999999997</v>
      </c>
      <c r="H43" s="1528">
        <f t="shared" si="2"/>
        <v>225</v>
      </c>
      <c r="I43" s="1526">
        <f t="shared" si="3"/>
        <v>1</v>
      </c>
      <c r="J43" s="1498" t="s">
        <v>554</v>
      </c>
      <c r="K43" s="1493"/>
      <c r="L43" s="1493"/>
      <c r="M43" s="1493"/>
      <c r="N43" s="1481">
        <v>150</v>
      </c>
      <c r="O43" s="1493">
        <v>0.85</v>
      </c>
      <c r="P43" s="1493">
        <v>1.2</v>
      </c>
      <c r="Q43" s="1493">
        <v>0.18</v>
      </c>
      <c r="R43" s="1499">
        <v>0.1</v>
      </c>
      <c r="S43" s="1534">
        <f t="shared" si="4"/>
        <v>252</v>
      </c>
      <c r="T43" s="1495">
        <f t="shared" si="5"/>
        <v>252</v>
      </c>
      <c r="U43" s="1493">
        <f t="shared" si="6"/>
        <v>252</v>
      </c>
      <c r="V43" s="1493"/>
      <c r="W43" s="1493"/>
      <c r="X43" s="1505">
        <f t="shared" si="7"/>
        <v>0.10793650793650794</v>
      </c>
      <c r="Y43" s="1480">
        <f t="shared" si="8"/>
        <v>136.56</v>
      </c>
      <c r="Z43" s="1506"/>
      <c r="AA43" s="1506"/>
      <c r="AB43" s="1480">
        <f t="shared" si="9"/>
        <v>136.56</v>
      </c>
    </row>
    <row r="44" spans="1:28" ht="15">
      <c r="A44" s="1493" t="s">
        <v>599</v>
      </c>
      <c r="B44" s="1493">
        <f t="shared" si="0"/>
        <v>1</v>
      </c>
      <c r="C44" s="1527">
        <f t="shared" si="1"/>
        <v>1</v>
      </c>
      <c r="D44" s="1493">
        <v>1</v>
      </c>
      <c r="E44" s="1493">
        <v>225</v>
      </c>
      <c r="F44" s="1533">
        <v>66.900000000000006</v>
      </c>
      <c r="G44" s="1533">
        <v>38.799999999999997</v>
      </c>
      <c r="H44" s="1528">
        <f t="shared" si="2"/>
        <v>225</v>
      </c>
      <c r="I44" s="1526">
        <f t="shared" si="3"/>
        <v>1</v>
      </c>
      <c r="J44" s="1498" t="s">
        <v>554</v>
      </c>
      <c r="K44" s="1493"/>
      <c r="L44" s="1493"/>
      <c r="M44" s="1493"/>
      <c r="N44" s="1481">
        <v>150</v>
      </c>
      <c r="O44" s="1493">
        <v>0.85</v>
      </c>
      <c r="P44" s="1493">
        <v>1.2</v>
      </c>
      <c r="Q44" s="1493">
        <v>0.18</v>
      </c>
      <c r="R44" s="1499">
        <v>0.1</v>
      </c>
      <c r="S44" s="1534">
        <f t="shared" si="4"/>
        <v>252</v>
      </c>
      <c r="T44" s="1495">
        <f t="shared" si="5"/>
        <v>252</v>
      </c>
      <c r="U44" s="1493">
        <f t="shared" si="6"/>
        <v>252</v>
      </c>
      <c r="V44" s="1493"/>
      <c r="W44" s="1493"/>
      <c r="X44" s="1505">
        <f t="shared" si="7"/>
        <v>0.11150793650793654</v>
      </c>
      <c r="Y44" s="1480">
        <f t="shared" si="8"/>
        <v>137.46000000000004</v>
      </c>
      <c r="Z44" s="1506"/>
      <c r="AA44" s="1506"/>
      <c r="AB44" s="1480">
        <f t="shared" si="9"/>
        <v>137.46</v>
      </c>
    </row>
    <row r="45" spans="1:28" ht="15">
      <c r="A45" s="1493" t="s">
        <v>599</v>
      </c>
      <c r="B45" s="1493">
        <f t="shared" si="0"/>
        <v>1</v>
      </c>
      <c r="C45" s="1527">
        <f t="shared" si="1"/>
        <v>1</v>
      </c>
      <c r="D45" s="1493">
        <v>1</v>
      </c>
      <c r="E45" s="1493">
        <v>225</v>
      </c>
      <c r="F45" s="1533">
        <v>68.3</v>
      </c>
      <c r="G45" s="1533">
        <v>38.799999999999997</v>
      </c>
      <c r="H45" s="1528">
        <f t="shared" si="2"/>
        <v>225</v>
      </c>
      <c r="I45" s="1526">
        <f t="shared" si="3"/>
        <v>1</v>
      </c>
      <c r="J45" s="1498" t="s">
        <v>554</v>
      </c>
      <c r="K45" s="1493"/>
      <c r="L45" s="1493"/>
      <c r="M45" s="1493"/>
      <c r="N45" s="1481">
        <v>150</v>
      </c>
      <c r="O45" s="1493">
        <v>0.85</v>
      </c>
      <c r="P45" s="1493">
        <v>1.2</v>
      </c>
      <c r="Q45" s="1493">
        <v>0.18</v>
      </c>
      <c r="R45" s="1499">
        <v>0.1</v>
      </c>
      <c r="S45" s="1534">
        <f t="shared" si="4"/>
        <v>252</v>
      </c>
      <c r="T45" s="1495">
        <f t="shared" si="5"/>
        <v>252</v>
      </c>
      <c r="U45" s="1493">
        <f t="shared" si="6"/>
        <v>252</v>
      </c>
      <c r="V45" s="1493"/>
      <c r="W45" s="1493"/>
      <c r="X45" s="1505">
        <f t="shared" si="7"/>
        <v>0.11706349206349206</v>
      </c>
      <c r="Y45" s="1480">
        <f t="shared" si="8"/>
        <v>138.86000000000001</v>
      </c>
      <c r="Z45" s="1506"/>
      <c r="AA45" s="1506"/>
      <c r="AB45" s="1480">
        <f t="shared" si="9"/>
        <v>138.86000000000001</v>
      </c>
    </row>
    <row r="46" spans="1:28" ht="15">
      <c r="A46" s="1493" t="s">
        <v>599</v>
      </c>
      <c r="B46" s="1493">
        <f t="shared" si="0"/>
        <v>1</v>
      </c>
      <c r="C46" s="1527">
        <f t="shared" si="1"/>
        <v>1</v>
      </c>
      <c r="D46" s="1493">
        <v>1</v>
      </c>
      <c r="E46" s="1493">
        <v>225</v>
      </c>
      <c r="F46" s="1533">
        <v>70.099999999999994</v>
      </c>
      <c r="G46" s="1533">
        <v>38.799999999999997</v>
      </c>
      <c r="H46" s="1528">
        <f t="shared" ref="H46:H61" si="10">IF(A46=3,E46/3,IF(A46=1,E46/2,IF(A46="BD",E46/1,IF(A46="fwd",E46/1,"Error"))))</f>
        <v>225</v>
      </c>
      <c r="I46" s="1526">
        <f t="shared" ref="I46:I61" si="11">IF(A46=3,SQRT(3),IF(A46=1,SQRT(2),IF(A46="BD",1,IF(A46="fwd",1,"Error"))))</f>
        <v>1</v>
      </c>
      <c r="J46" s="1498" t="s">
        <v>554</v>
      </c>
      <c r="K46" s="1493"/>
      <c r="L46" s="1493"/>
      <c r="M46" s="1493"/>
      <c r="N46" s="1481">
        <v>150</v>
      </c>
      <c r="O46" s="1493">
        <v>0.85</v>
      </c>
      <c r="P46" s="1493">
        <v>1.2</v>
      </c>
      <c r="Q46" s="1493">
        <v>0.18</v>
      </c>
      <c r="R46" s="1499">
        <v>0.1</v>
      </c>
      <c r="S46" s="1534">
        <f t="shared" si="4"/>
        <v>252</v>
      </c>
      <c r="T46" s="1495">
        <f t="shared" si="5"/>
        <v>252</v>
      </c>
      <c r="U46" s="1493">
        <f t="shared" si="6"/>
        <v>252</v>
      </c>
      <c r="V46" s="1493"/>
      <c r="W46" s="1493"/>
      <c r="X46" s="1505">
        <f t="shared" si="7"/>
        <v>0.1242063492063492</v>
      </c>
      <c r="Y46" s="1480">
        <f t="shared" si="8"/>
        <v>140.66000000000003</v>
      </c>
      <c r="Z46" s="1506"/>
      <c r="AA46" s="1506"/>
      <c r="AB46" s="1480">
        <f t="shared" si="9"/>
        <v>140.66</v>
      </c>
    </row>
    <row r="47" spans="1:28" ht="15">
      <c r="A47" s="1493" t="s">
        <v>599</v>
      </c>
      <c r="B47" s="1493">
        <f t="shared" ref="B47:B61" si="12">IF(A47=3,6,IF(A47=1,4,IF(A47="bd",1,IF(A47="fwd","Error"))))</f>
        <v>1</v>
      </c>
      <c r="C47" s="1527">
        <f t="shared" ref="C47:C61" si="13">B47/D47</f>
        <v>1</v>
      </c>
      <c r="D47" s="1493">
        <v>1</v>
      </c>
      <c r="E47" s="1493">
        <v>256</v>
      </c>
      <c r="F47" s="1533">
        <v>70.3</v>
      </c>
      <c r="G47" s="1533">
        <v>39.1</v>
      </c>
      <c r="H47" s="1528">
        <f t="shared" si="10"/>
        <v>256</v>
      </c>
      <c r="I47" s="1526">
        <f t="shared" si="11"/>
        <v>1</v>
      </c>
      <c r="J47" s="1498" t="s">
        <v>554</v>
      </c>
      <c r="K47" s="1493"/>
      <c r="L47" s="1493"/>
      <c r="M47" s="1493"/>
      <c r="N47" s="1481">
        <v>150</v>
      </c>
      <c r="O47" s="1493">
        <v>0.85</v>
      </c>
      <c r="P47" s="1493">
        <v>1.2</v>
      </c>
      <c r="Q47" s="1493">
        <v>0.18</v>
      </c>
      <c r="R47" s="1499">
        <v>0.1</v>
      </c>
      <c r="S47" s="1534">
        <f t="shared" si="4"/>
        <v>296.2432</v>
      </c>
      <c r="T47" s="1495">
        <f t="shared" si="5"/>
        <v>296.2432</v>
      </c>
      <c r="U47" s="1493">
        <f t="shared" si="6"/>
        <v>296.2432</v>
      </c>
      <c r="V47" s="1493"/>
      <c r="W47" s="1493"/>
      <c r="X47" s="1505">
        <f t="shared" si="7"/>
        <v>0.10531887314206705</v>
      </c>
      <c r="Y47" s="1480">
        <f t="shared" si="8"/>
        <v>153.248096</v>
      </c>
      <c r="Z47" s="1506"/>
      <c r="AA47" s="1506"/>
      <c r="AB47" s="1480">
        <f t="shared" si="9"/>
        <v>153.248096</v>
      </c>
    </row>
    <row r="48" spans="1:28" ht="15">
      <c r="A48" s="1493" t="s">
        <v>599</v>
      </c>
      <c r="B48" s="1493">
        <f t="shared" si="12"/>
        <v>1</v>
      </c>
      <c r="C48" s="1527">
        <f t="shared" si="13"/>
        <v>1</v>
      </c>
      <c r="D48" s="1493">
        <v>1</v>
      </c>
      <c r="E48" s="1493">
        <v>256</v>
      </c>
      <c r="F48" s="1535">
        <v>71.2</v>
      </c>
      <c r="G48" s="1533">
        <v>39.1</v>
      </c>
      <c r="H48" s="1528">
        <f t="shared" si="10"/>
        <v>256</v>
      </c>
      <c r="I48" s="1526">
        <f t="shared" si="11"/>
        <v>1</v>
      </c>
      <c r="J48" s="1498" t="s">
        <v>554</v>
      </c>
      <c r="K48" s="1493"/>
      <c r="L48" s="1493"/>
      <c r="M48" s="1493"/>
      <c r="N48" s="1481">
        <v>150</v>
      </c>
      <c r="O48" s="1493">
        <v>0.85</v>
      </c>
      <c r="P48" s="1493">
        <v>1.2</v>
      </c>
      <c r="Q48" s="1493">
        <v>0.18</v>
      </c>
      <c r="R48" s="1499">
        <v>0.1</v>
      </c>
      <c r="S48" s="1534">
        <f t="shared" si="4"/>
        <v>296.2432</v>
      </c>
      <c r="T48" s="1495">
        <f t="shared" si="5"/>
        <v>296.2432</v>
      </c>
      <c r="U48" s="1493">
        <f t="shared" si="6"/>
        <v>296.2432</v>
      </c>
      <c r="V48" s="1493"/>
      <c r="W48" s="1493"/>
      <c r="X48" s="1505">
        <f t="shared" si="7"/>
        <v>0.10835691755962669</v>
      </c>
      <c r="Y48" s="1480">
        <f t="shared" si="8"/>
        <v>154.14809600000001</v>
      </c>
      <c r="Z48" s="1506"/>
      <c r="AA48" s="1506"/>
      <c r="AB48" s="1480">
        <f t="shared" si="9"/>
        <v>154.14809600000001</v>
      </c>
    </row>
    <row r="49" spans="1:28" ht="15">
      <c r="A49" s="1493" t="s">
        <v>599</v>
      </c>
      <c r="B49" s="1493">
        <f t="shared" si="12"/>
        <v>1</v>
      </c>
      <c r="C49" s="1527">
        <f t="shared" si="13"/>
        <v>1</v>
      </c>
      <c r="D49" s="1493">
        <v>1</v>
      </c>
      <c r="E49" s="1493">
        <v>256</v>
      </c>
      <c r="F49" s="1535">
        <v>73</v>
      </c>
      <c r="G49" s="1533">
        <v>39.1</v>
      </c>
      <c r="H49" s="1528">
        <f t="shared" si="10"/>
        <v>256</v>
      </c>
      <c r="I49" s="1526">
        <f t="shared" si="11"/>
        <v>1</v>
      </c>
      <c r="J49" s="1498" t="s">
        <v>554</v>
      </c>
      <c r="K49" s="1493"/>
      <c r="L49" s="1493"/>
      <c r="M49" s="1493"/>
      <c r="N49" s="1481">
        <v>150</v>
      </c>
      <c r="O49" s="1493">
        <v>0.85</v>
      </c>
      <c r="P49" s="1493">
        <v>1.2</v>
      </c>
      <c r="Q49" s="1493">
        <v>0.18</v>
      </c>
      <c r="R49" s="1499">
        <v>0.1</v>
      </c>
      <c r="S49" s="1534">
        <f t="shared" si="4"/>
        <v>296.2432</v>
      </c>
      <c r="T49" s="1495">
        <f t="shared" si="5"/>
        <v>296.2432</v>
      </c>
      <c r="U49" s="1493">
        <f t="shared" si="6"/>
        <v>296.2432</v>
      </c>
      <c r="V49" s="1493"/>
      <c r="W49" s="1493"/>
      <c r="X49" s="1505">
        <f t="shared" si="7"/>
        <v>0.11443300639474593</v>
      </c>
      <c r="Y49" s="1480">
        <f t="shared" si="8"/>
        <v>155.94809600000002</v>
      </c>
      <c r="Z49" s="1506"/>
      <c r="AA49" s="1506"/>
      <c r="AB49" s="1480">
        <f t="shared" si="9"/>
        <v>155.94809600000002</v>
      </c>
    </row>
    <row r="50" spans="1:28" ht="15">
      <c r="A50" s="1493" t="s">
        <v>599</v>
      </c>
      <c r="B50" s="1493">
        <f t="shared" si="12"/>
        <v>1</v>
      </c>
      <c r="C50" s="1527">
        <f t="shared" si="13"/>
        <v>1</v>
      </c>
      <c r="D50" s="1493">
        <v>1</v>
      </c>
      <c r="E50" s="1493">
        <v>256</v>
      </c>
      <c r="F50" s="1535">
        <v>75.3</v>
      </c>
      <c r="G50" s="1533">
        <v>39.1</v>
      </c>
      <c r="H50" s="1528">
        <f t="shared" si="10"/>
        <v>256</v>
      </c>
      <c r="I50" s="1526">
        <f t="shared" si="11"/>
        <v>1</v>
      </c>
      <c r="J50" s="1498" t="s">
        <v>554</v>
      </c>
      <c r="K50" s="1493"/>
      <c r="L50" s="1493"/>
      <c r="M50" s="1493"/>
      <c r="N50" s="1481">
        <v>150</v>
      </c>
      <c r="O50" s="1493">
        <v>0.85</v>
      </c>
      <c r="P50" s="1493">
        <v>1.2</v>
      </c>
      <c r="Q50" s="1493">
        <v>0.18</v>
      </c>
      <c r="R50" s="1499">
        <v>0.1</v>
      </c>
      <c r="S50" s="1534">
        <f t="shared" si="4"/>
        <v>296.2432</v>
      </c>
      <c r="T50" s="1495">
        <f t="shared" si="5"/>
        <v>296.2432</v>
      </c>
      <c r="U50" s="1493">
        <f t="shared" si="6"/>
        <v>296.2432</v>
      </c>
      <c r="V50" s="1493"/>
      <c r="W50" s="1493"/>
      <c r="X50" s="1505">
        <f t="shared" si="7"/>
        <v>0.12219689768406497</v>
      </c>
      <c r="Y50" s="1480">
        <f t="shared" si="8"/>
        <v>158.248096</v>
      </c>
      <c r="Z50" s="1506"/>
      <c r="AA50" s="1506"/>
      <c r="AB50" s="1480">
        <f t="shared" si="9"/>
        <v>158.248096</v>
      </c>
    </row>
    <row r="51" spans="1:28" ht="15">
      <c r="A51" s="1493">
        <v>3</v>
      </c>
      <c r="B51" s="1493">
        <f t="shared" si="12"/>
        <v>6</v>
      </c>
      <c r="C51" s="1527">
        <f t="shared" si="13"/>
        <v>6</v>
      </c>
      <c r="D51" s="1493">
        <v>1</v>
      </c>
      <c r="E51" s="1493">
        <v>300</v>
      </c>
      <c r="F51" s="1533">
        <v>84</v>
      </c>
      <c r="G51" s="1533">
        <v>49</v>
      </c>
      <c r="H51" s="1528">
        <f t="shared" si="10"/>
        <v>100</v>
      </c>
      <c r="I51" s="1526">
        <f t="shared" si="11"/>
        <v>1.7320508075688772</v>
      </c>
      <c r="J51" s="1514" t="s">
        <v>572</v>
      </c>
      <c r="K51" s="1515">
        <v>350</v>
      </c>
      <c r="L51" s="1515">
        <v>550</v>
      </c>
      <c r="M51" s="1515">
        <v>7340</v>
      </c>
      <c r="N51" s="1516">
        <v>150</v>
      </c>
      <c r="O51" s="1516">
        <v>0.65400000000000003</v>
      </c>
      <c r="P51" s="1519">
        <v>0.32</v>
      </c>
      <c r="Q51" s="1517">
        <v>0.14000000000000001</v>
      </c>
      <c r="R51" s="1518">
        <v>0.06</v>
      </c>
      <c r="S51" s="1534">
        <f t="shared" si="4"/>
        <v>75</v>
      </c>
      <c r="T51" s="1495">
        <f t="shared" si="5"/>
        <v>450</v>
      </c>
      <c r="U51" s="1493">
        <f t="shared" si="6"/>
        <v>450</v>
      </c>
      <c r="V51" s="1493"/>
      <c r="W51" s="1493"/>
      <c r="X51" s="1505">
        <f t="shared" si="7"/>
        <v>7.7777777777777779E-2</v>
      </c>
      <c r="Y51" s="1480">
        <f t="shared" si="8"/>
        <v>99</v>
      </c>
      <c r="Z51" s="1506"/>
      <c r="AA51" s="1506"/>
      <c r="AB51" s="1480">
        <f t="shared" si="9"/>
        <v>99</v>
      </c>
    </row>
    <row r="52" spans="1:28" ht="15.75">
      <c r="A52" s="1493">
        <v>3</v>
      </c>
      <c r="B52" s="1493">
        <f t="shared" si="12"/>
        <v>6</v>
      </c>
      <c r="C52" s="1527">
        <f t="shared" si="13"/>
        <v>6</v>
      </c>
      <c r="D52" s="1493">
        <v>1</v>
      </c>
      <c r="E52" s="1493">
        <v>295</v>
      </c>
      <c r="F52" s="1533">
        <v>98</v>
      </c>
      <c r="G52" s="1533">
        <v>46.5</v>
      </c>
      <c r="H52" s="1528">
        <f t="shared" si="10"/>
        <v>98.333333333333329</v>
      </c>
      <c r="I52" s="1526">
        <f t="shared" si="11"/>
        <v>1.7320508075688772</v>
      </c>
      <c r="J52" s="1511" t="s">
        <v>505</v>
      </c>
      <c r="K52" s="1508">
        <v>160</v>
      </c>
      <c r="L52" s="1508">
        <v>250</v>
      </c>
      <c r="M52" s="1508">
        <v>3350</v>
      </c>
      <c r="N52" s="1507">
        <v>150</v>
      </c>
      <c r="O52" s="1507">
        <v>0.85</v>
      </c>
      <c r="P52" s="1520">
        <v>1.2</v>
      </c>
      <c r="Q52" s="1509">
        <v>0.18</v>
      </c>
      <c r="R52" s="1512">
        <v>0.1</v>
      </c>
      <c r="S52" s="1534">
        <f t="shared" si="4"/>
        <v>118.39333333333332</v>
      </c>
      <c r="T52" s="1495">
        <f t="shared" si="5"/>
        <v>710.3599999999999</v>
      </c>
      <c r="U52" s="1493">
        <f t="shared" si="6"/>
        <v>710.3599999999999</v>
      </c>
      <c r="V52" s="1493"/>
      <c r="W52" s="1493"/>
      <c r="X52" s="1505">
        <f t="shared" si="7"/>
        <v>7.2498451489385676E-2</v>
      </c>
      <c r="Y52" s="1480">
        <f t="shared" si="8"/>
        <v>131.15013333333334</v>
      </c>
      <c r="Z52" s="1506"/>
      <c r="AA52" s="1506"/>
      <c r="AB52" s="1480">
        <f t="shared" si="9"/>
        <v>131.15013333333332</v>
      </c>
    </row>
    <row r="53" spans="1:28" ht="15.75">
      <c r="A53" s="1493">
        <v>3</v>
      </c>
      <c r="B53" s="1493">
        <f t="shared" si="12"/>
        <v>6</v>
      </c>
      <c r="C53" s="1527">
        <f t="shared" si="13"/>
        <v>6</v>
      </c>
      <c r="D53" s="1493">
        <v>1</v>
      </c>
      <c r="E53" s="1493">
        <v>275</v>
      </c>
      <c r="F53" s="1533">
        <v>94</v>
      </c>
      <c r="G53" s="1533">
        <v>45</v>
      </c>
      <c r="H53" s="1528">
        <f t="shared" si="10"/>
        <v>91.666666666666671</v>
      </c>
      <c r="I53" s="1526">
        <f t="shared" si="11"/>
        <v>1.7320508075688772</v>
      </c>
      <c r="J53" s="1511" t="s">
        <v>505</v>
      </c>
      <c r="K53" s="1508">
        <v>160</v>
      </c>
      <c r="L53" s="1508">
        <v>250</v>
      </c>
      <c r="M53" s="1508">
        <v>3350</v>
      </c>
      <c r="N53" s="1507">
        <v>150</v>
      </c>
      <c r="O53" s="1507">
        <v>0.85</v>
      </c>
      <c r="P53" s="1520">
        <v>1.2</v>
      </c>
      <c r="Q53" s="1509">
        <v>0.18</v>
      </c>
      <c r="R53" s="1512">
        <v>0.1</v>
      </c>
      <c r="S53" s="1534">
        <f t="shared" si="4"/>
        <v>108.16666666666666</v>
      </c>
      <c r="T53" s="1495">
        <f t="shared" si="5"/>
        <v>649</v>
      </c>
      <c r="U53" s="1493">
        <f t="shared" si="6"/>
        <v>649</v>
      </c>
      <c r="V53" s="1493"/>
      <c r="W53" s="1493"/>
      <c r="X53" s="1505">
        <f t="shared" si="7"/>
        <v>7.5500770416024654E-2</v>
      </c>
      <c r="Y53" s="1480">
        <f t="shared" si="8"/>
        <v>124.28666666666666</v>
      </c>
      <c r="Z53" s="1506"/>
      <c r="AA53" s="1506"/>
      <c r="AB53" s="1480">
        <f t="shared" si="9"/>
        <v>124.28666666666666</v>
      </c>
    </row>
    <row r="54" spans="1:28" ht="15.75">
      <c r="A54" s="1493">
        <v>3</v>
      </c>
      <c r="B54" s="1493">
        <f t="shared" si="12"/>
        <v>6</v>
      </c>
      <c r="C54" s="1527">
        <f t="shared" si="13"/>
        <v>6</v>
      </c>
      <c r="D54" s="1493">
        <v>1</v>
      </c>
      <c r="E54" s="1493">
        <v>170</v>
      </c>
      <c r="F54" s="1533">
        <v>95</v>
      </c>
      <c r="G54" s="1533">
        <v>33</v>
      </c>
      <c r="H54" s="1528">
        <f t="shared" si="10"/>
        <v>56.666666666666664</v>
      </c>
      <c r="I54" s="1526">
        <f t="shared" si="11"/>
        <v>1.7320508075688772</v>
      </c>
      <c r="J54" s="1511" t="s">
        <v>602</v>
      </c>
      <c r="K54" s="1508">
        <v>160</v>
      </c>
      <c r="L54" s="1508">
        <v>250</v>
      </c>
      <c r="M54" s="1508">
        <v>3350</v>
      </c>
      <c r="N54" s="1507">
        <v>150</v>
      </c>
      <c r="O54" s="1507">
        <v>0.85</v>
      </c>
      <c r="P54" s="1520">
        <v>1.2</v>
      </c>
      <c r="Q54" s="1509">
        <v>0.18</v>
      </c>
      <c r="R54" s="1512">
        <v>0.1</v>
      </c>
      <c r="S54" s="1534">
        <f t="shared" si="4"/>
        <v>59.726666666666659</v>
      </c>
      <c r="T54" s="1495">
        <f t="shared" si="5"/>
        <v>358.35999999999996</v>
      </c>
      <c r="U54" s="1493">
        <f t="shared" si="6"/>
        <v>358.35999999999996</v>
      </c>
      <c r="V54" s="1493"/>
      <c r="W54" s="1493"/>
      <c r="X54" s="1505">
        <f t="shared" si="7"/>
        <v>0.17301038062283741</v>
      </c>
      <c r="Y54" s="1480">
        <f t="shared" si="8"/>
        <v>111.72346666666668</v>
      </c>
      <c r="Z54" s="1506"/>
      <c r="AA54" s="1506"/>
      <c r="AB54" s="1480">
        <f t="shared" si="9"/>
        <v>111.72346666666667</v>
      </c>
    </row>
    <row r="55" spans="1:28" ht="15.75">
      <c r="A55" s="1493">
        <v>3</v>
      </c>
      <c r="B55" s="1493">
        <f t="shared" si="12"/>
        <v>6</v>
      </c>
      <c r="C55" s="1527">
        <f t="shared" si="13"/>
        <v>6</v>
      </c>
      <c r="D55" s="1493">
        <v>1</v>
      </c>
      <c r="E55" s="1493">
        <v>150</v>
      </c>
      <c r="F55" s="1533">
        <v>95</v>
      </c>
      <c r="G55" s="1533">
        <v>33</v>
      </c>
      <c r="H55" s="1528">
        <f t="shared" si="10"/>
        <v>50</v>
      </c>
      <c r="I55" s="1526">
        <f t="shared" si="11"/>
        <v>1.7320508075688772</v>
      </c>
      <c r="J55" s="1511" t="s">
        <v>602</v>
      </c>
      <c r="K55" s="1508">
        <v>160</v>
      </c>
      <c r="L55" s="1508">
        <v>250</v>
      </c>
      <c r="M55" s="1508">
        <v>3350</v>
      </c>
      <c r="N55" s="1507">
        <v>150</v>
      </c>
      <c r="O55" s="1507">
        <v>0.85</v>
      </c>
      <c r="P55" s="1520">
        <v>1.2</v>
      </c>
      <c r="Q55" s="1509">
        <v>0.18</v>
      </c>
      <c r="R55" s="1512">
        <v>0.1</v>
      </c>
      <c r="S55" s="1534">
        <f t="shared" si="4"/>
        <v>51.5</v>
      </c>
      <c r="T55" s="1495">
        <f t="shared" si="5"/>
        <v>309</v>
      </c>
      <c r="U55" s="1493">
        <f t="shared" si="6"/>
        <v>309</v>
      </c>
      <c r="V55" s="1493"/>
      <c r="W55" s="1493"/>
      <c r="X55" s="1505">
        <f t="shared" si="7"/>
        <v>0.20064724919093851</v>
      </c>
      <c r="Y55" s="1480">
        <f t="shared" si="8"/>
        <v>109.42</v>
      </c>
      <c r="Z55" s="1506"/>
      <c r="AA55" s="1506"/>
      <c r="AB55" s="1480">
        <f t="shared" si="9"/>
        <v>109.42</v>
      </c>
    </row>
    <row r="56" spans="1:28" ht="15.75">
      <c r="A56" s="1493">
        <v>3</v>
      </c>
      <c r="B56" s="1493">
        <f t="shared" si="12"/>
        <v>6</v>
      </c>
      <c r="C56" s="1527">
        <f t="shared" si="13"/>
        <v>6</v>
      </c>
      <c r="D56" s="1493">
        <v>1</v>
      </c>
      <c r="E56" s="1493">
        <v>170</v>
      </c>
      <c r="F56" s="1533">
        <v>97</v>
      </c>
      <c r="G56" s="1533">
        <v>31</v>
      </c>
      <c r="H56" s="1528">
        <f t="shared" si="10"/>
        <v>56.666666666666664</v>
      </c>
      <c r="I56" s="1526">
        <f t="shared" si="11"/>
        <v>1.7320508075688772</v>
      </c>
      <c r="J56" s="1511" t="s">
        <v>602</v>
      </c>
      <c r="K56" s="1508">
        <v>160</v>
      </c>
      <c r="L56" s="1508">
        <v>250</v>
      </c>
      <c r="M56" s="1508">
        <v>3350</v>
      </c>
      <c r="N56" s="1507">
        <v>150</v>
      </c>
      <c r="O56" s="1507">
        <v>0.85</v>
      </c>
      <c r="P56" s="1520">
        <v>1.2</v>
      </c>
      <c r="Q56" s="1509">
        <v>0.18</v>
      </c>
      <c r="R56" s="1512">
        <v>0.1</v>
      </c>
      <c r="S56" s="1534">
        <f t="shared" si="4"/>
        <v>59.726666666666659</v>
      </c>
      <c r="T56" s="1495">
        <f t="shared" si="5"/>
        <v>358.35999999999996</v>
      </c>
      <c r="U56" s="1493">
        <f t="shared" si="6"/>
        <v>358.35999999999996</v>
      </c>
      <c r="V56" s="1493"/>
      <c r="W56" s="1493"/>
      <c r="X56" s="1505">
        <f t="shared" si="7"/>
        <v>0.18417234066302046</v>
      </c>
      <c r="Y56" s="1480">
        <f t="shared" si="8"/>
        <v>113.72346666666667</v>
      </c>
      <c r="Z56" s="1506"/>
      <c r="AA56" s="1506"/>
      <c r="AB56" s="1480">
        <f t="shared" si="9"/>
        <v>113.72346666666667</v>
      </c>
    </row>
    <row r="57" spans="1:28" ht="15.75">
      <c r="A57" s="1493">
        <v>3</v>
      </c>
      <c r="B57" s="1493">
        <f t="shared" si="12"/>
        <v>6</v>
      </c>
      <c r="C57" s="1527">
        <f t="shared" si="13"/>
        <v>6</v>
      </c>
      <c r="D57" s="1493">
        <v>1</v>
      </c>
      <c r="E57" s="1493">
        <v>150</v>
      </c>
      <c r="F57" s="1533">
        <v>92</v>
      </c>
      <c r="G57" s="1533">
        <v>33.200000000000003</v>
      </c>
      <c r="H57" s="1528">
        <f t="shared" si="10"/>
        <v>50</v>
      </c>
      <c r="I57" s="1526">
        <f t="shared" si="11"/>
        <v>1.7320508075688772</v>
      </c>
      <c r="J57" s="1511" t="s">
        <v>602</v>
      </c>
      <c r="K57" s="1508">
        <v>160</v>
      </c>
      <c r="L57" s="1508">
        <v>250</v>
      </c>
      <c r="M57" s="1508">
        <v>3350</v>
      </c>
      <c r="N57" s="1507">
        <v>150</v>
      </c>
      <c r="O57" s="1507">
        <v>0.85</v>
      </c>
      <c r="P57" s="1520">
        <v>1.2</v>
      </c>
      <c r="Q57" s="1509">
        <v>0.18</v>
      </c>
      <c r="R57" s="1512">
        <v>0.1</v>
      </c>
      <c r="S57" s="1534">
        <f t="shared" si="4"/>
        <v>51.5</v>
      </c>
      <c r="T57" s="1495">
        <f t="shared" si="5"/>
        <v>309</v>
      </c>
      <c r="U57" s="1493">
        <f t="shared" si="6"/>
        <v>309</v>
      </c>
      <c r="V57" s="1493"/>
      <c r="W57" s="1493"/>
      <c r="X57" s="1505">
        <f t="shared" si="7"/>
        <v>0.19029126213592232</v>
      </c>
      <c r="Y57" s="1480">
        <f t="shared" si="8"/>
        <v>106.42</v>
      </c>
      <c r="Z57" s="1506"/>
      <c r="AA57" s="1506"/>
      <c r="AB57" s="1480">
        <f t="shared" si="9"/>
        <v>106.42</v>
      </c>
    </row>
    <row r="58" spans="1:28" ht="15.75">
      <c r="A58" s="1493" t="s">
        <v>501</v>
      </c>
      <c r="B58" s="1493">
        <f t="shared" si="12"/>
        <v>1</v>
      </c>
      <c r="C58" s="1527">
        <f t="shared" si="13"/>
        <v>1</v>
      </c>
      <c r="D58" s="1493">
        <v>1</v>
      </c>
      <c r="E58" s="1493">
        <v>350</v>
      </c>
      <c r="F58" s="1533">
        <v>86.5</v>
      </c>
      <c r="G58" s="1533">
        <v>54</v>
      </c>
      <c r="H58" s="1528">
        <f t="shared" si="10"/>
        <v>350</v>
      </c>
      <c r="I58" s="1526">
        <f t="shared" si="11"/>
        <v>1</v>
      </c>
      <c r="J58" s="1511" t="s">
        <v>572</v>
      </c>
      <c r="K58" s="1508">
        <v>350</v>
      </c>
      <c r="L58" s="1508">
        <v>550</v>
      </c>
      <c r="M58" s="1508">
        <v>7340</v>
      </c>
      <c r="N58" s="1507">
        <v>150</v>
      </c>
      <c r="O58" s="1507">
        <v>0.65400000000000003</v>
      </c>
      <c r="P58" s="1522">
        <v>0.32</v>
      </c>
      <c r="Q58" s="1509">
        <v>0.14000000000000001</v>
      </c>
      <c r="R58" s="1512">
        <v>0.06</v>
      </c>
      <c r="S58" s="1534">
        <f t="shared" si="4"/>
        <v>268.10000000000002</v>
      </c>
      <c r="T58" s="1495">
        <f t="shared" si="5"/>
        <v>268.10000000000002</v>
      </c>
      <c r="U58" s="1493">
        <f t="shared" si="6"/>
        <v>268.10000000000002</v>
      </c>
      <c r="V58" s="1493"/>
      <c r="W58" s="1493"/>
      <c r="X58" s="1505">
        <f t="shared" si="7"/>
        <v>0.12122342409548675</v>
      </c>
      <c r="Y58" s="1480">
        <f t="shared" si="8"/>
        <v>140.12</v>
      </c>
      <c r="Z58" s="1506"/>
      <c r="AA58" s="1506"/>
      <c r="AB58" s="1480">
        <f t="shared" si="9"/>
        <v>140.12</v>
      </c>
    </row>
    <row r="59" spans="1:28" ht="15.75">
      <c r="A59" s="1493" t="s">
        <v>501</v>
      </c>
      <c r="B59" s="1493">
        <f t="shared" si="12"/>
        <v>1</v>
      </c>
      <c r="C59" s="1527">
        <f t="shared" si="13"/>
        <v>1</v>
      </c>
      <c r="D59" s="1493">
        <v>1</v>
      </c>
      <c r="E59" s="1493">
        <v>400</v>
      </c>
      <c r="F59" s="1533">
        <v>94</v>
      </c>
      <c r="G59" s="1533">
        <v>54</v>
      </c>
      <c r="H59" s="1528">
        <f t="shared" si="10"/>
        <v>400</v>
      </c>
      <c r="I59" s="1526">
        <f t="shared" si="11"/>
        <v>1</v>
      </c>
      <c r="J59" s="1511" t="s">
        <v>572</v>
      </c>
      <c r="K59" s="1508">
        <v>350</v>
      </c>
      <c r="L59" s="1508">
        <v>550</v>
      </c>
      <c r="M59" s="1508">
        <v>7340</v>
      </c>
      <c r="N59" s="1507">
        <v>150</v>
      </c>
      <c r="O59" s="1507">
        <v>0.65400000000000003</v>
      </c>
      <c r="P59" s="1522">
        <v>0.32</v>
      </c>
      <c r="Q59" s="1509">
        <v>0.14000000000000001</v>
      </c>
      <c r="R59" s="1512">
        <v>0.06</v>
      </c>
      <c r="S59" s="1534">
        <f t="shared" si="4"/>
        <v>312.8</v>
      </c>
      <c r="T59" s="1495">
        <f t="shared" si="5"/>
        <v>312.8</v>
      </c>
      <c r="U59" s="1493">
        <f t="shared" si="6"/>
        <v>312.8</v>
      </c>
      <c r="V59" s="1493"/>
      <c r="W59" s="1493"/>
      <c r="X59" s="1505">
        <f t="shared" si="7"/>
        <v>0.12787723785166241</v>
      </c>
      <c r="Y59" s="1480">
        <f t="shared" si="8"/>
        <v>156.56</v>
      </c>
      <c r="Z59" s="1506"/>
      <c r="AA59" s="1506"/>
      <c r="AB59" s="1480">
        <f t="shared" si="9"/>
        <v>156.56</v>
      </c>
    </row>
    <row r="60" spans="1:28" ht="15.75">
      <c r="A60" s="1493">
        <v>3</v>
      </c>
      <c r="B60" s="1493">
        <f t="shared" si="12"/>
        <v>6</v>
      </c>
      <c r="C60" s="1527">
        <f t="shared" si="13"/>
        <v>6</v>
      </c>
      <c r="D60" s="1493">
        <v>1</v>
      </c>
      <c r="E60" s="1493">
        <v>350</v>
      </c>
      <c r="F60" s="1533">
        <v>98.6</v>
      </c>
      <c r="G60" s="1533">
        <v>54.1</v>
      </c>
      <c r="H60" s="1528">
        <f t="shared" si="10"/>
        <v>116.66666666666667</v>
      </c>
      <c r="I60" s="1526">
        <f t="shared" si="11"/>
        <v>1.7320508075688772</v>
      </c>
      <c r="J60" s="1511" t="s">
        <v>572</v>
      </c>
      <c r="K60" s="1508">
        <v>350</v>
      </c>
      <c r="L60" s="1508">
        <v>550</v>
      </c>
      <c r="M60" s="1508">
        <v>7340</v>
      </c>
      <c r="N60" s="1507">
        <v>150</v>
      </c>
      <c r="O60" s="1507">
        <v>0.65400000000000003</v>
      </c>
      <c r="P60" s="1522">
        <v>0.32</v>
      </c>
      <c r="Q60" s="1509">
        <v>0.14000000000000001</v>
      </c>
      <c r="R60" s="1512">
        <v>0.06</v>
      </c>
      <c r="S60" s="1534">
        <f t="shared" si="4"/>
        <v>89.366666666666674</v>
      </c>
      <c r="T60" s="1495">
        <f t="shared" si="5"/>
        <v>536.20000000000005</v>
      </c>
      <c r="U60" s="1493">
        <f t="shared" si="6"/>
        <v>536.20000000000005</v>
      </c>
      <c r="V60" s="1493"/>
      <c r="W60" s="1493"/>
      <c r="X60" s="1505">
        <f t="shared" si="7"/>
        <v>8.2991421111525521E-2</v>
      </c>
      <c r="Y60" s="1480">
        <f t="shared" si="8"/>
        <v>116.47333333333333</v>
      </c>
      <c r="Z60" s="1506"/>
      <c r="AA60" s="1506"/>
      <c r="AB60" s="1480">
        <f t="shared" si="9"/>
        <v>116.47333333333333</v>
      </c>
    </row>
    <row r="61" spans="1:28" ht="16.5" thickBot="1">
      <c r="A61" s="1493">
        <v>3</v>
      </c>
      <c r="B61" s="1493">
        <f t="shared" si="12"/>
        <v>6</v>
      </c>
      <c r="C61" s="1527">
        <f t="shared" si="13"/>
        <v>6</v>
      </c>
      <c r="D61" s="1493">
        <v>1</v>
      </c>
      <c r="E61" s="1493">
        <v>400</v>
      </c>
      <c r="F61" s="1533">
        <v>107.3</v>
      </c>
      <c r="G61" s="1533">
        <v>58.2</v>
      </c>
      <c r="H61" s="1528">
        <f t="shared" si="10"/>
        <v>133.33333333333334</v>
      </c>
      <c r="I61" s="1526">
        <f t="shared" si="11"/>
        <v>1.7320508075688772</v>
      </c>
      <c r="J61" s="1532" t="s">
        <v>572</v>
      </c>
      <c r="K61" s="1531">
        <v>350</v>
      </c>
      <c r="L61" s="1531">
        <v>550</v>
      </c>
      <c r="M61" s="1531">
        <v>7340</v>
      </c>
      <c r="N61" s="1530">
        <v>150</v>
      </c>
      <c r="O61" s="1530">
        <v>0.65400000000000003</v>
      </c>
      <c r="P61" s="1529">
        <v>0.32</v>
      </c>
      <c r="Q61" s="1483">
        <v>0.14000000000000001</v>
      </c>
      <c r="R61" s="1482">
        <v>0.06</v>
      </c>
      <c r="S61" s="1534">
        <f t="shared" si="4"/>
        <v>104.26666666666667</v>
      </c>
      <c r="T61" s="1495">
        <f t="shared" si="5"/>
        <v>625.6</v>
      </c>
      <c r="U61" s="1493">
        <f t="shared" si="6"/>
        <v>625.6</v>
      </c>
      <c r="V61" s="1493"/>
      <c r="W61" s="1493"/>
      <c r="X61" s="1505">
        <f t="shared" si="7"/>
        <v>7.8484654731457784E-2</v>
      </c>
      <c r="Y61" s="1480">
        <f t="shared" si="8"/>
        <v>128.15333333333331</v>
      </c>
      <c r="Z61" s="1506"/>
      <c r="AA61" s="1506"/>
      <c r="AB61" s="1480">
        <f t="shared" si="9"/>
        <v>128.15333333333334</v>
      </c>
    </row>
    <row r="62" spans="1:28" ht="15.75">
      <c r="A62" s="1486"/>
      <c r="B62" s="1486"/>
      <c r="C62" s="1486"/>
      <c r="D62" s="1486"/>
      <c r="E62" s="1486"/>
      <c r="F62" s="1489"/>
      <c r="G62" s="1489"/>
      <c r="H62" s="1487"/>
      <c r="I62" s="1488"/>
      <c r="J62" s="1523"/>
      <c r="K62" s="1524"/>
      <c r="L62" s="1524"/>
      <c r="M62" s="1524"/>
      <c r="N62" s="1523"/>
      <c r="O62" s="1523"/>
      <c r="P62" s="1525"/>
      <c r="Q62" s="1513"/>
      <c r="R62" s="1513"/>
      <c r="S62" s="1487"/>
      <c r="T62" s="1487"/>
      <c r="U62" s="1487"/>
      <c r="V62" s="1487"/>
      <c r="W62" s="1487"/>
      <c r="X62" s="1491"/>
      <c r="Y62" s="1484"/>
      <c r="Z62" s="1484"/>
      <c r="AA62" s="1484"/>
      <c r="AB62" s="1521"/>
    </row>
    <row r="63" spans="1:28" ht="15">
      <c r="A63" s="1486"/>
      <c r="B63" s="1486"/>
      <c r="C63" s="1486"/>
      <c r="D63" s="1486"/>
      <c r="E63" s="1486"/>
      <c r="F63" s="1486"/>
      <c r="G63" s="1486"/>
      <c r="H63" s="1486"/>
      <c r="I63" s="1486"/>
      <c r="J63" s="1486"/>
      <c r="K63" s="1486"/>
      <c r="L63" s="1486"/>
      <c r="M63" s="1486"/>
      <c r="N63" s="1486"/>
      <c r="O63" s="1486"/>
      <c r="P63" s="1486"/>
      <c r="Q63" s="1486"/>
      <c r="R63" s="1486"/>
      <c r="S63" s="1486"/>
      <c r="T63" s="1486"/>
      <c r="U63" s="1486"/>
      <c r="V63" s="1486"/>
      <c r="W63" s="1486"/>
      <c r="X63" s="1492"/>
      <c r="Y63" s="1484"/>
      <c r="Z63" s="1484"/>
      <c r="AA63" s="1484"/>
      <c r="AB63" s="1484"/>
    </row>
    <row r="64" spans="1:28" ht="50.25">
      <c r="A64" s="1484"/>
      <c r="B64" s="1484"/>
      <c r="C64" s="1484"/>
      <c r="D64" s="1484"/>
      <c r="E64" s="1484"/>
      <c r="F64" s="1484"/>
      <c r="G64" s="1484"/>
      <c r="H64" s="1484"/>
      <c r="I64" s="1484"/>
      <c r="J64" s="1510" t="s">
        <v>523</v>
      </c>
      <c r="K64" s="1494" t="s">
        <v>524</v>
      </c>
      <c r="L64" s="1494" t="s">
        <v>525</v>
      </c>
      <c r="M64" s="1494" t="s">
        <v>526</v>
      </c>
      <c r="N64" s="1494" t="s">
        <v>560</v>
      </c>
      <c r="O64" s="1494" t="s">
        <v>561</v>
      </c>
      <c r="P64" s="1494" t="s">
        <v>562</v>
      </c>
      <c r="Q64" s="1494" t="s">
        <v>563</v>
      </c>
      <c r="R64" s="1500" t="s">
        <v>564</v>
      </c>
      <c r="S64" s="1484"/>
      <c r="T64" s="1484"/>
      <c r="U64" s="1490"/>
      <c r="V64" s="1490"/>
      <c r="W64" s="1490"/>
      <c r="X64" s="1484">
        <v>2.4666536984235057E-2</v>
      </c>
      <c r="Y64" s="1484"/>
      <c r="Z64" s="1484"/>
      <c r="AA64" s="1484"/>
      <c r="AB64" s="1484"/>
    </row>
    <row r="65" spans="1:28" ht="15.75">
      <c r="A65" s="1484"/>
      <c r="B65" s="1484"/>
      <c r="C65" s="1484"/>
      <c r="D65" s="1484"/>
      <c r="E65" s="1484"/>
      <c r="F65" s="1484"/>
      <c r="G65" s="1484"/>
      <c r="H65" s="1484"/>
      <c r="I65" s="1484"/>
      <c r="J65" s="1510"/>
      <c r="K65" s="1494" t="s">
        <v>22</v>
      </c>
      <c r="L65" s="1494" t="s">
        <v>22</v>
      </c>
      <c r="M65" s="1494" t="s">
        <v>22</v>
      </c>
      <c r="N65" s="1494" t="s">
        <v>565</v>
      </c>
      <c r="O65" s="1494" t="s">
        <v>53</v>
      </c>
      <c r="P65" s="1494" t="s">
        <v>566</v>
      </c>
      <c r="Q65" s="1494" t="s">
        <v>567</v>
      </c>
      <c r="R65" s="1500" t="s">
        <v>567</v>
      </c>
      <c r="S65" s="1484"/>
      <c r="T65" s="1484"/>
      <c r="U65" s="1490"/>
      <c r="V65" s="1490"/>
      <c r="W65" s="1490"/>
      <c r="X65" s="1484"/>
      <c r="Y65" s="1484"/>
      <c r="Z65" s="1484"/>
      <c r="AA65" s="1484"/>
      <c r="AB65" s="1484"/>
    </row>
    <row r="66" spans="1:28" ht="15.75">
      <c r="A66" s="1484"/>
      <c r="B66" s="1484"/>
      <c r="C66" s="1484"/>
      <c r="D66" s="1484"/>
      <c r="E66" s="1484"/>
      <c r="F66" s="1484"/>
      <c r="G66" s="1484"/>
      <c r="H66" s="1484"/>
      <c r="I66" s="1484"/>
      <c r="J66" s="1510"/>
      <c r="K66" s="1494"/>
      <c r="L66" s="1494"/>
      <c r="M66" s="1494"/>
      <c r="N66" s="1494"/>
      <c r="O66" s="1494"/>
      <c r="P66" s="1494"/>
      <c r="Q66" s="1494"/>
      <c r="R66" s="1500"/>
      <c r="S66" s="1484"/>
      <c r="T66" s="1484"/>
      <c r="U66" s="1490"/>
      <c r="V66" s="1490"/>
      <c r="W66" s="1490"/>
      <c r="X66" s="1484"/>
      <c r="Y66" s="1484"/>
      <c r="Z66" s="1484"/>
      <c r="AA66" s="1484"/>
      <c r="AB66" s="1484"/>
    </row>
    <row r="67" spans="1:28" ht="15.75">
      <c r="A67" s="1484"/>
      <c r="B67" s="1484"/>
      <c r="C67" s="1484"/>
      <c r="D67" s="1484"/>
      <c r="E67" s="1484"/>
      <c r="F67" s="1484"/>
      <c r="G67" s="1484"/>
      <c r="H67" s="1484"/>
      <c r="I67" s="1484"/>
      <c r="J67" s="1510"/>
      <c r="K67" s="1494"/>
      <c r="L67" s="1494"/>
      <c r="M67" s="1494"/>
      <c r="N67" s="1494"/>
      <c r="O67" s="1494"/>
      <c r="P67" s="1494"/>
      <c r="Q67" s="1494"/>
      <c r="R67" s="1500"/>
      <c r="S67" s="1484"/>
      <c r="T67" s="1484"/>
      <c r="U67" s="1490"/>
      <c r="V67" s="1490"/>
      <c r="W67" s="1490"/>
      <c r="X67" s="1484"/>
      <c r="Y67" s="1484"/>
      <c r="Z67" s="1484"/>
      <c r="AA67" s="1484"/>
      <c r="AB67" s="1484"/>
    </row>
    <row r="68" spans="1:28" ht="15.75">
      <c r="A68" s="1484"/>
      <c r="B68" s="1484"/>
      <c r="C68" s="1484"/>
      <c r="D68" s="1484"/>
      <c r="E68" s="1484"/>
      <c r="F68" s="1484"/>
      <c r="G68" s="1484"/>
      <c r="H68" s="1484"/>
      <c r="I68" s="1484"/>
      <c r="J68" s="1511" t="s">
        <v>569</v>
      </c>
      <c r="K68" s="1508">
        <v>90</v>
      </c>
      <c r="L68" s="1508">
        <v>150</v>
      </c>
      <c r="M68" s="1508">
        <v>1950</v>
      </c>
      <c r="N68" s="1507">
        <v>125</v>
      </c>
      <c r="O68" s="1507">
        <v>0.9</v>
      </c>
      <c r="P68" s="1520">
        <v>2</v>
      </c>
      <c r="Q68" s="1509">
        <v>0.28000000000000003</v>
      </c>
      <c r="R68" s="1512">
        <v>0.2</v>
      </c>
      <c r="S68" s="1484"/>
      <c r="T68" s="1484"/>
      <c r="U68" s="1490"/>
      <c r="V68" s="1490"/>
      <c r="W68" s="1490"/>
      <c r="X68" s="1484"/>
      <c r="Y68" s="1484"/>
      <c r="Z68" s="1484"/>
      <c r="AA68" s="1484"/>
      <c r="AB68" s="1484"/>
    </row>
    <row r="69" spans="1:28" ht="15.75">
      <c r="A69" s="1484"/>
      <c r="B69" s="1484"/>
      <c r="C69" s="1484"/>
      <c r="D69" s="1484"/>
      <c r="E69" s="1484"/>
      <c r="F69" s="1484"/>
      <c r="G69" s="1484"/>
      <c r="H69" s="1484"/>
      <c r="I69" s="1484"/>
      <c r="J69" s="1511" t="s">
        <v>505</v>
      </c>
      <c r="K69" s="1508">
        <v>160</v>
      </c>
      <c r="L69" s="1508">
        <v>250</v>
      </c>
      <c r="M69" s="1508">
        <v>3350</v>
      </c>
      <c r="N69" s="1507">
        <v>150</v>
      </c>
      <c r="O69" s="1507">
        <v>0.85</v>
      </c>
      <c r="P69" s="1520">
        <v>1.2</v>
      </c>
      <c r="Q69" s="1509">
        <v>0.18</v>
      </c>
      <c r="R69" s="1512">
        <v>0.1</v>
      </c>
      <c r="S69" s="1484"/>
      <c r="T69" s="1484"/>
      <c r="U69" s="1490"/>
      <c r="V69" s="1490"/>
      <c r="W69" s="1490"/>
      <c r="X69" s="1484"/>
      <c r="Y69" s="1484"/>
      <c r="Z69" s="1484"/>
      <c r="AA69" s="1484"/>
      <c r="AB69" s="1484"/>
    </row>
    <row r="70" spans="1:28" ht="15.75">
      <c r="J70" s="1511" t="s">
        <v>572</v>
      </c>
      <c r="K70" s="1508">
        <v>350</v>
      </c>
      <c r="L70" s="1508">
        <v>550</v>
      </c>
      <c r="M70" s="1508">
        <v>7340</v>
      </c>
      <c r="N70" s="1507">
        <v>150</v>
      </c>
      <c r="O70" s="1507">
        <v>0.65400000000000003</v>
      </c>
      <c r="P70" s="1520">
        <v>0.32</v>
      </c>
      <c r="Q70" s="1509">
        <v>0.14000000000000001</v>
      </c>
      <c r="R70" s="1512">
        <v>0.06</v>
      </c>
      <c r="S70" s="1484"/>
      <c r="T70" s="1484"/>
      <c r="U70" s="1490"/>
      <c r="V70" s="1490"/>
      <c r="W70" s="1490"/>
      <c r="X70" s="1484"/>
    </row>
    <row r="71" spans="1:28" ht="13.5" thickBot="1"/>
    <row r="72" spans="1:28" ht="53.25">
      <c r="A72" s="1496" t="s">
        <v>573</v>
      </c>
      <c r="B72" s="1504" t="s">
        <v>586</v>
      </c>
      <c r="C72" s="1504" t="s">
        <v>587</v>
      </c>
      <c r="D72" s="1548" t="s">
        <v>574</v>
      </c>
      <c r="E72" s="1549" t="s">
        <v>588</v>
      </c>
      <c r="F72" s="1502" t="s">
        <v>589</v>
      </c>
      <c r="G72" s="1502" t="s">
        <v>590</v>
      </c>
      <c r="H72" s="1502" t="s">
        <v>591</v>
      </c>
      <c r="I72" s="1550" t="s">
        <v>592</v>
      </c>
      <c r="J72" s="1496" t="s">
        <v>523</v>
      </c>
      <c r="K72" s="1502" t="s">
        <v>524</v>
      </c>
      <c r="L72" s="1502" t="s">
        <v>525</v>
      </c>
      <c r="M72" s="1563" t="s">
        <v>575</v>
      </c>
      <c r="N72" s="1562" t="s">
        <v>605</v>
      </c>
      <c r="O72" s="1497" t="s">
        <v>528</v>
      </c>
      <c r="P72" s="1497" t="s">
        <v>529</v>
      </c>
      <c r="Q72" s="1497" t="s">
        <v>530</v>
      </c>
      <c r="R72" s="1503" t="s">
        <v>531</v>
      </c>
      <c r="S72" s="1551" t="s">
        <v>593</v>
      </c>
      <c r="T72" s="1502" t="s">
        <v>594</v>
      </c>
      <c r="U72" s="1502" t="s">
        <v>595</v>
      </c>
      <c r="V72" s="1548" t="s">
        <v>603</v>
      </c>
      <c r="W72" s="1548" t="s">
        <v>137</v>
      </c>
      <c r="X72" s="1552" t="s">
        <v>596</v>
      </c>
      <c r="Y72" s="1549" t="s">
        <v>597</v>
      </c>
      <c r="Z72" s="1549" t="s">
        <v>576</v>
      </c>
      <c r="AA72" s="1549" t="s">
        <v>577</v>
      </c>
      <c r="AB72" s="1553" t="s">
        <v>597</v>
      </c>
    </row>
    <row r="73" spans="1:28" ht="16.5" thickBot="1">
      <c r="A73" s="1554"/>
      <c r="B73" s="1555"/>
      <c r="C73" s="1555"/>
      <c r="D73" s="1555"/>
      <c r="E73" s="1556" t="s">
        <v>22</v>
      </c>
      <c r="F73" s="1555" t="s">
        <v>534</v>
      </c>
      <c r="G73" s="1555" t="s">
        <v>534</v>
      </c>
      <c r="H73" s="1556" t="s">
        <v>22</v>
      </c>
      <c r="I73" s="1557"/>
      <c r="J73" s="1554"/>
      <c r="K73" s="1556" t="s">
        <v>22</v>
      </c>
      <c r="L73" s="1556" t="s">
        <v>22</v>
      </c>
      <c r="M73" s="1556" t="s">
        <v>22</v>
      </c>
      <c r="N73" s="1555" t="s">
        <v>534</v>
      </c>
      <c r="O73" s="1555" t="s">
        <v>53</v>
      </c>
      <c r="P73" s="1558" t="s">
        <v>535</v>
      </c>
      <c r="Q73" s="1555" t="s">
        <v>536</v>
      </c>
      <c r="R73" s="1559" t="s">
        <v>536</v>
      </c>
      <c r="S73" s="1560" t="s">
        <v>275</v>
      </c>
      <c r="T73" s="1556" t="s">
        <v>275</v>
      </c>
      <c r="U73" s="1556" t="s">
        <v>275</v>
      </c>
      <c r="V73" s="1556" t="s">
        <v>477</v>
      </c>
      <c r="W73" s="1556" t="s">
        <v>604</v>
      </c>
      <c r="X73" s="1561" t="s">
        <v>598</v>
      </c>
      <c r="Y73" s="1555" t="s">
        <v>534</v>
      </c>
      <c r="Z73" s="1555" t="s">
        <v>534</v>
      </c>
      <c r="AA73" s="1555" t="s">
        <v>534</v>
      </c>
      <c r="AB73" s="1559" t="s">
        <v>534</v>
      </c>
    </row>
    <row r="74" spans="1:28" ht="15">
      <c r="A74" s="1493">
        <v>3</v>
      </c>
      <c r="B74" s="1493">
        <f>IF(A74=3,6,IF(A74=1,4,IF(A74="bd",1,IF(A74="fwd","Error"))))</f>
        <v>6</v>
      </c>
      <c r="C74" s="1527">
        <v>2</v>
      </c>
      <c r="D74" s="1493">
        <v>1</v>
      </c>
      <c r="E74" s="1493">
        <v>500</v>
      </c>
      <c r="F74" s="1533">
        <v>73</v>
      </c>
      <c r="G74" s="1533">
        <v>23</v>
      </c>
      <c r="H74" s="1528">
        <f>IF(A74=3,E74/3,IF(A74=1,E74/2,IF(A74="BD",E74/1,IF(A74="fwd",E74/1,"Error"))))</f>
        <v>166.66666666666666</v>
      </c>
      <c r="I74" s="1526">
        <f>IF(A74=3,SQRT(3),IF(A74=1,SQRT(2),IF(A74="BD",1,IF(A74="fwd",1,"Error"))))</f>
        <v>1.7320508075688772</v>
      </c>
      <c r="J74" s="1498" t="s">
        <v>600</v>
      </c>
      <c r="K74" s="1493"/>
      <c r="L74" s="1493"/>
      <c r="M74" s="1493"/>
      <c r="N74" s="1493">
        <v>130</v>
      </c>
      <c r="O74" s="1493">
        <v>0.81899999999999995</v>
      </c>
      <c r="P74" s="1493">
        <v>0.58899999999999997</v>
      </c>
      <c r="Q74" s="1493">
        <v>0.14000000000000001</v>
      </c>
      <c r="R74" s="1499">
        <v>0.06</v>
      </c>
      <c r="S74" s="1534">
        <f>(H74*I74)^2*P74*10^-3+H74*O74</f>
        <v>185.58333333333329</v>
      </c>
      <c r="T74" s="1495">
        <f>C74*S74</f>
        <v>371.16666666666657</v>
      </c>
      <c r="U74" s="1493">
        <f>IF(A74=3,S74*6,IF(A74=1,S74*4,S74))</f>
        <v>1113.4999999999998</v>
      </c>
      <c r="V74" s="1493"/>
      <c r="W74" s="1493"/>
      <c r="X74" s="1505">
        <f>IF(C74=6,(F74-G74)/6/S74,IF(C74=4,(F74-G74)/4/S74,IF(C74=3,(F74-G74)/3/S74,IF(C74=2,(F74-G74)/2/S74,IF(C74=1,(F74-G74)/1/S74,"Error")))))</f>
        <v>0.13471037269869784</v>
      </c>
      <c r="Y74" s="1480">
        <f>G74+S74*(Q74+R74+X74*C74)</f>
        <v>110.11666666666666</v>
      </c>
      <c r="Z74" s="1506"/>
      <c r="AA74" s="1506"/>
      <c r="AB74" s="1480">
        <f>S74*(Q74+R74)+F74</f>
        <v>110.11666666666666</v>
      </c>
    </row>
    <row r="76" spans="1:28" ht="15">
      <c r="A76" s="1493" t="s">
        <v>501</v>
      </c>
      <c r="B76" s="1493">
        <f>IF(A76=3,6,IF(A76=1,4,IF(A76="bd",1,IF(A76="fwd","Error"))))</f>
        <v>1</v>
      </c>
      <c r="C76" s="1527">
        <v>1</v>
      </c>
      <c r="D76" s="1493">
        <v>1</v>
      </c>
      <c r="E76" s="1493">
        <v>500</v>
      </c>
      <c r="F76" s="1533">
        <v>86</v>
      </c>
      <c r="G76" s="1533">
        <v>23</v>
      </c>
      <c r="H76" s="1528">
        <f>IF(A76=3,E76/3,IF(A76=1,E76/2,IF(A76="BD",E76/1,IF(A76="fwd",E76/1,"Error"))))</f>
        <v>500</v>
      </c>
      <c r="I76" s="1526">
        <f>IF(A76=3,SQRT(3),IF(A76=1,SQRT(2),IF(A76="BD",1,IF(A76="fwd",1,"Error"))))</f>
        <v>1</v>
      </c>
      <c r="J76" s="1498" t="s">
        <v>473</v>
      </c>
      <c r="K76" s="1493"/>
      <c r="L76" s="1493"/>
      <c r="M76" s="1493"/>
      <c r="N76" s="1493">
        <v>150</v>
      </c>
      <c r="O76" s="1493">
        <v>0.747</v>
      </c>
      <c r="P76" s="1493">
        <v>0.24299999999999999</v>
      </c>
      <c r="Q76" s="1493">
        <v>6.5000000000000002E-2</v>
      </c>
      <c r="R76" s="1499">
        <v>0.02</v>
      </c>
      <c r="S76" s="1534">
        <f>(H76*I76)^2*P76*10^-3+H76*O76</f>
        <v>434.25</v>
      </c>
      <c r="T76" s="1495">
        <f>C76*S76</f>
        <v>434.25</v>
      </c>
      <c r="U76" s="1493">
        <f>IF(A76=3,S76*6,IF(A76=1,S76*4,S76))</f>
        <v>434.25</v>
      </c>
      <c r="V76" s="1493"/>
      <c r="W76" s="1493"/>
      <c r="X76" s="1505">
        <f>IF(C76=6,(F76-G76)/6/S76,IF(C76=4,(F76-G76)/4/S76,IF(C76=3,(F76-G76)/3/S76,IF(C76=2,(F76-G76)/2/S76,IF(C76=1,(F76-G76)/1/S76,"Error")))))</f>
        <v>0.14507772020725387</v>
      </c>
      <c r="Y76" s="1480">
        <f>G76+S76*(Q76+R76+X76*C76)</f>
        <v>122.91125</v>
      </c>
      <c r="Z76" s="1506"/>
      <c r="AA76" s="1506"/>
      <c r="AB76" s="1480">
        <f>S76*(Q76+R76)+F76</f>
        <v>122.91125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5" tint="0.59999389629810485"/>
    <pageSetUpPr fitToPage="1"/>
  </sheetPr>
  <dimension ref="A1:Y53"/>
  <sheetViews>
    <sheetView zoomScaleNormal="100" workbookViewId="0">
      <pane xSplit="1" topLeftCell="B1" activePane="topRight" state="frozen"/>
      <selection pane="topRight" activeCell="A39" sqref="A39:IV39"/>
    </sheetView>
  </sheetViews>
  <sheetFormatPr baseColWidth="10" defaultColWidth="9.140625" defaultRowHeight="12.75"/>
  <cols>
    <col min="1" max="1" width="12.28515625" customWidth="1"/>
    <col min="14" max="14" width="11" bestFit="1" customWidth="1"/>
    <col min="15" max="15" width="6.85546875" customWidth="1"/>
    <col min="16" max="22" width="5.7109375" customWidth="1"/>
    <col min="24" max="24" width="12.28515625" customWidth="1"/>
  </cols>
  <sheetData>
    <row r="1" spans="1:25" ht="18.75" thickBot="1">
      <c r="A1" s="29" t="s">
        <v>0</v>
      </c>
      <c r="B1" s="6"/>
    </row>
    <row r="2" spans="1:25" ht="15">
      <c r="A2" s="1249" t="s">
        <v>7</v>
      </c>
      <c r="B2" s="70" t="s">
        <v>8</v>
      </c>
      <c r="C2" s="18" t="s">
        <v>13</v>
      </c>
      <c r="D2" s="1236" t="s">
        <v>9</v>
      </c>
      <c r="E2" s="18" t="s">
        <v>8</v>
      </c>
      <c r="F2" s="18" t="s">
        <v>8</v>
      </c>
      <c r="G2" s="18" t="s">
        <v>13</v>
      </c>
      <c r="H2" s="18" t="s">
        <v>13</v>
      </c>
      <c r="I2" s="18" t="s">
        <v>8</v>
      </c>
      <c r="J2" s="18" t="s">
        <v>8</v>
      </c>
      <c r="K2" s="1236" t="s">
        <v>9</v>
      </c>
      <c r="L2" s="18" t="s">
        <v>8</v>
      </c>
      <c r="M2" s="19"/>
      <c r="X2" s="1812" t="s">
        <v>7</v>
      </c>
      <c r="Y2" s="1809" t="s">
        <v>13</v>
      </c>
    </row>
    <row r="3" spans="1:25">
      <c r="A3" s="1250" t="s">
        <v>335</v>
      </c>
      <c r="B3" s="72">
        <v>600</v>
      </c>
      <c r="C3" s="3">
        <v>600</v>
      </c>
      <c r="D3" s="3">
        <v>600</v>
      </c>
      <c r="E3" s="3">
        <v>600</v>
      </c>
      <c r="F3" s="3">
        <v>600</v>
      </c>
      <c r="G3" s="3">
        <v>300</v>
      </c>
      <c r="H3" s="3">
        <v>700</v>
      </c>
      <c r="I3" s="3">
        <v>300</v>
      </c>
      <c r="J3" s="3">
        <v>600</v>
      </c>
      <c r="K3" s="3">
        <v>600</v>
      </c>
      <c r="L3" s="3">
        <v>600</v>
      </c>
      <c r="M3" s="15">
        <v>600</v>
      </c>
      <c r="X3" s="1811" t="s">
        <v>335</v>
      </c>
      <c r="Y3" s="1808">
        <v>300</v>
      </c>
    </row>
    <row r="4" spans="1:25" ht="15.75" thickBot="1">
      <c r="A4" s="1251" t="s">
        <v>334</v>
      </c>
      <c r="B4" s="1252">
        <v>500</v>
      </c>
      <c r="C4" s="1025">
        <v>600</v>
      </c>
      <c r="D4" s="1025">
        <v>500</v>
      </c>
      <c r="E4" s="1025">
        <v>300</v>
      </c>
      <c r="F4" s="1025">
        <v>500</v>
      </c>
      <c r="G4" s="1025">
        <v>300</v>
      </c>
      <c r="H4" s="1025">
        <v>650</v>
      </c>
      <c r="I4" s="1025">
        <v>160</v>
      </c>
      <c r="J4" s="1025">
        <v>300</v>
      </c>
      <c r="K4" s="16">
        <v>500</v>
      </c>
      <c r="L4" s="16">
        <v>340</v>
      </c>
      <c r="M4" s="17">
        <v>300</v>
      </c>
      <c r="X4" s="1810" t="s">
        <v>334</v>
      </c>
      <c r="Y4" s="1807">
        <v>300</v>
      </c>
    </row>
    <row r="5" spans="1:25" ht="15.75" thickBot="1">
      <c r="A5" s="1253"/>
      <c r="B5" s="1243"/>
      <c r="C5" s="1244"/>
      <c r="D5" s="1244"/>
      <c r="E5" s="1244"/>
      <c r="F5" s="1244"/>
      <c r="G5" s="1244"/>
      <c r="H5" s="1244"/>
      <c r="I5" s="1244"/>
      <c r="J5" s="1245" t="s">
        <v>390</v>
      </c>
      <c r="K5" s="1246" t="s">
        <v>390</v>
      </c>
      <c r="L5" s="1246" t="s">
        <v>389</v>
      </c>
      <c r="M5" s="1247"/>
      <c r="X5" s="1817"/>
      <c r="Y5" s="1816"/>
    </row>
    <row r="6" spans="1:25" s="4" customFormat="1" ht="16.5" thickBot="1">
      <c r="A6" s="827" t="s">
        <v>21</v>
      </c>
      <c r="B6" s="35" t="s">
        <v>1</v>
      </c>
      <c r="C6" s="8" t="s">
        <v>12</v>
      </c>
      <c r="D6" s="8" t="s">
        <v>2</v>
      </c>
      <c r="E6" s="8" t="s">
        <v>3</v>
      </c>
      <c r="F6" s="724" t="s">
        <v>4</v>
      </c>
      <c r="G6" s="725" t="s">
        <v>5</v>
      </c>
      <c r="H6" s="8" t="s">
        <v>6</v>
      </c>
      <c r="I6" s="8" t="s">
        <v>10</v>
      </c>
      <c r="J6" s="8" t="s">
        <v>11</v>
      </c>
      <c r="K6" s="8" t="s">
        <v>386</v>
      </c>
      <c r="L6" s="8" t="s">
        <v>387</v>
      </c>
      <c r="M6" s="9" t="s">
        <v>388</v>
      </c>
      <c r="X6" s="1814" t="s">
        <v>21</v>
      </c>
      <c r="Y6" s="1813" t="s">
        <v>5</v>
      </c>
    </row>
    <row r="7" spans="1:25" s="4" customFormat="1" ht="27" thickBot="1">
      <c r="A7" s="1254" t="s">
        <v>22</v>
      </c>
      <c r="B7" s="1248" t="s">
        <v>20</v>
      </c>
      <c r="C7" s="1239" t="s">
        <v>20</v>
      </c>
      <c r="D7" s="1239" t="s">
        <v>20</v>
      </c>
      <c r="E7" s="1239" t="s">
        <v>20</v>
      </c>
      <c r="F7" s="1239" t="s">
        <v>20</v>
      </c>
      <c r="G7" s="1239" t="s">
        <v>20</v>
      </c>
      <c r="H7" s="1239" t="s">
        <v>20</v>
      </c>
      <c r="I7" s="1239" t="s">
        <v>20</v>
      </c>
      <c r="J7" s="1239" t="s">
        <v>20</v>
      </c>
      <c r="K7" s="1239" t="s">
        <v>20</v>
      </c>
      <c r="L7" s="1239" t="s">
        <v>20</v>
      </c>
      <c r="M7" s="1240" t="s">
        <v>20</v>
      </c>
      <c r="N7" s="1330" t="s">
        <v>506</v>
      </c>
      <c r="O7" s="4">
        <v>1.75</v>
      </c>
      <c r="P7" s="4">
        <v>1.8</v>
      </c>
      <c r="Q7" s="4">
        <v>1.85</v>
      </c>
      <c r="R7" s="4">
        <v>1.9</v>
      </c>
      <c r="S7" s="4">
        <v>1.95</v>
      </c>
      <c r="T7" s="4">
        <v>2</v>
      </c>
      <c r="U7" s="4">
        <v>2.0499999999999998</v>
      </c>
      <c r="V7" s="4">
        <v>2.1</v>
      </c>
      <c r="X7" s="1818" t="s">
        <v>22</v>
      </c>
      <c r="Y7" s="1815" t="s">
        <v>20</v>
      </c>
    </row>
    <row r="8" spans="1:25" ht="15.75">
      <c r="A8" s="1796">
        <v>5</v>
      </c>
      <c r="B8" s="722">
        <v>70</v>
      </c>
      <c r="C8" s="11">
        <v>60</v>
      </c>
      <c r="D8" s="11">
        <v>120</v>
      </c>
      <c r="E8" s="11">
        <v>80</v>
      </c>
      <c r="F8" s="1026">
        <v>0</v>
      </c>
      <c r="G8" s="1241">
        <v>0</v>
      </c>
      <c r="H8" s="11">
        <v>0</v>
      </c>
      <c r="I8" s="11">
        <v>30</v>
      </c>
      <c r="J8" s="11">
        <v>45</v>
      </c>
      <c r="K8" s="11"/>
      <c r="L8" s="11"/>
      <c r="M8" s="1026"/>
      <c r="N8">
        <f>G8*0.01/140/0.01</f>
        <v>0</v>
      </c>
      <c r="X8" s="1806">
        <v>40</v>
      </c>
      <c r="Y8" s="1805">
        <v>180</v>
      </c>
    </row>
    <row r="9" spans="1:25" ht="15.75">
      <c r="A9" s="1797">
        <v>10</v>
      </c>
      <c r="B9" s="723">
        <v>150</v>
      </c>
      <c r="C9" s="12">
        <v>70</v>
      </c>
      <c r="D9" s="12">
        <v>190</v>
      </c>
      <c r="E9" s="12">
        <v>150</v>
      </c>
      <c r="F9" s="1027">
        <v>0</v>
      </c>
      <c r="G9" s="1241">
        <v>0</v>
      </c>
      <c r="H9" s="12">
        <v>0</v>
      </c>
      <c r="I9" s="12">
        <v>60</v>
      </c>
      <c r="J9" s="12">
        <v>100</v>
      </c>
      <c r="K9" s="12"/>
      <c r="L9" s="12"/>
      <c r="M9" s="1027"/>
      <c r="N9">
        <f t="shared" ref="N9:N51" si="0">G9*0.01/140/0.01</f>
        <v>0</v>
      </c>
      <c r="X9" s="1804">
        <v>50</v>
      </c>
      <c r="Y9" s="1803">
        <v>235</v>
      </c>
    </row>
    <row r="10" spans="1:25" ht="15.75">
      <c r="A10" s="1797">
        <v>15</v>
      </c>
      <c r="B10" s="723">
        <v>250</v>
      </c>
      <c r="C10" s="12">
        <v>110</v>
      </c>
      <c r="D10" s="12">
        <v>250</v>
      </c>
      <c r="E10" s="12">
        <v>130</v>
      </c>
      <c r="F10" s="1027">
        <v>83</v>
      </c>
      <c r="G10" s="1241">
        <v>0</v>
      </c>
      <c r="H10" s="12">
        <v>0</v>
      </c>
      <c r="I10" s="12">
        <v>88</v>
      </c>
      <c r="J10" s="12">
        <v>145</v>
      </c>
      <c r="K10" s="12"/>
      <c r="L10" s="12"/>
      <c r="M10" s="1027"/>
      <c r="N10">
        <f t="shared" si="0"/>
        <v>0</v>
      </c>
      <c r="X10" s="1804">
        <v>60</v>
      </c>
      <c r="Y10" s="1803">
        <v>269</v>
      </c>
    </row>
    <row r="11" spans="1:25" ht="15.75">
      <c r="A11" s="1797">
        <v>20</v>
      </c>
      <c r="B11" s="723">
        <v>300</v>
      </c>
      <c r="C11" s="12">
        <v>130</v>
      </c>
      <c r="D11" s="12">
        <v>300</v>
      </c>
      <c r="E11" s="12">
        <v>180</v>
      </c>
      <c r="F11" s="1027">
        <v>130</v>
      </c>
      <c r="G11" s="1241">
        <v>0</v>
      </c>
      <c r="H11" s="12">
        <v>0</v>
      </c>
      <c r="I11" s="12">
        <v>115</v>
      </c>
      <c r="J11" s="12">
        <v>225</v>
      </c>
      <c r="K11" s="12"/>
      <c r="L11" s="12"/>
      <c r="M11" s="1027"/>
      <c r="N11">
        <f t="shared" si="0"/>
        <v>0</v>
      </c>
      <c r="X11" s="1804">
        <v>70</v>
      </c>
      <c r="Y11" s="1802">
        <v>260</v>
      </c>
    </row>
    <row r="12" spans="1:25" ht="15.75">
      <c r="A12" s="1797">
        <v>25</v>
      </c>
      <c r="B12" s="723">
        <v>350</v>
      </c>
      <c r="C12" s="12">
        <v>180</v>
      </c>
      <c r="D12" s="12">
        <v>370</v>
      </c>
      <c r="E12" s="12">
        <v>250</v>
      </c>
      <c r="F12" s="1027">
        <v>150</v>
      </c>
      <c r="G12" s="1241">
        <v>0</v>
      </c>
      <c r="H12" s="12">
        <v>0</v>
      </c>
      <c r="I12" s="12">
        <v>150</v>
      </c>
      <c r="J12" s="12">
        <v>275</v>
      </c>
      <c r="K12" s="12"/>
      <c r="L12" s="12"/>
      <c r="M12" s="1027"/>
      <c r="N12">
        <f t="shared" si="0"/>
        <v>0</v>
      </c>
      <c r="X12" s="1804">
        <v>80</v>
      </c>
      <c r="Y12" s="1802">
        <v>349</v>
      </c>
    </row>
    <row r="13" spans="1:25" ht="15.75">
      <c r="A13" s="1797">
        <v>30</v>
      </c>
      <c r="B13" s="723">
        <v>400</v>
      </c>
      <c r="C13" s="12">
        <v>225</v>
      </c>
      <c r="D13" s="12">
        <v>490</v>
      </c>
      <c r="E13" s="12">
        <v>300</v>
      </c>
      <c r="F13" s="1027">
        <v>230</v>
      </c>
      <c r="G13" s="1241">
        <v>0</v>
      </c>
      <c r="H13" s="12">
        <v>0</v>
      </c>
      <c r="I13" s="12">
        <v>175</v>
      </c>
      <c r="J13" s="12">
        <v>340</v>
      </c>
      <c r="K13" s="12"/>
      <c r="L13" s="12"/>
      <c r="M13" s="1027"/>
      <c r="N13">
        <f t="shared" si="0"/>
        <v>0</v>
      </c>
      <c r="X13" s="1804">
        <v>90</v>
      </c>
      <c r="Y13" s="1802">
        <v>391</v>
      </c>
    </row>
    <row r="14" spans="1:25" ht="15.75">
      <c r="A14" s="1797">
        <v>40</v>
      </c>
      <c r="B14" s="12">
        <v>0</v>
      </c>
      <c r="C14" s="12">
        <v>0</v>
      </c>
      <c r="D14" s="12">
        <v>700</v>
      </c>
      <c r="E14" s="12">
        <v>537</v>
      </c>
      <c r="F14" s="723">
        <v>325</v>
      </c>
      <c r="G14" s="1241">
        <v>180</v>
      </c>
      <c r="H14" s="13">
        <v>200</v>
      </c>
      <c r="I14" s="12">
        <v>275</v>
      </c>
      <c r="J14" s="12">
        <v>500</v>
      </c>
      <c r="K14" s="12"/>
      <c r="L14" s="12"/>
      <c r="M14" s="1369">
        <f>F14/G14</f>
        <v>1.8055555555555556</v>
      </c>
      <c r="N14" s="22">
        <f t="shared" si="0"/>
        <v>1.2857142857142856</v>
      </c>
      <c r="O14">
        <f>$A14/O$7</f>
        <v>22.857142857142858</v>
      </c>
      <c r="P14">
        <f t="shared" ref="P14:V14" si="1">$A14/P$7</f>
        <v>22.222222222222221</v>
      </c>
      <c r="Q14">
        <f t="shared" si="1"/>
        <v>21.621621621621621</v>
      </c>
      <c r="R14">
        <f t="shared" si="1"/>
        <v>21.05263157894737</v>
      </c>
      <c r="S14">
        <f t="shared" si="1"/>
        <v>20.512820512820515</v>
      </c>
      <c r="T14">
        <f t="shared" si="1"/>
        <v>20</v>
      </c>
      <c r="U14">
        <f t="shared" si="1"/>
        <v>19.512195121951223</v>
      </c>
      <c r="V14">
        <f t="shared" si="1"/>
        <v>19.047619047619047</v>
      </c>
      <c r="X14" s="1804">
        <v>100</v>
      </c>
      <c r="Y14" s="1802">
        <v>461</v>
      </c>
    </row>
    <row r="15" spans="1:25" ht="15.75">
      <c r="A15" s="1797">
        <v>50</v>
      </c>
      <c r="B15" s="12">
        <v>0</v>
      </c>
      <c r="C15" s="12">
        <v>0</v>
      </c>
      <c r="D15" s="12">
        <v>800</v>
      </c>
      <c r="E15" s="12">
        <v>671</v>
      </c>
      <c r="F15" s="723">
        <v>400</v>
      </c>
      <c r="G15" s="1241">
        <v>235</v>
      </c>
      <c r="H15" s="13">
        <v>250</v>
      </c>
      <c r="I15" s="12">
        <v>345</v>
      </c>
      <c r="J15" s="12">
        <v>625</v>
      </c>
      <c r="K15" s="12"/>
      <c r="L15" s="12"/>
      <c r="M15" s="1369">
        <f t="shared" ref="M15:M34" si="2">F15/G15</f>
        <v>1.7021276595744681</v>
      </c>
      <c r="N15" s="22">
        <f t="shared" si="0"/>
        <v>1.6785714285714286</v>
      </c>
      <c r="O15">
        <f t="shared" ref="O15:V51" si="3">$A15/O$7</f>
        <v>28.571428571428573</v>
      </c>
      <c r="P15">
        <f t="shared" si="3"/>
        <v>27.777777777777779</v>
      </c>
      <c r="Q15">
        <f t="shared" si="3"/>
        <v>27.027027027027025</v>
      </c>
      <c r="R15">
        <f t="shared" si="3"/>
        <v>26.315789473684212</v>
      </c>
      <c r="S15">
        <f t="shared" si="3"/>
        <v>25.641025641025642</v>
      </c>
      <c r="T15">
        <f t="shared" si="3"/>
        <v>25</v>
      </c>
      <c r="U15">
        <f t="shared" si="3"/>
        <v>24.390243902439025</v>
      </c>
      <c r="V15">
        <f t="shared" si="3"/>
        <v>23.80952380952381</v>
      </c>
      <c r="X15" s="1804">
        <v>125</v>
      </c>
      <c r="Y15" s="1802">
        <v>510</v>
      </c>
    </row>
    <row r="16" spans="1:25" ht="15.75">
      <c r="A16" s="1797">
        <v>60</v>
      </c>
      <c r="B16" s="12">
        <v>0</v>
      </c>
      <c r="C16" s="12">
        <v>0</v>
      </c>
      <c r="D16" s="12">
        <v>900</v>
      </c>
      <c r="E16" s="12">
        <v>800</v>
      </c>
      <c r="F16" s="723">
        <v>500</v>
      </c>
      <c r="G16" s="1241">
        <v>269</v>
      </c>
      <c r="H16" s="13">
        <v>300</v>
      </c>
      <c r="I16" s="12">
        <v>400</v>
      </c>
      <c r="J16" s="12">
        <v>750</v>
      </c>
      <c r="K16" s="12"/>
      <c r="L16" s="12"/>
      <c r="M16" s="1369">
        <f t="shared" si="2"/>
        <v>1.8587360594795539</v>
      </c>
      <c r="N16" s="22">
        <f t="shared" si="0"/>
        <v>1.9214285714285715</v>
      </c>
      <c r="O16">
        <f t="shared" si="3"/>
        <v>34.285714285714285</v>
      </c>
      <c r="P16">
        <f t="shared" si="3"/>
        <v>33.333333333333336</v>
      </c>
      <c r="Q16">
        <f t="shared" si="3"/>
        <v>32.432432432432428</v>
      </c>
      <c r="R16">
        <f t="shared" si="3"/>
        <v>31.578947368421055</v>
      </c>
      <c r="S16">
        <f t="shared" si="3"/>
        <v>30.76923076923077</v>
      </c>
      <c r="T16">
        <f t="shared" si="3"/>
        <v>30</v>
      </c>
      <c r="U16">
        <f t="shared" si="3"/>
        <v>29.26829268292683</v>
      </c>
      <c r="V16">
        <f t="shared" si="3"/>
        <v>28.571428571428569</v>
      </c>
      <c r="X16" s="1804">
        <v>150</v>
      </c>
      <c r="Y16" s="1802">
        <v>700</v>
      </c>
    </row>
    <row r="17" spans="1:25" ht="15.75">
      <c r="A17" s="1797">
        <v>70</v>
      </c>
      <c r="B17" s="12">
        <v>0</v>
      </c>
      <c r="C17" s="12">
        <v>0</v>
      </c>
      <c r="D17" s="12">
        <v>1000</v>
      </c>
      <c r="E17" s="12">
        <v>670</v>
      </c>
      <c r="F17" s="723">
        <v>600</v>
      </c>
      <c r="G17" s="1242">
        <v>260</v>
      </c>
      <c r="H17" s="13">
        <v>300</v>
      </c>
      <c r="I17" s="12">
        <v>530</v>
      </c>
      <c r="J17" s="12">
        <v>1000</v>
      </c>
      <c r="K17" s="12"/>
      <c r="L17" s="12"/>
      <c r="M17" s="1369">
        <f t="shared" si="2"/>
        <v>2.3076923076923075</v>
      </c>
      <c r="N17" s="22">
        <f t="shared" si="0"/>
        <v>1.8571428571428572</v>
      </c>
      <c r="O17">
        <f t="shared" si="3"/>
        <v>40</v>
      </c>
      <c r="P17">
        <f t="shared" si="3"/>
        <v>38.888888888888886</v>
      </c>
      <c r="Q17">
        <f t="shared" si="3"/>
        <v>37.837837837837839</v>
      </c>
      <c r="R17">
        <f t="shared" si="3"/>
        <v>36.842105263157897</v>
      </c>
      <c r="S17">
        <f t="shared" si="3"/>
        <v>35.897435897435898</v>
      </c>
      <c r="T17">
        <f t="shared" si="3"/>
        <v>35</v>
      </c>
      <c r="U17">
        <f t="shared" si="3"/>
        <v>34.146341463414636</v>
      </c>
      <c r="V17">
        <f t="shared" si="3"/>
        <v>33.333333333333329</v>
      </c>
      <c r="X17" s="1804">
        <v>175</v>
      </c>
      <c r="Y17" s="1802">
        <v>775</v>
      </c>
    </row>
    <row r="18" spans="1:25" ht="15.75">
      <c r="A18" s="1797">
        <v>80</v>
      </c>
      <c r="B18" s="12">
        <v>0</v>
      </c>
      <c r="C18" s="12">
        <v>0</v>
      </c>
      <c r="D18" s="12">
        <v>1100</v>
      </c>
      <c r="E18" s="12">
        <v>765</v>
      </c>
      <c r="F18" s="723">
        <v>700</v>
      </c>
      <c r="G18" s="1242">
        <v>349</v>
      </c>
      <c r="H18" s="13">
        <v>450</v>
      </c>
      <c r="I18" s="12">
        <v>615</v>
      </c>
      <c r="J18" s="12">
        <v>1200</v>
      </c>
      <c r="K18" s="12"/>
      <c r="L18" s="12"/>
      <c r="M18" s="1369">
        <f t="shared" si="2"/>
        <v>2.005730659025788</v>
      </c>
      <c r="N18" s="22">
        <f t="shared" si="0"/>
        <v>2.4928571428571429</v>
      </c>
      <c r="O18">
        <f t="shared" si="3"/>
        <v>45.714285714285715</v>
      </c>
      <c r="P18">
        <f t="shared" si="3"/>
        <v>44.444444444444443</v>
      </c>
      <c r="Q18">
        <f t="shared" si="3"/>
        <v>43.243243243243242</v>
      </c>
      <c r="R18">
        <f t="shared" si="3"/>
        <v>42.10526315789474</v>
      </c>
      <c r="S18">
        <f t="shared" si="3"/>
        <v>41.025641025641029</v>
      </c>
      <c r="T18">
        <f t="shared" si="3"/>
        <v>40</v>
      </c>
      <c r="U18">
        <f t="shared" si="3"/>
        <v>39.024390243902445</v>
      </c>
      <c r="V18">
        <f t="shared" si="3"/>
        <v>38.095238095238095</v>
      </c>
      <c r="X18" s="1804">
        <v>200</v>
      </c>
      <c r="Y18" s="1802">
        <v>949</v>
      </c>
    </row>
    <row r="19" spans="1:25" ht="15.75">
      <c r="A19" s="1797">
        <v>90</v>
      </c>
      <c r="B19" s="12">
        <v>0</v>
      </c>
      <c r="C19" s="12">
        <v>0</v>
      </c>
      <c r="D19" s="12">
        <v>1200</v>
      </c>
      <c r="E19" s="12">
        <v>861</v>
      </c>
      <c r="F19" s="723">
        <v>830</v>
      </c>
      <c r="G19" s="1242">
        <v>391</v>
      </c>
      <c r="H19" s="13">
        <v>520</v>
      </c>
      <c r="I19" s="12">
        <v>690</v>
      </c>
      <c r="J19" s="12">
        <v>1300</v>
      </c>
      <c r="K19" s="12"/>
      <c r="L19" s="12"/>
      <c r="M19" s="1369">
        <f t="shared" si="2"/>
        <v>2.1227621483375958</v>
      </c>
      <c r="N19" s="22">
        <f t="shared" si="0"/>
        <v>2.7928571428571431</v>
      </c>
      <c r="O19">
        <f t="shared" si="3"/>
        <v>51.428571428571431</v>
      </c>
      <c r="P19">
        <f t="shared" si="3"/>
        <v>50</v>
      </c>
      <c r="Q19">
        <f t="shared" si="3"/>
        <v>48.648648648648646</v>
      </c>
      <c r="R19">
        <f t="shared" si="3"/>
        <v>47.368421052631582</v>
      </c>
      <c r="S19">
        <f t="shared" si="3"/>
        <v>46.153846153846153</v>
      </c>
      <c r="T19">
        <f t="shared" si="3"/>
        <v>45</v>
      </c>
      <c r="U19">
        <f t="shared" si="3"/>
        <v>43.902439024390247</v>
      </c>
      <c r="V19">
        <f t="shared" si="3"/>
        <v>42.857142857142854</v>
      </c>
      <c r="X19" s="1804">
        <v>225</v>
      </c>
      <c r="Y19" s="1802">
        <v>860</v>
      </c>
    </row>
    <row r="20" spans="1:25" ht="15.75">
      <c r="A20" s="1797">
        <v>100</v>
      </c>
      <c r="B20" s="12">
        <v>0</v>
      </c>
      <c r="C20" s="12">
        <v>0</v>
      </c>
      <c r="D20" s="12">
        <v>1500</v>
      </c>
      <c r="E20" s="12">
        <v>1000</v>
      </c>
      <c r="F20" s="723">
        <v>920</v>
      </c>
      <c r="G20" s="1242">
        <v>461</v>
      </c>
      <c r="H20" s="13">
        <v>600</v>
      </c>
      <c r="I20" s="12">
        <v>760</v>
      </c>
      <c r="J20" s="12">
        <v>1500</v>
      </c>
      <c r="K20" s="12">
        <v>1300</v>
      </c>
      <c r="L20" s="12"/>
      <c r="M20" s="1369">
        <f t="shared" si="2"/>
        <v>1.9956616052060738</v>
      </c>
      <c r="N20" s="22">
        <f t="shared" si="0"/>
        <v>3.2928571428571431</v>
      </c>
      <c r="O20">
        <f t="shared" si="3"/>
        <v>57.142857142857146</v>
      </c>
      <c r="P20">
        <f t="shared" si="3"/>
        <v>55.555555555555557</v>
      </c>
      <c r="Q20">
        <f t="shared" si="3"/>
        <v>54.054054054054049</v>
      </c>
      <c r="R20">
        <f t="shared" si="3"/>
        <v>52.631578947368425</v>
      </c>
      <c r="S20">
        <f t="shared" si="3"/>
        <v>51.282051282051285</v>
      </c>
      <c r="T20">
        <f t="shared" si="3"/>
        <v>50</v>
      </c>
      <c r="U20">
        <f t="shared" si="3"/>
        <v>48.780487804878049</v>
      </c>
      <c r="V20">
        <f t="shared" si="3"/>
        <v>47.61904761904762</v>
      </c>
      <c r="X20" s="1804">
        <v>250</v>
      </c>
      <c r="Y20" s="1802">
        <v>1058</v>
      </c>
    </row>
    <row r="21" spans="1:25" ht="15.75">
      <c r="A21" s="1797">
        <v>125</v>
      </c>
      <c r="B21" s="12">
        <v>0</v>
      </c>
      <c r="C21" s="12">
        <v>0</v>
      </c>
      <c r="D21" s="12">
        <v>1750</v>
      </c>
      <c r="E21" s="12">
        <v>1261</v>
      </c>
      <c r="F21" s="723">
        <v>1150</v>
      </c>
      <c r="G21" s="1242">
        <v>510</v>
      </c>
      <c r="H21" s="13">
        <v>740</v>
      </c>
      <c r="I21" s="12">
        <v>900</v>
      </c>
      <c r="J21" s="12">
        <v>1900</v>
      </c>
      <c r="K21" s="12"/>
      <c r="L21" s="12"/>
      <c r="M21" s="1369">
        <f t="shared" si="2"/>
        <v>2.2549019607843137</v>
      </c>
      <c r="N21" s="22">
        <f t="shared" si="0"/>
        <v>3.6428571428571432</v>
      </c>
      <c r="O21">
        <f t="shared" si="3"/>
        <v>71.428571428571431</v>
      </c>
      <c r="P21">
        <f t="shared" si="3"/>
        <v>69.444444444444443</v>
      </c>
      <c r="Q21">
        <f t="shared" si="3"/>
        <v>67.567567567567565</v>
      </c>
      <c r="R21">
        <f t="shared" si="3"/>
        <v>65.789473684210535</v>
      </c>
      <c r="S21">
        <f t="shared" si="3"/>
        <v>64.102564102564102</v>
      </c>
      <c r="T21">
        <f t="shared" si="3"/>
        <v>62.5</v>
      </c>
      <c r="U21">
        <f t="shared" si="3"/>
        <v>60.975609756097569</v>
      </c>
      <c r="V21">
        <f t="shared" si="3"/>
        <v>59.523809523809518</v>
      </c>
      <c r="X21" s="1804">
        <v>275</v>
      </c>
      <c r="Y21" s="1802">
        <v>1196</v>
      </c>
    </row>
    <row r="22" spans="1:25" ht="15.75">
      <c r="A22" s="1797">
        <v>150</v>
      </c>
      <c r="B22" s="12">
        <v>0</v>
      </c>
      <c r="C22" s="12">
        <v>0</v>
      </c>
      <c r="D22" s="12">
        <v>2200</v>
      </c>
      <c r="E22" s="12">
        <v>1513</v>
      </c>
      <c r="F22" s="723">
        <v>1300</v>
      </c>
      <c r="G22" s="1242">
        <v>700</v>
      </c>
      <c r="H22" s="13">
        <v>900</v>
      </c>
      <c r="I22" s="12">
        <v>1000</v>
      </c>
      <c r="J22" s="12">
        <v>2300</v>
      </c>
      <c r="K22" s="12">
        <v>1800</v>
      </c>
      <c r="L22" s="12"/>
      <c r="M22" s="1369">
        <f t="shared" si="2"/>
        <v>1.8571428571428572</v>
      </c>
      <c r="N22" s="22">
        <f t="shared" si="0"/>
        <v>5</v>
      </c>
      <c r="O22">
        <f t="shared" si="3"/>
        <v>85.714285714285708</v>
      </c>
      <c r="P22">
        <f t="shared" si="3"/>
        <v>83.333333333333329</v>
      </c>
      <c r="Q22">
        <f t="shared" si="3"/>
        <v>81.081081081081081</v>
      </c>
      <c r="R22">
        <f t="shared" si="3"/>
        <v>78.94736842105263</v>
      </c>
      <c r="S22">
        <f t="shared" si="3"/>
        <v>76.92307692307692</v>
      </c>
      <c r="T22">
        <f t="shared" si="3"/>
        <v>75</v>
      </c>
      <c r="U22">
        <f t="shared" si="3"/>
        <v>73.170731707317074</v>
      </c>
      <c r="V22">
        <f t="shared" si="3"/>
        <v>71.428571428571431</v>
      </c>
      <c r="X22" s="1804">
        <v>300</v>
      </c>
      <c r="Y22" s="1802">
        <v>1324</v>
      </c>
    </row>
    <row r="23" spans="1:25" ht="15.75">
      <c r="A23" s="1797">
        <v>175</v>
      </c>
      <c r="B23" s="12">
        <v>0</v>
      </c>
      <c r="C23" s="12">
        <v>0</v>
      </c>
      <c r="D23" s="12">
        <v>2470</v>
      </c>
      <c r="E23" s="12">
        <v>1775</v>
      </c>
      <c r="F23" s="723">
        <v>1750</v>
      </c>
      <c r="G23" s="1242">
        <v>775</v>
      </c>
      <c r="H23" s="13"/>
      <c r="I23" s="12">
        <v>1200</v>
      </c>
      <c r="J23" s="12">
        <v>2750</v>
      </c>
      <c r="K23" s="12"/>
      <c r="L23" s="12"/>
      <c r="M23" s="1369">
        <f t="shared" si="2"/>
        <v>2.2580645161290325</v>
      </c>
      <c r="N23" s="22">
        <f t="shared" si="0"/>
        <v>5.5357142857142856</v>
      </c>
      <c r="O23">
        <f t="shared" si="3"/>
        <v>100</v>
      </c>
      <c r="P23">
        <f t="shared" si="3"/>
        <v>97.222222222222214</v>
      </c>
      <c r="Q23">
        <f t="shared" si="3"/>
        <v>94.594594594594597</v>
      </c>
      <c r="R23">
        <f t="shared" si="3"/>
        <v>92.10526315789474</v>
      </c>
      <c r="S23">
        <f t="shared" si="3"/>
        <v>89.743589743589752</v>
      </c>
      <c r="T23">
        <f t="shared" si="3"/>
        <v>87.5</v>
      </c>
      <c r="U23">
        <f t="shared" si="3"/>
        <v>85.365853658536594</v>
      </c>
      <c r="V23">
        <f t="shared" si="3"/>
        <v>83.333333333333329</v>
      </c>
      <c r="X23" s="1804">
        <v>350</v>
      </c>
      <c r="Y23" s="1802">
        <v>1724</v>
      </c>
    </row>
    <row r="24" spans="1:25" ht="15.75">
      <c r="A24" s="1797">
        <v>200</v>
      </c>
      <c r="B24" s="12">
        <v>0</v>
      </c>
      <c r="C24" s="12">
        <v>0</v>
      </c>
      <c r="D24" s="13">
        <v>2750</v>
      </c>
      <c r="E24" s="12">
        <v>2000</v>
      </c>
      <c r="F24" s="723">
        <v>2000</v>
      </c>
      <c r="G24" s="1242">
        <v>949</v>
      </c>
      <c r="H24" s="13">
        <v>1250</v>
      </c>
      <c r="I24" s="12">
        <v>1300</v>
      </c>
      <c r="J24" s="12">
        <v>3000</v>
      </c>
      <c r="K24" s="12">
        <v>2200</v>
      </c>
      <c r="L24" s="12"/>
      <c r="M24" s="1369">
        <f t="shared" si="2"/>
        <v>2.1074815595363541</v>
      </c>
      <c r="N24" s="22">
        <f t="shared" si="0"/>
        <v>6.7785714285714285</v>
      </c>
      <c r="O24">
        <f t="shared" si="3"/>
        <v>114.28571428571429</v>
      </c>
      <c r="P24">
        <f t="shared" si="3"/>
        <v>111.11111111111111</v>
      </c>
      <c r="Q24">
        <f t="shared" si="3"/>
        <v>108.1081081081081</v>
      </c>
      <c r="R24">
        <f t="shared" si="3"/>
        <v>105.26315789473685</v>
      </c>
      <c r="S24">
        <f t="shared" si="3"/>
        <v>102.56410256410257</v>
      </c>
      <c r="T24">
        <f t="shared" si="3"/>
        <v>100</v>
      </c>
      <c r="U24">
        <f t="shared" si="3"/>
        <v>97.560975609756099</v>
      </c>
      <c r="V24">
        <f t="shared" si="3"/>
        <v>95.238095238095241</v>
      </c>
      <c r="X24" s="1804">
        <v>400</v>
      </c>
      <c r="Y24" s="1802">
        <v>1984</v>
      </c>
    </row>
    <row r="25" spans="1:25" ht="15.75">
      <c r="A25" s="1797">
        <v>225</v>
      </c>
      <c r="B25" s="12">
        <v>0</v>
      </c>
      <c r="C25" s="12">
        <v>0</v>
      </c>
      <c r="D25" s="13">
        <v>3000</v>
      </c>
      <c r="E25" s="12">
        <v>2700</v>
      </c>
      <c r="F25" s="723">
        <v>2300</v>
      </c>
      <c r="G25" s="1242">
        <v>860</v>
      </c>
      <c r="H25" s="13">
        <v>1300</v>
      </c>
      <c r="I25" s="12">
        <v>1500</v>
      </c>
      <c r="J25" s="12">
        <v>3600</v>
      </c>
      <c r="K25" s="12"/>
      <c r="L25" s="12"/>
      <c r="M25" s="1369">
        <f t="shared" si="2"/>
        <v>2.6744186046511627</v>
      </c>
      <c r="N25" s="22">
        <f t="shared" si="0"/>
        <v>6.1428571428571423</v>
      </c>
      <c r="O25">
        <f t="shared" si="3"/>
        <v>128.57142857142858</v>
      </c>
      <c r="P25">
        <f t="shared" si="3"/>
        <v>125</v>
      </c>
      <c r="Q25">
        <f t="shared" si="3"/>
        <v>121.62162162162161</v>
      </c>
      <c r="R25">
        <f t="shared" si="3"/>
        <v>118.42105263157896</v>
      </c>
      <c r="S25">
        <f t="shared" si="3"/>
        <v>115.38461538461539</v>
      </c>
      <c r="T25">
        <f t="shared" si="3"/>
        <v>112.5</v>
      </c>
      <c r="U25">
        <f t="shared" si="3"/>
        <v>109.75609756097562</v>
      </c>
      <c r="V25">
        <f t="shared" si="3"/>
        <v>107.14285714285714</v>
      </c>
      <c r="X25" s="1804">
        <v>450</v>
      </c>
      <c r="Y25" s="1802">
        <v>2578</v>
      </c>
    </row>
    <row r="26" spans="1:25" ht="15.75">
      <c r="A26" s="1797">
        <v>250</v>
      </c>
      <c r="B26" s="12">
        <v>0</v>
      </c>
      <c r="C26" s="12">
        <v>0</v>
      </c>
      <c r="D26" s="13">
        <v>3250</v>
      </c>
      <c r="E26" s="12">
        <v>3000</v>
      </c>
      <c r="F26" s="723">
        <v>2500</v>
      </c>
      <c r="G26" s="1242">
        <v>1058</v>
      </c>
      <c r="H26" s="13">
        <v>1500</v>
      </c>
      <c r="I26" s="12">
        <v>1650</v>
      </c>
      <c r="J26" s="12">
        <v>4250</v>
      </c>
      <c r="K26" s="12">
        <v>2800</v>
      </c>
      <c r="L26" s="12"/>
      <c r="M26" s="1369">
        <f t="shared" si="2"/>
        <v>2.3629489603024574</v>
      </c>
      <c r="N26" s="22">
        <f t="shared" si="0"/>
        <v>7.5571428571428569</v>
      </c>
      <c r="O26">
        <f t="shared" si="3"/>
        <v>142.85714285714286</v>
      </c>
      <c r="P26">
        <f t="shared" si="3"/>
        <v>138.88888888888889</v>
      </c>
      <c r="Q26">
        <f t="shared" si="3"/>
        <v>135.13513513513513</v>
      </c>
      <c r="R26">
        <f t="shared" si="3"/>
        <v>131.57894736842107</v>
      </c>
      <c r="S26">
        <f t="shared" si="3"/>
        <v>128.2051282051282</v>
      </c>
      <c r="T26">
        <f t="shared" si="3"/>
        <v>125</v>
      </c>
      <c r="U26">
        <f t="shared" si="3"/>
        <v>121.95121951219514</v>
      </c>
      <c r="V26">
        <f t="shared" si="3"/>
        <v>119.04761904761904</v>
      </c>
      <c r="X26" s="1804">
        <v>500</v>
      </c>
      <c r="Y26" s="1802">
        <v>2839</v>
      </c>
    </row>
    <row r="27" spans="1:25" ht="15.75">
      <c r="A27" s="1797">
        <v>275</v>
      </c>
      <c r="B27" s="12"/>
      <c r="C27" s="12"/>
      <c r="D27" s="13"/>
      <c r="E27" s="12"/>
      <c r="F27" s="723"/>
      <c r="G27" s="1242">
        <v>1196</v>
      </c>
      <c r="H27" s="13"/>
      <c r="I27" s="12"/>
      <c r="J27" s="12"/>
      <c r="K27" s="12"/>
      <c r="L27" s="12"/>
      <c r="M27" s="1369"/>
      <c r="N27" s="22">
        <f t="shared" si="0"/>
        <v>8.5428571428571427</v>
      </c>
      <c r="O27">
        <f t="shared" si="3"/>
        <v>157.14285714285714</v>
      </c>
      <c r="P27">
        <f t="shared" si="3"/>
        <v>152.77777777777777</v>
      </c>
      <c r="Q27">
        <f t="shared" si="3"/>
        <v>148.64864864864865</v>
      </c>
      <c r="R27">
        <f t="shared" si="3"/>
        <v>144.73684210526318</v>
      </c>
      <c r="S27">
        <f t="shared" si="3"/>
        <v>141.02564102564102</v>
      </c>
      <c r="T27">
        <f t="shared" si="3"/>
        <v>137.5</v>
      </c>
      <c r="U27">
        <f t="shared" si="3"/>
        <v>134.14634146341464</v>
      </c>
      <c r="V27">
        <f t="shared" si="3"/>
        <v>130.95238095238093</v>
      </c>
      <c r="X27" s="1804">
        <v>550</v>
      </c>
      <c r="Y27" s="1802">
        <v>3110</v>
      </c>
    </row>
    <row r="28" spans="1:25" ht="15.75">
      <c r="A28" s="1797">
        <v>300</v>
      </c>
      <c r="B28" s="12">
        <v>0</v>
      </c>
      <c r="C28" s="12">
        <v>0</v>
      </c>
      <c r="D28" s="13">
        <v>4000</v>
      </c>
      <c r="E28" s="12">
        <v>3600</v>
      </c>
      <c r="F28" s="723">
        <v>3200</v>
      </c>
      <c r="G28" s="1242">
        <v>1324</v>
      </c>
      <c r="H28" s="13">
        <v>1750</v>
      </c>
      <c r="I28" s="12">
        <v>2000</v>
      </c>
      <c r="J28" s="12">
        <v>4900</v>
      </c>
      <c r="K28" s="12">
        <v>4000</v>
      </c>
      <c r="L28" s="12"/>
      <c r="M28" s="1369">
        <f t="shared" si="2"/>
        <v>2.416918429003021</v>
      </c>
      <c r="N28" s="22">
        <f t="shared" si="0"/>
        <v>9.4571428571428573</v>
      </c>
      <c r="O28">
        <f t="shared" si="3"/>
        <v>171.42857142857142</v>
      </c>
      <c r="P28">
        <f t="shared" si="3"/>
        <v>166.66666666666666</v>
      </c>
      <c r="Q28">
        <f t="shared" si="3"/>
        <v>162.16216216216216</v>
      </c>
      <c r="R28">
        <f t="shared" si="3"/>
        <v>157.89473684210526</v>
      </c>
      <c r="S28">
        <f t="shared" si="3"/>
        <v>153.84615384615384</v>
      </c>
      <c r="T28">
        <f t="shared" si="3"/>
        <v>150</v>
      </c>
      <c r="U28">
        <f t="shared" si="3"/>
        <v>146.34146341463415</v>
      </c>
      <c r="V28">
        <f t="shared" si="3"/>
        <v>142.85714285714286</v>
      </c>
      <c r="X28" s="1804">
        <v>600</v>
      </c>
      <c r="Y28" s="1802">
        <v>3532</v>
      </c>
    </row>
    <row r="29" spans="1:25" ht="15.75">
      <c r="A29" s="1797">
        <v>350</v>
      </c>
      <c r="B29" s="12"/>
      <c r="C29" s="12"/>
      <c r="D29" s="13">
        <v>4750</v>
      </c>
      <c r="E29" s="12">
        <v>4250</v>
      </c>
      <c r="F29" s="723">
        <v>3600</v>
      </c>
      <c r="G29" s="1242">
        <v>1724</v>
      </c>
      <c r="H29" s="13"/>
      <c r="I29" s="12">
        <v>2350</v>
      </c>
      <c r="J29" s="12">
        <v>5900</v>
      </c>
      <c r="K29" s="12">
        <v>4800</v>
      </c>
      <c r="L29" s="12"/>
      <c r="M29" s="1369">
        <f t="shared" si="2"/>
        <v>2.0881670533642693</v>
      </c>
      <c r="N29" s="22">
        <f t="shared" si="0"/>
        <v>12.314285714285715</v>
      </c>
      <c r="O29">
        <f t="shared" si="3"/>
        <v>200</v>
      </c>
      <c r="P29">
        <f t="shared" si="3"/>
        <v>194.44444444444443</v>
      </c>
      <c r="Q29">
        <f t="shared" si="3"/>
        <v>189.18918918918919</v>
      </c>
      <c r="R29">
        <f t="shared" si="3"/>
        <v>184.21052631578948</v>
      </c>
      <c r="S29">
        <f t="shared" si="3"/>
        <v>179.4871794871795</v>
      </c>
      <c r="T29">
        <f t="shared" si="3"/>
        <v>175</v>
      </c>
      <c r="U29">
        <f t="shared" si="3"/>
        <v>170.73170731707319</v>
      </c>
      <c r="V29">
        <f t="shared" si="3"/>
        <v>166.66666666666666</v>
      </c>
      <c r="X29" s="1804">
        <v>700</v>
      </c>
      <c r="Y29" s="1802">
        <v>3677</v>
      </c>
    </row>
    <row r="30" spans="1:25" ht="15.75">
      <c r="A30" s="1797">
        <v>400</v>
      </c>
      <c r="B30" s="12">
        <v>0</v>
      </c>
      <c r="C30" s="12">
        <v>0</v>
      </c>
      <c r="D30" s="13">
        <v>5250</v>
      </c>
      <c r="E30" s="12">
        <v>4621</v>
      </c>
      <c r="F30" s="723">
        <v>4500</v>
      </c>
      <c r="G30" s="1242">
        <v>1984</v>
      </c>
      <c r="H30" s="13">
        <v>2500</v>
      </c>
      <c r="I30" s="12">
        <v>2625</v>
      </c>
      <c r="J30" s="12">
        <v>6500</v>
      </c>
      <c r="K30" s="12">
        <v>5300</v>
      </c>
      <c r="L30" s="12"/>
      <c r="M30" s="1369">
        <f t="shared" si="2"/>
        <v>2.2681451612903225</v>
      </c>
      <c r="N30" s="22">
        <f t="shared" si="0"/>
        <v>14.171428571428571</v>
      </c>
      <c r="O30">
        <f t="shared" si="3"/>
        <v>228.57142857142858</v>
      </c>
      <c r="P30">
        <f t="shared" si="3"/>
        <v>222.22222222222223</v>
      </c>
      <c r="Q30">
        <f t="shared" si="3"/>
        <v>216.2162162162162</v>
      </c>
      <c r="R30">
        <f t="shared" si="3"/>
        <v>210.5263157894737</v>
      </c>
      <c r="S30">
        <f t="shared" si="3"/>
        <v>205.12820512820514</v>
      </c>
      <c r="T30">
        <f t="shared" si="3"/>
        <v>200</v>
      </c>
      <c r="U30">
        <f t="shared" si="3"/>
        <v>195.1219512195122</v>
      </c>
      <c r="V30">
        <f t="shared" si="3"/>
        <v>190.47619047619048</v>
      </c>
      <c r="X30" s="1804">
        <v>800</v>
      </c>
      <c r="Y30" s="1802">
        <v>4196</v>
      </c>
    </row>
    <row r="31" spans="1:25" ht="15.75">
      <c r="A31" s="1797">
        <v>450</v>
      </c>
      <c r="B31" s="12">
        <v>0</v>
      </c>
      <c r="C31" s="12">
        <v>0</v>
      </c>
      <c r="D31" s="13">
        <v>7600</v>
      </c>
      <c r="E31" s="12">
        <v>5000</v>
      </c>
      <c r="F31" s="723">
        <v>5250</v>
      </c>
      <c r="G31" s="1242">
        <v>2578</v>
      </c>
      <c r="H31" s="13">
        <v>2700</v>
      </c>
      <c r="I31" s="12">
        <v>3400</v>
      </c>
      <c r="J31" s="12">
        <v>7800</v>
      </c>
      <c r="K31" s="12">
        <v>6100</v>
      </c>
      <c r="L31" s="12"/>
      <c r="M31" s="1369">
        <f t="shared" si="2"/>
        <v>2.0364623739332814</v>
      </c>
      <c r="N31" s="22">
        <f t="shared" si="0"/>
        <v>18.414285714285715</v>
      </c>
      <c r="O31">
        <f t="shared" si="3"/>
        <v>257.14285714285717</v>
      </c>
      <c r="P31">
        <f t="shared" si="3"/>
        <v>250</v>
      </c>
      <c r="Q31">
        <f t="shared" si="3"/>
        <v>243.24324324324323</v>
      </c>
      <c r="R31">
        <f t="shared" si="3"/>
        <v>236.84210526315792</v>
      </c>
      <c r="S31">
        <f t="shared" si="3"/>
        <v>230.76923076923077</v>
      </c>
      <c r="T31">
        <f t="shared" si="3"/>
        <v>225</v>
      </c>
      <c r="U31">
        <f t="shared" si="3"/>
        <v>219.51219512195124</v>
      </c>
      <c r="V31">
        <f t="shared" si="3"/>
        <v>214.28571428571428</v>
      </c>
      <c r="X31" s="1804">
        <v>900</v>
      </c>
      <c r="Y31" s="1802">
        <v>4708</v>
      </c>
    </row>
    <row r="32" spans="1:25" ht="15.75">
      <c r="A32" s="1797">
        <v>515</v>
      </c>
      <c r="B32" s="12">
        <v>0</v>
      </c>
      <c r="C32" s="12">
        <v>0</v>
      </c>
      <c r="D32" s="13">
        <v>8500</v>
      </c>
      <c r="E32" s="12">
        <v>5850</v>
      </c>
      <c r="F32" s="723">
        <v>5800</v>
      </c>
      <c r="G32" s="1242">
        <v>2839</v>
      </c>
      <c r="H32" s="13">
        <v>3000</v>
      </c>
      <c r="I32" s="12">
        <v>3800</v>
      </c>
      <c r="J32" s="12">
        <v>8900</v>
      </c>
      <c r="K32" s="12">
        <v>6800</v>
      </c>
      <c r="L32" s="12"/>
      <c r="M32" s="1369">
        <f t="shared" si="2"/>
        <v>2.042972877773864</v>
      </c>
      <c r="N32" s="22">
        <f t="shared" si="0"/>
        <v>20.278571428571428</v>
      </c>
      <c r="O32">
        <f t="shared" si="3"/>
        <v>294.28571428571428</v>
      </c>
      <c r="P32">
        <f t="shared" si="3"/>
        <v>286.11111111111109</v>
      </c>
      <c r="Q32">
        <f t="shared" si="3"/>
        <v>278.37837837837839</v>
      </c>
      <c r="R32">
        <f t="shared" si="3"/>
        <v>271.0526315789474</v>
      </c>
      <c r="S32">
        <f t="shared" si="3"/>
        <v>264.10256410256409</v>
      </c>
      <c r="T32">
        <f t="shared" si="3"/>
        <v>257.5</v>
      </c>
      <c r="U32">
        <f t="shared" si="3"/>
        <v>251.21951219512198</v>
      </c>
      <c r="V32">
        <f t="shared" si="3"/>
        <v>245.23809523809524</v>
      </c>
      <c r="X32" s="1804">
        <v>1000</v>
      </c>
      <c r="Y32" s="1802">
        <v>5564</v>
      </c>
    </row>
    <row r="33" spans="1:25" ht="15.75">
      <c r="A33" s="1797">
        <v>550</v>
      </c>
      <c r="B33" s="12"/>
      <c r="C33" s="12"/>
      <c r="D33" s="13"/>
      <c r="E33" s="12"/>
      <c r="F33" s="723"/>
      <c r="G33" s="1242">
        <v>3110</v>
      </c>
      <c r="H33" s="13"/>
      <c r="I33" s="12"/>
      <c r="J33" s="12"/>
      <c r="K33" s="12"/>
      <c r="L33" s="12"/>
      <c r="M33" s="1369"/>
      <c r="N33" s="22">
        <f>G33*0.01/140/0.01</f>
        <v>22.214285714285715</v>
      </c>
      <c r="O33">
        <f t="shared" ref="O33:V33" si="4">$A33/O$7</f>
        <v>314.28571428571428</v>
      </c>
      <c r="P33">
        <f t="shared" si="4"/>
        <v>305.55555555555554</v>
      </c>
      <c r="Q33">
        <f t="shared" si="4"/>
        <v>297.29729729729729</v>
      </c>
      <c r="R33">
        <f t="shared" si="4"/>
        <v>289.47368421052636</v>
      </c>
      <c r="S33">
        <f t="shared" si="4"/>
        <v>282.05128205128204</v>
      </c>
      <c r="T33">
        <f t="shared" si="4"/>
        <v>275</v>
      </c>
      <c r="U33">
        <f t="shared" si="4"/>
        <v>268.29268292682929</v>
      </c>
      <c r="V33">
        <f t="shared" si="4"/>
        <v>261.90476190476187</v>
      </c>
      <c r="X33" s="1804">
        <v>1200</v>
      </c>
      <c r="Y33" s="1802">
        <v>7286</v>
      </c>
    </row>
    <row r="34" spans="1:25" ht="15.75">
      <c r="A34" s="1797">
        <v>600</v>
      </c>
      <c r="B34" s="12">
        <v>0</v>
      </c>
      <c r="C34" s="12">
        <v>0</v>
      </c>
      <c r="D34" s="12">
        <v>10000</v>
      </c>
      <c r="E34" s="12">
        <v>7000</v>
      </c>
      <c r="F34" s="723">
        <v>6900</v>
      </c>
      <c r="G34" s="1242">
        <v>3532</v>
      </c>
      <c r="H34" s="13">
        <v>3500</v>
      </c>
      <c r="I34" s="12">
        <v>4600</v>
      </c>
      <c r="J34" s="12">
        <v>10000</v>
      </c>
      <c r="K34" s="12">
        <v>8000</v>
      </c>
      <c r="L34" s="12"/>
      <c r="M34" s="1369">
        <f t="shared" si="2"/>
        <v>1.9535673839184597</v>
      </c>
      <c r="N34" s="22">
        <f t="shared" si="0"/>
        <v>25.228571428571428</v>
      </c>
      <c r="O34">
        <f t="shared" si="3"/>
        <v>342.85714285714283</v>
      </c>
      <c r="P34">
        <f t="shared" si="3"/>
        <v>333.33333333333331</v>
      </c>
      <c r="Q34">
        <f t="shared" si="3"/>
        <v>324.32432432432432</v>
      </c>
      <c r="R34">
        <f t="shared" si="3"/>
        <v>315.78947368421052</v>
      </c>
      <c r="S34">
        <f t="shared" si="3"/>
        <v>307.69230769230768</v>
      </c>
      <c r="T34">
        <f t="shared" si="3"/>
        <v>300</v>
      </c>
      <c r="U34">
        <f t="shared" si="3"/>
        <v>292.6829268292683</v>
      </c>
      <c r="V34">
        <f t="shared" si="3"/>
        <v>285.71428571428572</v>
      </c>
      <c r="X34" s="1804">
        <v>1500</v>
      </c>
      <c r="Y34" s="1802">
        <v>10000</v>
      </c>
    </row>
    <row r="35" spans="1:25" ht="15.75">
      <c r="A35" s="1797">
        <v>700</v>
      </c>
      <c r="B35" s="12">
        <v>0</v>
      </c>
      <c r="C35" s="12">
        <v>0</v>
      </c>
      <c r="D35" s="12">
        <v>0</v>
      </c>
      <c r="E35" s="12">
        <v>0</v>
      </c>
      <c r="F35" s="723">
        <v>0</v>
      </c>
      <c r="G35" s="1242">
        <v>3677</v>
      </c>
      <c r="H35" s="13"/>
      <c r="I35" s="12">
        <v>5450</v>
      </c>
      <c r="J35" s="12">
        <v>13000</v>
      </c>
      <c r="K35" s="1238">
        <v>9262</v>
      </c>
      <c r="L35" s="12"/>
      <c r="M35" s="1369"/>
      <c r="N35" s="22">
        <f t="shared" si="0"/>
        <v>26.264285714285716</v>
      </c>
      <c r="O35">
        <f t="shared" si="3"/>
        <v>400</v>
      </c>
      <c r="P35">
        <f t="shared" si="3"/>
        <v>388.88888888888886</v>
      </c>
      <c r="Q35">
        <f t="shared" si="3"/>
        <v>378.37837837837839</v>
      </c>
      <c r="R35">
        <f t="shared" si="3"/>
        <v>368.42105263157896</v>
      </c>
      <c r="S35">
        <f t="shared" si="3"/>
        <v>358.97435897435901</v>
      </c>
      <c r="T35">
        <f t="shared" si="3"/>
        <v>350</v>
      </c>
      <c r="U35">
        <f t="shared" si="3"/>
        <v>341.46341463414637</v>
      </c>
      <c r="V35">
        <f t="shared" si="3"/>
        <v>333.33333333333331</v>
      </c>
      <c r="X35" s="1804">
        <v>1600</v>
      </c>
      <c r="Y35" s="1802">
        <v>10900</v>
      </c>
    </row>
    <row r="36" spans="1:25" ht="15.75">
      <c r="A36" s="1797">
        <v>750</v>
      </c>
      <c r="B36" s="12"/>
      <c r="C36" s="12"/>
      <c r="D36" s="12"/>
      <c r="E36" s="12"/>
      <c r="F36" s="723"/>
      <c r="G36" s="1242"/>
      <c r="H36" s="13"/>
      <c r="I36" s="1237"/>
      <c r="J36" s="12"/>
      <c r="K36" s="1238">
        <v>9890</v>
      </c>
      <c r="L36" s="12"/>
      <c r="M36" s="1369"/>
      <c r="N36" s="22"/>
      <c r="O36">
        <f t="shared" si="3"/>
        <v>428.57142857142856</v>
      </c>
      <c r="P36">
        <f t="shared" si="3"/>
        <v>416.66666666666663</v>
      </c>
      <c r="Q36">
        <f t="shared" si="3"/>
        <v>405.40540540540536</v>
      </c>
      <c r="R36">
        <f t="shared" si="3"/>
        <v>394.73684210526318</v>
      </c>
      <c r="S36">
        <f t="shared" si="3"/>
        <v>384.61538461538464</v>
      </c>
      <c r="T36">
        <f t="shared" si="3"/>
        <v>375</v>
      </c>
      <c r="U36">
        <f t="shared" si="3"/>
        <v>365.85365853658539</v>
      </c>
      <c r="V36">
        <f t="shared" si="3"/>
        <v>357.14285714285711</v>
      </c>
      <c r="X36" s="1804">
        <v>1800</v>
      </c>
      <c r="Y36" s="1802">
        <v>11777</v>
      </c>
    </row>
    <row r="37" spans="1:25" ht="15.75">
      <c r="A37" s="1797">
        <v>800</v>
      </c>
      <c r="B37" s="12">
        <v>0</v>
      </c>
      <c r="C37" s="12">
        <v>0</v>
      </c>
      <c r="D37" s="12">
        <v>0</v>
      </c>
      <c r="E37" s="12">
        <v>0</v>
      </c>
      <c r="F37" s="723">
        <v>0</v>
      </c>
      <c r="G37" s="1242">
        <v>4196</v>
      </c>
      <c r="H37" s="13">
        <v>5000</v>
      </c>
      <c r="I37" s="14">
        <v>6500</v>
      </c>
      <c r="J37" s="12">
        <v>15000</v>
      </c>
      <c r="K37" s="1238">
        <v>10516</v>
      </c>
      <c r="L37" s="12"/>
      <c r="M37" s="1369"/>
      <c r="N37" s="22">
        <f t="shared" si="0"/>
        <v>29.971428571428572</v>
      </c>
      <c r="O37">
        <f t="shared" si="3"/>
        <v>457.14285714285717</v>
      </c>
      <c r="P37">
        <f t="shared" si="3"/>
        <v>444.44444444444446</v>
      </c>
      <c r="Q37">
        <f t="shared" si="3"/>
        <v>432.43243243243239</v>
      </c>
      <c r="R37">
        <f t="shared" si="3"/>
        <v>421.0526315789474</v>
      </c>
      <c r="S37">
        <f t="shared" si="3"/>
        <v>410.25641025641028</v>
      </c>
      <c r="T37">
        <f t="shared" si="3"/>
        <v>400</v>
      </c>
      <c r="U37">
        <f t="shared" si="3"/>
        <v>390.2439024390244</v>
      </c>
      <c r="V37">
        <f t="shared" si="3"/>
        <v>380.95238095238096</v>
      </c>
      <c r="X37" s="1804">
        <v>2000</v>
      </c>
      <c r="Y37" s="1802">
        <v>13464</v>
      </c>
    </row>
    <row r="38" spans="1:25" ht="15.75">
      <c r="A38" s="1797">
        <v>900</v>
      </c>
      <c r="B38" s="12"/>
      <c r="C38" s="12"/>
      <c r="D38" s="12"/>
      <c r="E38" s="12"/>
      <c r="F38" s="723"/>
      <c r="G38" s="1242">
        <v>4708</v>
      </c>
      <c r="H38" s="13"/>
      <c r="I38" s="14"/>
      <c r="J38" s="12"/>
      <c r="K38" s="1238">
        <v>11761</v>
      </c>
      <c r="L38" s="12"/>
      <c r="M38" s="1369"/>
      <c r="N38" s="22">
        <f t="shared" si="0"/>
        <v>33.628571428571426</v>
      </c>
      <c r="O38">
        <f t="shared" si="3"/>
        <v>514.28571428571433</v>
      </c>
      <c r="P38">
        <f t="shared" si="3"/>
        <v>500</v>
      </c>
      <c r="Q38">
        <f t="shared" si="3"/>
        <v>486.48648648648646</v>
      </c>
      <c r="R38">
        <f t="shared" si="3"/>
        <v>473.68421052631584</v>
      </c>
      <c r="S38">
        <f t="shared" si="3"/>
        <v>461.53846153846155</v>
      </c>
      <c r="T38">
        <f t="shared" si="3"/>
        <v>450</v>
      </c>
      <c r="U38">
        <f t="shared" si="3"/>
        <v>439.02439024390247</v>
      </c>
      <c r="V38">
        <f t="shared" si="3"/>
        <v>428.57142857142856</v>
      </c>
      <c r="X38" s="1804">
        <v>2500</v>
      </c>
      <c r="Y38" s="1802">
        <v>16826</v>
      </c>
    </row>
    <row r="39" spans="1:25" ht="15.75">
      <c r="A39" s="1797">
        <v>1000</v>
      </c>
      <c r="B39" s="12">
        <v>0</v>
      </c>
      <c r="C39" s="12">
        <v>0</v>
      </c>
      <c r="D39" s="12">
        <v>0</v>
      </c>
      <c r="E39" s="12">
        <v>0</v>
      </c>
      <c r="F39" s="723">
        <v>0</v>
      </c>
      <c r="G39" s="1242">
        <v>5564</v>
      </c>
      <c r="H39" s="13">
        <v>7000</v>
      </c>
      <c r="I39" s="12">
        <v>8000</v>
      </c>
      <c r="J39" s="12">
        <v>0</v>
      </c>
      <c r="K39" s="1238">
        <v>13000</v>
      </c>
      <c r="L39" s="12"/>
      <c r="M39" s="1369"/>
      <c r="N39" s="22">
        <f t="shared" si="0"/>
        <v>39.74285714285714</v>
      </c>
      <c r="O39">
        <f t="shared" si="3"/>
        <v>571.42857142857144</v>
      </c>
      <c r="P39">
        <f t="shared" si="3"/>
        <v>555.55555555555554</v>
      </c>
      <c r="Q39">
        <f t="shared" si="3"/>
        <v>540.54054054054052</v>
      </c>
      <c r="R39">
        <f t="shared" si="3"/>
        <v>526.31578947368428</v>
      </c>
      <c r="S39">
        <f t="shared" si="3"/>
        <v>512.82051282051282</v>
      </c>
      <c r="T39">
        <f t="shared" si="3"/>
        <v>500</v>
      </c>
      <c r="U39">
        <f t="shared" si="3"/>
        <v>487.80487804878055</v>
      </c>
      <c r="V39">
        <f t="shared" si="3"/>
        <v>476.19047619047615</v>
      </c>
      <c r="X39" s="1804">
        <v>3000</v>
      </c>
      <c r="Y39" s="1802">
        <v>19339</v>
      </c>
    </row>
    <row r="40" spans="1:25" ht="15.75">
      <c r="A40" s="1797">
        <v>1200</v>
      </c>
      <c r="B40" s="12">
        <v>0</v>
      </c>
      <c r="C40" s="12">
        <v>0</v>
      </c>
      <c r="D40" s="12">
        <v>0</v>
      </c>
      <c r="E40" s="12">
        <v>0</v>
      </c>
      <c r="F40" s="723">
        <v>0</v>
      </c>
      <c r="G40" s="1242">
        <v>7286</v>
      </c>
      <c r="H40" s="13">
        <v>8800</v>
      </c>
      <c r="I40" s="12">
        <v>9800</v>
      </c>
      <c r="J40" s="12">
        <v>0</v>
      </c>
      <c r="K40" s="1238">
        <v>16000</v>
      </c>
      <c r="L40" s="12"/>
      <c r="M40" s="1369"/>
      <c r="N40" s="22">
        <f t="shared" si="0"/>
        <v>52.042857142857144</v>
      </c>
      <c r="O40">
        <f t="shared" si="3"/>
        <v>685.71428571428567</v>
      </c>
      <c r="P40">
        <f t="shared" si="3"/>
        <v>666.66666666666663</v>
      </c>
      <c r="Q40">
        <f t="shared" si="3"/>
        <v>648.64864864864865</v>
      </c>
      <c r="R40">
        <f t="shared" si="3"/>
        <v>631.57894736842104</v>
      </c>
      <c r="S40">
        <f t="shared" si="3"/>
        <v>615.38461538461536</v>
      </c>
      <c r="T40">
        <f t="shared" si="3"/>
        <v>600</v>
      </c>
      <c r="U40">
        <f t="shared" si="3"/>
        <v>585.36585365853659</v>
      </c>
      <c r="V40">
        <f t="shared" si="3"/>
        <v>571.42857142857144</v>
      </c>
      <c r="X40" s="1804">
        <v>3500</v>
      </c>
      <c r="Y40" s="1802">
        <v>23280</v>
      </c>
    </row>
    <row r="41" spans="1:25" ht="15.75">
      <c r="A41" s="1797">
        <v>1350</v>
      </c>
      <c r="B41" s="12"/>
      <c r="C41" s="12"/>
      <c r="D41" s="12"/>
      <c r="E41" s="12"/>
      <c r="F41" s="723"/>
      <c r="G41" s="1242"/>
      <c r="H41" s="13"/>
      <c r="I41" s="12"/>
      <c r="J41" s="12"/>
      <c r="K41" s="1238">
        <v>17884</v>
      </c>
      <c r="L41" s="12"/>
      <c r="M41" s="1369"/>
      <c r="N41" s="22"/>
      <c r="O41">
        <f t="shared" si="3"/>
        <v>771.42857142857144</v>
      </c>
      <c r="P41">
        <f t="shared" si="3"/>
        <v>750</v>
      </c>
      <c r="Q41">
        <f t="shared" si="3"/>
        <v>729.72972972972968</v>
      </c>
      <c r="R41">
        <f t="shared" si="3"/>
        <v>710.52631578947376</v>
      </c>
      <c r="S41">
        <f t="shared" si="3"/>
        <v>692.30769230769238</v>
      </c>
      <c r="T41">
        <f t="shared" si="3"/>
        <v>675</v>
      </c>
      <c r="U41">
        <f t="shared" si="3"/>
        <v>658.53658536585374</v>
      </c>
      <c r="V41">
        <f t="shared" si="3"/>
        <v>642.85714285714278</v>
      </c>
      <c r="X41" s="1804">
        <v>4000</v>
      </c>
      <c r="Y41" s="1802">
        <v>26068</v>
      </c>
    </row>
    <row r="42" spans="1:25" ht="15.75">
      <c r="A42" s="1797">
        <v>1400</v>
      </c>
      <c r="B42" s="12">
        <v>0</v>
      </c>
      <c r="C42" s="12">
        <v>0</v>
      </c>
      <c r="D42" s="12">
        <v>0</v>
      </c>
      <c r="E42" s="12">
        <v>0</v>
      </c>
      <c r="F42" s="723">
        <v>0</v>
      </c>
      <c r="G42" s="1242">
        <v>0</v>
      </c>
      <c r="H42" s="13">
        <v>10000</v>
      </c>
      <c r="I42" s="12">
        <v>0</v>
      </c>
      <c r="J42" s="12">
        <v>0</v>
      </c>
      <c r="K42" s="1238">
        <v>18510</v>
      </c>
      <c r="L42" s="12"/>
      <c r="M42" s="1369"/>
      <c r="N42" s="22"/>
      <c r="O42">
        <f t="shared" si="3"/>
        <v>800</v>
      </c>
      <c r="P42">
        <f t="shared" si="3"/>
        <v>777.77777777777771</v>
      </c>
      <c r="Q42">
        <f t="shared" si="3"/>
        <v>756.75675675675677</v>
      </c>
      <c r="R42">
        <f t="shared" si="3"/>
        <v>736.84210526315792</v>
      </c>
      <c r="S42">
        <f t="shared" si="3"/>
        <v>717.94871794871801</v>
      </c>
      <c r="T42">
        <f t="shared" si="3"/>
        <v>700</v>
      </c>
      <c r="U42">
        <f t="shared" si="3"/>
        <v>682.92682926829275</v>
      </c>
      <c r="V42">
        <f t="shared" si="3"/>
        <v>666.66666666666663</v>
      </c>
      <c r="X42" s="1804">
        <v>4500</v>
      </c>
      <c r="Y42" s="1802">
        <v>29407</v>
      </c>
    </row>
    <row r="43" spans="1:25" ht="15.75" thickBot="1">
      <c r="A43" s="1797">
        <v>1500</v>
      </c>
      <c r="B43" s="12">
        <v>0</v>
      </c>
      <c r="C43" s="12">
        <v>0</v>
      </c>
      <c r="D43" s="12">
        <v>0</v>
      </c>
      <c r="E43" s="12">
        <v>0</v>
      </c>
      <c r="F43" s="723">
        <v>0</v>
      </c>
      <c r="G43" s="1242">
        <v>10000</v>
      </c>
      <c r="H43" s="12">
        <v>10500</v>
      </c>
      <c r="I43" s="12">
        <v>0</v>
      </c>
      <c r="J43" s="12">
        <v>0</v>
      </c>
      <c r="K43" s="1238">
        <v>19757</v>
      </c>
      <c r="L43" s="12"/>
      <c r="M43" s="1369"/>
      <c r="N43" s="22">
        <f t="shared" si="0"/>
        <v>71.428571428571431</v>
      </c>
      <c r="O43">
        <f t="shared" si="3"/>
        <v>857.14285714285711</v>
      </c>
      <c r="P43">
        <f t="shared" si="3"/>
        <v>833.33333333333326</v>
      </c>
      <c r="Q43">
        <f t="shared" si="3"/>
        <v>810.81081081081072</v>
      </c>
      <c r="R43">
        <f t="shared" si="3"/>
        <v>789.47368421052636</v>
      </c>
      <c r="S43">
        <f t="shared" si="3"/>
        <v>769.23076923076928</v>
      </c>
      <c r="T43">
        <f t="shared" si="3"/>
        <v>750</v>
      </c>
      <c r="U43">
        <f t="shared" si="3"/>
        <v>731.70731707317077</v>
      </c>
      <c r="V43">
        <f t="shared" ref="P43:V51" si="5">$A43/V$7</f>
        <v>714.28571428571422</v>
      </c>
      <c r="X43" s="1801">
        <v>5000</v>
      </c>
      <c r="Y43" s="1800" t="s">
        <v>124</v>
      </c>
    </row>
    <row r="44" spans="1:25">
      <c r="A44" s="1797">
        <v>1600</v>
      </c>
      <c r="B44" s="12">
        <v>0</v>
      </c>
      <c r="C44" s="12">
        <v>0</v>
      </c>
      <c r="D44" s="12">
        <v>0</v>
      </c>
      <c r="E44" s="12">
        <v>0</v>
      </c>
      <c r="F44" s="723">
        <v>0</v>
      </c>
      <c r="G44" s="1242">
        <v>10900</v>
      </c>
      <c r="H44" s="12">
        <v>11000</v>
      </c>
      <c r="I44" s="12">
        <v>0</v>
      </c>
      <c r="J44" s="12">
        <v>0</v>
      </c>
      <c r="K44" s="1238">
        <v>21000</v>
      </c>
      <c r="L44" s="12"/>
      <c r="M44" s="1369"/>
      <c r="N44" s="22">
        <f t="shared" si="0"/>
        <v>77.857142857142861</v>
      </c>
      <c r="O44">
        <f t="shared" si="3"/>
        <v>914.28571428571433</v>
      </c>
      <c r="P44">
        <f t="shared" si="5"/>
        <v>888.88888888888891</v>
      </c>
      <c r="Q44">
        <f t="shared" si="5"/>
        <v>864.86486486486478</v>
      </c>
      <c r="R44">
        <f t="shared" si="5"/>
        <v>842.1052631578948</v>
      </c>
      <c r="S44">
        <f t="shared" si="5"/>
        <v>820.51282051282055</v>
      </c>
      <c r="T44">
        <f t="shared" si="5"/>
        <v>800</v>
      </c>
      <c r="U44">
        <f t="shared" si="5"/>
        <v>780.48780487804879</v>
      </c>
      <c r="V44">
        <f t="shared" si="5"/>
        <v>761.90476190476193</v>
      </c>
    </row>
    <row r="45" spans="1:25">
      <c r="A45" s="1797">
        <v>1800</v>
      </c>
      <c r="B45" s="12"/>
      <c r="C45" s="12"/>
      <c r="D45" s="12"/>
      <c r="E45" s="12"/>
      <c r="F45" s="723"/>
      <c r="G45" s="1242">
        <v>11777</v>
      </c>
      <c r="H45" s="12"/>
      <c r="I45" s="12"/>
      <c r="J45" s="12"/>
      <c r="K45" s="1238">
        <v>23121</v>
      </c>
      <c r="L45" s="12"/>
      <c r="M45" s="1369"/>
      <c r="N45" s="22">
        <f t="shared" si="0"/>
        <v>84.121428571428567</v>
      </c>
      <c r="O45">
        <f t="shared" si="3"/>
        <v>1028.5714285714287</v>
      </c>
      <c r="P45">
        <f t="shared" si="5"/>
        <v>1000</v>
      </c>
      <c r="Q45">
        <f t="shared" si="5"/>
        <v>972.97297297297291</v>
      </c>
      <c r="R45">
        <f t="shared" si="5"/>
        <v>947.36842105263167</v>
      </c>
      <c r="S45">
        <f t="shared" si="5"/>
        <v>923.07692307692309</v>
      </c>
      <c r="T45">
        <f t="shared" si="5"/>
        <v>900</v>
      </c>
      <c r="U45">
        <f t="shared" si="5"/>
        <v>878.04878048780495</v>
      </c>
      <c r="V45">
        <f t="shared" si="5"/>
        <v>857.14285714285711</v>
      </c>
    </row>
    <row r="46" spans="1:25">
      <c r="A46" s="1797">
        <v>2000</v>
      </c>
      <c r="B46" s="12">
        <v>0</v>
      </c>
      <c r="C46" s="12">
        <v>0</v>
      </c>
      <c r="D46" s="12">
        <v>0</v>
      </c>
      <c r="E46" s="12">
        <v>0</v>
      </c>
      <c r="F46" s="723">
        <v>0</v>
      </c>
      <c r="G46" s="1242">
        <v>13464</v>
      </c>
      <c r="H46" s="12">
        <v>14000</v>
      </c>
      <c r="I46" s="12">
        <v>0</v>
      </c>
      <c r="J46" s="12">
        <v>0</v>
      </c>
      <c r="K46" s="1238">
        <v>25200</v>
      </c>
      <c r="L46" s="12"/>
      <c r="M46" s="1369"/>
      <c r="N46" s="22">
        <f t="shared" si="0"/>
        <v>96.171428571428578</v>
      </c>
      <c r="O46">
        <f t="shared" si="3"/>
        <v>1142.8571428571429</v>
      </c>
      <c r="P46">
        <f t="shared" si="5"/>
        <v>1111.1111111111111</v>
      </c>
      <c r="Q46">
        <f t="shared" si="5"/>
        <v>1081.081081081081</v>
      </c>
      <c r="R46">
        <f t="shared" si="5"/>
        <v>1052.6315789473686</v>
      </c>
      <c r="S46">
        <f t="shared" si="5"/>
        <v>1025.6410256410256</v>
      </c>
      <c r="T46">
        <f t="shared" si="5"/>
        <v>1000</v>
      </c>
      <c r="U46">
        <f t="shared" si="5"/>
        <v>975.6097560975611</v>
      </c>
      <c r="V46">
        <f t="shared" si="5"/>
        <v>952.38095238095229</v>
      </c>
    </row>
    <row r="47" spans="1:25">
      <c r="A47" s="23">
        <v>2500</v>
      </c>
      <c r="B47" s="12"/>
      <c r="C47" s="12"/>
      <c r="D47" s="12"/>
      <c r="E47" s="12"/>
      <c r="F47" s="12"/>
      <c r="G47" s="1242">
        <v>16826</v>
      </c>
      <c r="H47" s="12"/>
      <c r="I47" s="12"/>
      <c r="J47" s="12"/>
      <c r="K47" s="1238">
        <v>33200</v>
      </c>
      <c r="L47" s="12"/>
      <c r="M47" s="1369"/>
      <c r="N47" s="22">
        <f t="shared" si="0"/>
        <v>120.18571428571427</v>
      </c>
      <c r="O47">
        <f t="shared" si="3"/>
        <v>1428.5714285714287</v>
      </c>
      <c r="P47">
        <f t="shared" si="5"/>
        <v>1388.8888888888889</v>
      </c>
      <c r="Q47">
        <f t="shared" si="5"/>
        <v>1351.3513513513512</v>
      </c>
      <c r="R47">
        <f t="shared" si="5"/>
        <v>1315.7894736842106</v>
      </c>
      <c r="S47">
        <f t="shared" si="5"/>
        <v>1282.051282051282</v>
      </c>
      <c r="T47">
        <f t="shared" si="5"/>
        <v>1250</v>
      </c>
      <c r="U47">
        <f t="shared" si="5"/>
        <v>1219.5121951219514</v>
      </c>
      <c r="V47">
        <f t="shared" si="5"/>
        <v>1190.4761904761904</v>
      </c>
    </row>
    <row r="48" spans="1:25">
      <c r="A48" s="23">
        <v>3000</v>
      </c>
      <c r="B48" s="12"/>
      <c r="C48" s="12"/>
      <c r="D48" s="12"/>
      <c r="E48" s="12"/>
      <c r="F48" s="12"/>
      <c r="G48" s="1242">
        <v>19339</v>
      </c>
      <c r="H48" s="12"/>
      <c r="I48" s="12"/>
      <c r="J48" s="12"/>
      <c r="K48" s="1238">
        <v>41000</v>
      </c>
      <c r="L48" s="12"/>
      <c r="M48" s="1369"/>
      <c r="N48" s="22">
        <f t="shared" si="0"/>
        <v>138.1357142857143</v>
      </c>
      <c r="O48">
        <f t="shared" si="3"/>
        <v>1714.2857142857142</v>
      </c>
      <c r="P48">
        <f t="shared" si="5"/>
        <v>1666.6666666666665</v>
      </c>
      <c r="Q48">
        <f t="shared" si="5"/>
        <v>1621.6216216216214</v>
      </c>
      <c r="R48">
        <f t="shared" si="5"/>
        <v>1578.9473684210527</v>
      </c>
      <c r="S48">
        <f t="shared" si="5"/>
        <v>1538.4615384615386</v>
      </c>
      <c r="T48">
        <f t="shared" si="5"/>
        <v>1500</v>
      </c>
      <c r="U48">
        <f t="shared" si="5"/>
        <v>1463.4146341463415</v>
      </c>
      <c r="V48">
        <f t="shared" si="5"/>
        <v>1428.5714285714284</v>
      </c>
    </row>
    <row r="49" spans="1:22">
      <c r="A49" s="23">
        <v>3500</v>
      </c>
      <c r="B49" s="12"/>
      <c r="C49" s="12"/>
      <c r="D49" s="12"/>
      <c r="E49" s="12"/>
      <c r="F49" s="12"/>
      <c r="G49" s="1242">
        <v>23280</v>
      </c>
      <c r="H49" s="12"/>
      <c r="I49" s="12"/>
      <c r="J49" s="12"/>
      <c r="K49" s="12">
        <v>49829</v>
      </c>
      <c r="L49" s="12"/>
      <c r="M49" s="1369"/>
      <c r="N49" s="22">
        <f t="shared" si="0"/>
        <v>166.28571428571431</v>
      </c>
      <c r="O49">
        <f t="shared" si="3"/>
        <v>2000</v>
      </c>
      <c r="P49">
        <f t="shared" si="5"/>
        <v>1944.4444444444443</v>
      </c>
      <c r="Q49">
        <f t="shared" si="5"/>
        <v>1891.8918918918919</v>
      </c>
      <c r="R49">
        <f t="shared" si="5"/>
        <v>1842.1052631578948</v>
      </c>
      <c r="S49">
        <f t="shared" si="5"/>
        <v>1794.8717948717949</v>
      </c>
      <c r="T49">
        <f t="shared" si="5"/>
        <v>1750</v>
      </c>
      <c r="U49">
        <f t="shared" si="5"/>
        <v>1707.3170731707319</v>
      </c>
      <c r="V49">
        <f t="shared" si="5"/>
        <v>1666.6666666666665</v>
      </c>
    </row>
    <row r="50" spans="1:22">
      <c r="A50" s="23">
        <v>4000</v>
      </c>
      <c r="B50" s="1024"/>
      <c r="C50" s="12"/>
      <c r="D50" s="12"/>
      <c r="E50" s="12"/>
      <c r="F50" s="1024"/>
      <c r="G50" s="1242">
        <v>26068</v>
      </c>
      <c r="H50" s="12"/>
      <c r="I50" s="12"/>
      <c r="J50" s="12"/>
      <c r="K50" s="12">
        <v>59000</v>
      </c>
      <c r="L50" s="12"/>
      <c r="M50" s="1369"/>
      <c r="N50" s="22">
        <f t="shared" si="0"/>
        <v>186.20000000000002</v>
      </c>
      <c r="O50">
        <f t="shared" si="3"/>
        <v>2285.7142857142858</v>
      </c>
      <c r="P50">
        <f t="shared" si="5"/>
        <v>2222.2222222222222</v>
      </c>
      <c r="Q50">
        <f t="shared" si="5"/>
        <v>2162.1621621621621</v>
      </c>
      <c r="R50">
        <f t="shared" si="5"/>
        <v>2105.2631578947371</v>
      </c>
      <c r="S50">
        <f t="shared" si="5"/>
        <v>2051.2820512820513</v>
      </c>
      <c r="T50">
        <f t="shared" si="5"/>
        <v>2000</v>
      </c>
      <c r="U50">
        <f t="shared" si="5"/>
        <v>1951.2195121951222</v>
      </c>
      <c r="V50">
        <f t="shared" si="5"/>
        <v>1904.7619047619046</v>
      </c>
    </row>
    <row r="51" spans="1:22">
      <c r="A51" s="23">
        <v>4500</v>
      </c>
      <c r="B51" s="1024"/>
      <c r="C51" s="12"/>
      <c r="D51" s="12"/>
      <c r="E51" s="12"/>
      <c r="F51" s="1024"/>
      <c r="G51" s="1242">
        <v>29407</v>
      </c>
      <c r="H51" s="12"/>
      <c r="I51" s="12"/>
      <c r="J51" s="12"/>
      <c r="K51" s="12"/>
      <c r="L51" s="12"/>
      <c r="M51" s="1369"/>
      <c r="N51" s="22">
        <f t="shared" si="0"/>
        <v>210.04999999999998</v>
      </c>
      <c r="O51">
        <f t="shared" si="3"/>
        <v>2571.4285714285716</v>
      </c>
      <c r="P51">
        <f t="shared" si="5"/>
        <v>2500</v>
      </c>
      <c r="Q51">
        <f t="shared" si="5"/>
        <v>2432.4324324324325</v>
      </c>
      <c r="R51">
        <f t="shared" si="5"/>
        <v>2368.4210526315792</v>
      </c>
      <c r="S51">
        <f t="shared" si="5"/>
        <v>2307.6923076923076</v>
      </c>
      <c r="T51">
        <f t="shared" si="5"/>
        <v>2250</v>
      </c>
      <c r="U51">
        <f t="shared" si="5"/>
        <v>2195.1219512195125</v>
      </c>
      <c r="V51">
        <f t="shared" si="5"/>
        <v>2142.8571428571427</v>
      </c>
    </row>
    <row r="52" spans="1:22">
      <c r="A52" s="23">
        <v>5000</v>
      </c>
      <c r="B52" s="12"/>
      <c r="C52" s="12"/>
      <c r="D52" s="12"/>
      <c r="E52" s="12"/>
      <c r="F52" s="12"/>
      <c r="G52" s="1242" t="s">
        <v>124</v>
      </c>
      <c r="H52" s="12"/>
      <c r="I52" s="12"/>
      <c r="J52" s="12"/>
      <c r="K52" s="12">
        <v>74500</v>
      </c>
      <c r="L52" s="12"/>
      <c r="M52" s="1027"/>
    </row>
    <row r="53" spans="1:22">
      <c r="A53" s="23">
        <v>6000</v>
      </c>
      <c r="B53" s="1024" t="s">
        <v>333</v>
      </c>
      <c r="C53" s="12"/>
      <c r="D53" s="12"/>
      <c r="E53" s="12"/>
      <c r="F53" s="1024" t="s">
        <v>333</v>
      </c>
      <c r="G53" s="1023"/>
      <c r="H53" s="1"/>
      <c r="I53" s="1"/>
      <c r="J53" s="1"/>
      <c r="K53" s="1027">
        <v>91000</v>
      </c>
      <c r="L53" s="1"/>
      <c r="M53" s="1368"/>
    </row>
  </sheetData>
  <phoneticPr fontId="2" type="noConversion"/>
  <pageMargins left="0.11811023622047245" right="0.11811023622047245" top="0.11811023622047245" bottom="0.35433070866141736" header="0.11811023622047245" footer="0.23622047244094491"/>
  <pageSetup scale="5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79998168889431442"/>
  </sheetPr>
  <dimension ref="A1:G38"/>
  <sheetViews>
    <sheetView workbookViewId="0">
      <selection activeCell="F51" sqref="F51"/>
    </sheetView>
  </sheetViews>
  <sheetFormatPr baseColWidth="10" defaultColWidth="9.140625" defaultRowHeight="12.75"/>
  <cols>
    <col min="2" max="2" width="9.140625" style="4" customWidth="1"/>
    <col min="4" max="4" width="5.5703125" customWidth="1"/>
    <col min="5" max="5" width="12.7109375" customWidth="1"/>
    <col min="6" max="6" width="13.140625" customWidth="1"/>
    <col min="7" max="7" width="10" style="4" customWidth="1"/>
    <col min="8" max="8" width="11.85546875" customWidth="1"/>
    <col min="9" max="9" width="11.42578125" customWidth="1"/>
  </cols>
  <sheetData>
    <row r="1" spans="1:7" ht="13.5" thickBot="1">
      <c r="A1" s="184" t="s">
        <v>336</v>
      </c>
      <c r="B1" s="40"/>
    </row>
    <row r="2" spans="1:7" ht="13.5" thickBot="1"/>
    <row r="3" spans="1:7">
      <c r="A3" s="77" t="s">
        <v>272</v>
      </c>
      <c r="B3" s="493" t="s">
        <v>272</v>
      </c>
      <c r="C3" s="82" t="s">
        <v>337</v>
      </c>
      <c r="E3" s="1030" t="s">
        <v>339</v>
      </c>
      <c r="F3" s="79"/>
      <c r="G3" s="82"/>
    </row>
    <row r="4" spans="1:7" ht="13.5" thickBot="1">
      <c r="A4" s="280" t="s">
        <v>22</v>
      </c>
      <c r="B4" s="26" t="s">
        <v>22</v>
      </c>
      <c r="C4" s="193" t="s">
        <v>22</v>
      </c>
      <c r="E4" s="577" t="s">
        <v>338</v>
      </c>
      <c r="F4" s="691">
        <v>1204.7</v>
      </c>
      <c r="G4" s="494" t="s">
        <v>22</v>
      </c>
    </row>
    <row r="5" spans="1:7" ht="13.5" thickBot="1">
      <c r="A5" s="70">
        <v>0</v>
      </c>
      <c r="B5" s="62">
        <f>1.004*A5</f>
        <v>0</v>
      </c>
      <c r="C5" s="1187" t="s">
        <v>360</v>
      </c>
      <c r="E5" s="1028" t="s">
        <v>340</v>
      </c>
      <c r="F5" s="856">
        <f>LOOKUP(F4,B5:B38,C5:C38)</f>
        <v>1200</v>
      </c>
      <c r="G5" s="1029" t="s">
        <v>22</v>
      </c>
    </row>
    <row r="6" spans="1:7">
      <c r="A6" s="72">
        <v>1</v>
      </c>
      <c r="B6" s="683">
        <f t="shared" ref="B6:B38" si="0">1.004*A6</f>
        <v>1.004</v>
      </c>
      <c r="C6" s="15">
        <v>5</v>
      </c>
    </row>
    <row r="7" spans="1:7">
      <c r="A7" s="72">
        <v>5</v>
      </c>
      <c r="B7" s="683">
        <f t="shared" si="0"/>
        <v>5.0199999999999996</v>
      </c>
      <c r="C7" s="15">
        <v>10</v>
      </c>
    </row>
    <row r="8" spans="1:7">
      <c r="A8" s="72">
        <v>10</v>
      </c>
      <c r="B8" s="683">
        <f t="shared" si="0"/>
        <v>10.039999999999999</v>
      </c>
      <c r="C8" s="15">
        <v>15</v>
      </c>
    </row>
    <row r="9" spans="1:7">
      <c r="A9" s="72">
        <v>15</v>
      </c>
      <c r="B9" s="683">
        <f t="shared" si="0"/>
        <v>15.06</v>
      </c>
      <c r="C9" s="15">
        <v>20</v>
      </c>
    </row>
    <row r="10" spans="1:7">
      <c r="A10" s="72">
        <v>20</v>
      </c>
      <c r="B10" s="683">
        <f t="shared" si="0"/>
        <v>20.079999999999998</v>
      </c>
      <c r="C10" s="15">
        <v>25</v>
      </c>
    </row>
    <row r="11" spans="1:7">
      <c r="A11" s="72">
        <v>25</v>
      </c>
      <c r="B11" s="683">
        <f t="shared" si="0"/>
        <v>25.1</v>
      </c>
      <c r="C11" s="15">
        <v>30</v>
      </c>
    </row>
    <row r="12" spans="1:7">
      <c r="A12" s="72">
        <v>30</v>
      </c>
      <c r="B12" s="683">
        <f>1.004*A12</f>
        <v>30.12</v>
      </c>
      <c r="C12" s="15">
        <v>40</v>
      </c>
    </row>
    <row r="13" spans="1:7">
      <c r="A13" s="72">
        <v>40</v>
      </c>
      <c r="B13" s="683">
        <f t="shared" si="0"/>
        <v>40.159999999999997</v>
      </c>
      <c r="C13" s="15">
        <v>50</v>
      </c>
    </row>
    <row r="14" spans="1:7">
      <c r="A14" s="72">
        <v>50</v>
      </c>
      <c r="B14" s="683">
        <f t="shared" si="0"/>
        <v>50.2</v>
      </c>
      <c r="C14" s="15">
        <v>60</v>
      </c>
    </row>
    <row r="15" spans="1:7">
      <c r="A15" s="72">
        <v>60</v>
      </c>
      <c r="B15" s="683">
        <f t="shared" si="0"/>
        <v>60.24</v>
      </c>
      <c r="C15" s="15">
        <v>60</v>
      </c>
    </row>
    <row r="16" spans="1:7">
      <c r="A16" s="72">
        <v>63</v>
      </c>
      <c r="B16" s="683">
        <f t="shared" si="0"/>
        <v>63.252000000000002</v>
      </c>
      <c r="C16" s="15">
        <v>70</v>
      </c>
    </row>
    <row r="17" spans="1:3">
      <c r="A17" s="72">
        <v>70</v>
      </c>
      <c r="B17" s="683">
        <f t="shared" si="0"/>
        <v>70.28</v>
      </c>
      <c r="C17" s="15">
        <v>80</v>
      </c>
    </row>
    <row r="18" spans="1:3">
      <c r="A18" s="72">
        <v>80</v>
      </c>
      <c r="B18" s="683">
        <f t="shared" si="0"/>
        <v>80.319999999999993</v>
      </c>
      <c r="C18" s="15">
        <v>90</v>
      </c>
    </row>
    <row r="19" spans="1:3">
      <c r="A19" s="72">
        <v>90</v>
      </c>
      <c r="B19" s="683">
        <f t="shared" si="0"/>
        <v>90.36</v>
      </c>
      <c r="C19" s="15">
        <v>100</v>
      </c>
    </row>
    <row r="20" spans="1:3">
      <c r="A20" s="72">
        <v>100</v>
      </c>
      <c r="B20" s="683">
        <f t="shared" si="0"/>
        <v>100.4</v>
      </c>
      <c r="C20" s="15">
        <v>110</v>
      </c>
    </row>
    <row r="21" spans="1:3">
      <c r="A21" s="72">
        <v>110</v>
      </c>
      <c r="B21" s="683">
        <f t="shared" si="0"/>
        <v>110.44</v>
      </c>
      <c r="C21" s="15">
        <v>125</v>
      </c>
    </row>
    <row r="22" spans="1:3">
      <c r="A22" s="72">
        <v>125</v>
      </c>
      <c r="B22" s="683">
        <f t="shared" si="0"/>
        <v>125.5</v>
      </c>
      <c r="C22" s="15">
        <v>150</v>
      </c>
    </row>
    <row r="23" spans="1:3">
      <c r="A23" s="72">
        <v>150</v>
      </c>
      <c r="B23" s="683">
        <f t="shared" si="0"/>
        <v>150.6</v>
      </c>
      <c r="C23" s="15">
        <v>175</v>
      </c>
    </row>
    <row r="24" spans="1:3">
      <c r="A24" s="72">
        <v>175</v>
      </c>
      <c r="B24" s="683">
        <f t="shared" si="0"/>
        <v>175.7</v>
      </c>
      <c r="C24" s="15">
        <v>200</v>
      </c>
    </row>
    <row r="25" spans="1:3">
      <c r="A25" s="72">
        <v>200</v>
      </c>
      <c r="B25" s="683">
        <f t="shared" si="0"/>
        <v>200.8</v>
      </c>
      <c r="C25" s="15">
        <v>225</v>
      </c>
    </row>
    <row r="26" spans="1:3">
      <c r="A26" s="72">
        <v>225</v>
      </c>
      <c r="B26" s="683">
        <f t="shared" si="0"/>
        <v>225.9</v>
      </c>
      <c r="C26" s="15">
        <v>250</v>
      </c>
    </row>
    <row r="27" spans="1:3">
      <c r="A27" s="72">
        <v>250</v>
      </c>
      <c r="B27" s="683">
        <f t="shared" si="0"/>
        <v>251</v>
      </c>
      <c r="C27" s="15">
        <v>300</v>
      </c>
    </row>
    <row r="28" spans="1:3">
      <c r="A28" s="72">
        <v>300</v>
      </c>
      <c r="B28" s="683">
        <f t="shared" si="0"/>
        <v>301.2</v>
      </c>
      <c r="C28" s="15">
        <v>350</v>
      </c>
    </row>
    <row r="29" spans="1:3">
      <c r="A29" s="72">
        <v>350</v>
      </c>
      <c r="B29" s="683">
        <f t="shared" si="0"/>
        <v>351.4</v>
      </c>
      <c r="C29" s="15">
        <v>400</v>
      </c>
    </row>
    <row r="30" spans="1:3">
      <c r="A30" s="72">
        <v>400</v>
      </c>
      <c r="B30" s="683">
        <f t="shared" si="0"/>
        <v>401.6</v>
      </c>
      <c r="C30" s="15">
        <v>450</v>
      </c>
    </row>
    <row r="31" spans="1:3">
      <c r="A31" s="72">
        <v>450</v>
      </c>
      <c r="B31" s="683">
        <f t="shared" si="0"/>
        <v>451.8</v>
      </c>
      <c r="C31" s="15">
        <v>500</v>
      </c>
    </row>
    <row r="32" spans="1:3">
      <c r="A32" s="72">
        <v>500</v>
      </c>
      <c r="B32" s="683">
        <f t="shared" si="0"/>
        <v>502</v>
      </c>
      <c r="C32" s="15">
        <v>600</v>
      </c>
    </row>
    <row r="33" spans="1:3">
      <c r="A33" s="72">
        <v>600</v>
      </c>
      <c r="B33" s="683">
        <f t="shared" si="0"/>
        <v>602.4</v>
      </c>
      <c r="C33" s="15">
        <v>700</v>
      </c>
    </row>
    <row r="34" spans="1:3">
      <c r="A34" s="72">
        <v>700</v>
      </c>
      <c r="B34" s="683">
        <f t="shared" si="0"/>
        <v>702.8</v>
      </c>
      <c r="C34" s="15">
        <v>800</v>
      </c>
    </row>
    <row r="35" spans="1:3">
      <c r="A35" s="72">
        <v>800</v>
      </c>
      <c r="B35" s="683">
        <f t="shared" si="0"/>
        <v>803.2</v>
      </c>
      <c r="C35" s="15">
        <v>900</v>
      </c>
    </row>
    <row r="36" spans="1:3">
      <c r="A36" s="72">
        <v>900</v>
      </c>
      <c r="B36" s="683">
        <f t="shared" si="0"/>
        <v>903.6</v>
      </c>
      <c r="C36" s="15">
        <v>1000</v>
      </c>
    </row>
    <row r="37" spans="1:3">
      <c r="A37" s="72">
        <v>1000</v>
      </c>
      <c r="B37" s="683">
        <f t="shared" si="0"/>
        <v>1004</v>
      </c>
      <c r="C37" s="15">
        <v>1200</v>
      </c>
    </row>
    <row r="38" spans="1:3" ht="13.5" thickBot="1">
      <c r="A38" s="75">
        <v>1200</v>
      </c>
      <c r="B38" s="1188">
        <f t="shared" si="0"/>
        <v>1204.8</v>
      </c>
      <c r="C38" s="1045" t="s">
        <v>360</v>
      </c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</sheetPr>
  <dimension ref="A1:W54"/>
  <sheetViews>
    <sheetView topLeftCell="A4" workbookViewId="0">
      <selection activeCell="Y55" sqref="Y55"/>
    </sheetView>
  </sheetViews>
  <sheetFormatPr baseColWidth="10" defaultColWidth="9.140625" defaultRowHeight="18"/>
  <cols>
    <col min="1" max="1" width="9.140625" style="597" customWidth="1"/>
    <col min="3" max="3" width="5.85546875" style="4" customWidth="1"/>
    <col min="4" max="4" width="4.7109375" style="4" customWidth="1"/>
    <col min="5" max="5" width="5.42578125" style="598" customWidth="1"/>
    <col min="6" max="6" width="12.42578125" customWidth="1"/>
    <col min="7" max="7" width="8" customWidth="1"/>
    <col min="8" max="10" width="4.7109375" customWidth="1"/>
    <col min="11" max="13" width="8.42578125" style="4" customWidth="1"/>
    <col min="14" max="14" width="9.140625" style="4" customWidth="1"/>
    <col min="19" max="21" width="4.7109375" customWidth="1"/>
    <col min="22" max="22" width="7.28515625" style="623" customWidth="1"/>
  </cols>
  <sheetData>
    <row r="1" spans="1:23" ht="12.6" customHeight="1" thickBot="1">
      <c r="A1" s="595" t="s">
        <v>154</v>
      </c>
      <c r="B1" s="2" t="s">
        <v>15</v>
      </c>
      <c r="C1" s="480" t="s">
        <v>155</v>
      </c>
      <c r="D1" s="480" t="s">
        <v>156</v>
      </c>
      <c r="E1" s="601" t="s">
        <v>157</v>
      </c>
      <c r="F1" s="588" t="s">
        <v>248</v>
      </c>
      <c r="G1" s="600" t="s">
        <v>158</v>
      </c>
      <c r="H1" s="52" t="s">
        <v>70</v>
      </c>
      <c r="I1" s="52" t="s">
        <v>69</v>
      </c>
      <c r="J1" s="52" t="s">
        <v>243</v>
      </c>
      <c r="K1" s="594" t="s">
        <v>244</v>
      </c>
      <c r="L1" s="594" t="s">
        <v>245</v>
      </c>
      <c r="M1" s="594" t="s">
        <v>246</v>
      </c>
      <c r="N1" s="594" t="s">
        <v>247</v>
      </c>
      <c r="P1" s="612" t="s">
        <v>52</v>
      </c>
      <c r="Q1" s="615" t="s">
        <v>250</v>
      </c>
      <c r="R1" s="614" t="s">
        <v>72</v>
      </c>
      <c r="S1" s="613" t="s">
        <v>69</v>
      </c>
      <c r="T1" s="613" t="s">
        <v>70</v>
      </c>
      <c r="U1" s="610" t="s">
        <v>243</v>
      </c>
      <c r="V1" s="616" t="s">
        <v>249</v>
      </c>
      <c r="W1" s="624" t="s">
        <v>251</v>
      </c>
    </row>
    <row r="2" spans="1:23" ht="14.25">
      <c r="A2" s="596" t="s">
        <v>173</v>
      </c>
      <c r="B2" s="602" t="s">
        <v>181</v>
      </c>
      <c r="C2" s="591">
        <v>1000</v>
      </c>
      <c r="D2" s="481">
        <f t="shared" ref="D2:D33" si="0">0.0002930711*C2</f>
        <v>0.29307109999999997</v>
      </c>
      <c r="E2" s="603">
        <v>12</v>
      </c>
      <c r="F2" s="52" t="s">
        <v>175</v>
      </c>
      <c r="G2" s="591" t="s">
        <v>161</v>
      </c>
      <c r="H2" s="52">
        <v>17.5</v>
      </c>
      <c r="I2" s="52">
        <v>12.5</v>
      </c>
      <c r="J2" s="594">
        <v>11</v>
      </c>
      <c r="K2" s="3">
        <f t="shared" ref="K2:K33" si="1">IF(AND(H2&lt;30,I2&lt;24,J2&lt;16),450,"N/A")</f>
        <v>450</v>
      </c>
      <c r="L2" s="3">
        <f t="shared" ref="L2:L33" si="2">IF(AND(H2&lt;48,I2&lt;24,J2&lt;16),600,"N/A")</f>
        <v>600</v>
      </c>
      <c r="M2" s="3">
        <f t="shared" ref="M2:M33" si="3">IF(AND(H2&lt;48,I2&lt;34,J2&lt;29),800,"NA")</f>
        <v>800</v>
      </c>
      <c r="N2" s="3">
        <f t="shared" ref="N2:N33" si="4">IF(AND(H2&lt;72,I2&lt;36,J2&lt;30),1250,"N/A")</f>
        <v>1250</v>
      </c>
      <c r="P2" s="605">
        <v>400</v>
      </c>
      <c r="Q2" s="606">
        <v>5</v>
      </c>
      <c r="R2" s="607">
        <v>450</v>
      </c>
      <c r="S2" s="608">
        <v>24</v>
      </c>
      <c r="T2" s="609">
        <v>30</v>
      </c>
      <c r="U2" s="609">
        <v>16</v>
      </c>
      <c r="V2" s="617">
        <v>336.98910999999993</v>
      </c>
      <c r="W2" s="359">
        <v>699.48910999999987</v>
      </c>
    </row>
    <row r="3" spans="1:23" ht="14.25">
      <c r="A3" s="596" t="s">
        <v>159</v>
      </c>
      <c r="B3" s="602" t="s">
        <v>160</v>
      </c>
      <c r="C3" s="3">
        <v>1200</v>
      </c>
      <c r="D3" s="481">
        <f t="shared" si="0"/>
        <v>0.35168531999999997</v>
      </c>
      <c r="E3" s="603">
        <v>12</v>
      </c>
      <c r="F3" s="52" t="s">
        <v>226</v>
      </c>
      <c r="G3" s="3" t="s">
        <v>161</v>
      </c>
      <c r="H3" s="52">
        <v>13</v>
      </c>
      <c r="I3" s="52">
        <v>14.76</v>
      </c>
      <c r="J3" s="594">
        <v>7.5</v>
      </c>
      <c r="K3" s="3">
        <f t="shared" si="1"/>
        <v>450</v>
      </c>
      <c r="L3" s="3">
        <f t="shared" si="2"/>
        <v>600</v>
      </c>
      <c r="M3" s="3">
        <f t="shared" si="3"/>
        <v>800</v>
      </c>
      <c r="N3" s="3">
        <f t="shared" si="4"/>
        <v>1250</v>
      </c>
      <c r="P3" s="66">
        <v>400</v>
      </c>
      <c r="Q3" s="68">
        <v>9</v>
      </c>
      <c r="R3" s="489">
        <v>450</v>
      </c>
      <c r="S3" s="25">
        <v>24</v>
      </c>
      <c r="T3" s="3">
        <v>30</v>
      </c>
      <c r="U3" s="3">
        <v>16</v>
      </c>
      <c r="V3" s="618">
        <v>824.92541599999981</v>
      </c>
      <c r="W3" s="56">
        <v>1187.4254159999998</v>
      </c>
    </row>
    <row r="4" spans="1:23" ht="14.25">
      <c r="A4" s="596" t="s">
        <v>162</v>
      </c>
      <c r="B4" s="602" t="s">
        <v>237</v>
      </c>
      <c r="C4" s="3">
        <v>1600</v>
      </c>
      <c r="D4" s="481">
        <f t="shared" si="0"/>
        <v>0.46891375999999996</v>
      </c>
      <c r="E4" s="604" t="s">
        <v>163</v>
      </c>
      <c r="F4" s="52" t="s">
        <v>238</v>
      </c>
      <c r="G4" s="3" t="s">
        <v>161</v>
      </c>
      <c r="H4" s="52">
        <v>23</v>
      </c>
      <c r="I4" s="52">
        <v>10</v>
      </c>
      <c r="J4" s="52">
        <v>8.75</v>
      </c>
      <c r="K4" s="3">
        <f t="shared" si="1"/>
        <v>450</v>
      </c>
      <c r="L4" s="3">
        <f t="shared" si="2"/>
        <v>600</v>
      </c>
      <c r="M4" s="3">
        <f t="shared" si="3"/>
        <v>800</v>
      </c>
      <c r="N4" s="3">
        <f t="shared" si="4"/>
        <v>1250</v>
      </c>
      <c r="P4" s="370">
        <v>400</v>
      </c>
      <c r="Q4" s="371">
        <v>18</v>
      </c>
      <c r="R4" s="538">
        <v>600</v>
      </c>
      <c r="S4" s="378">
        <v>24</v>
      </c>
      <c r="T4" s="385">
        <v>48</v>
      </c>
      <c r="U4" s="385">
        <v>16</v>
      </c>
      <c r="V4" s="619">
        <v>1824.8508319999996</v>
      </c>
      <c r="W4" s="380">
        <v>2374.8508319999996</v>
      </c>
    </row>
    <row r="5" spans="1:23" ht="14.25">
      <c r="A5" s="596" t="s">
        <v>162</v>
      </c>
      <c r="B5" s="602">
        <v>518</v>
      </c>
      <c r="C5" s="3">
        <v>1800</v>
      </c>
      <c r="D5" s="481">
        <f t="shared" si="0"/>
        <v>0.52752798000000001</v>
      </c>
      <c r="E5" s="603">
        <v>12</v>
      </c>
      <c r="F5" s="52" t="s">
        <v>239</v>
      </c>
      <c r="G5" s="3" t="s">
        <v>161</v>
      </c>
      <c r="H5" s="52">
        <v>17.75</v>
      </c>
      <c r="I5" s="52">
        <v>12</v>
      </c>
      <c r="J5" s="594">
        <v>8.75</v>
      </c>
      <c r="K5" s="3">
        <f t="shared" si="1"/>
        <v>450</v>
      </c>
      <c r="L5" s="3">
        <f t="shared" si="2"/>
        <v>600</v>
      </c>
      <c r="M5" s="3">
        <f t="shared" si="3"/>
        <v>800</v>
      </c>
      <c r="N5" s="3">
        <f t="shared" si="4"/>
        <v>1250</v>
      </c>
      <c r="P5" s="66">
        <v>400</v>
      </c>
      <c r="Q5" s="68">
        <v>27</v>
      </c>
      <c r="R5" s="489">
        <v>600</v>
      </c>
      <c r="S5" s="25">
        <v>24</v>
      </c>
      <c r="T5" s="3">
        <v>48</v>
      </c>
      <c r="U5" s="3">
        <v>16</v>
      </c>
      <c r="V5" s="618">
        <v>3012.2762479999997</v>
      </c>
      <c r="W5" s="56">
        <v>3562.2762479999997</v>
      </c>
    </row>
    <row r="6" spans="1:23" ht="14.25">
      <c r="A6" s="596" t="s">
        <v>173</v>
      </c>
      <c r="B6" s="602" t="s">
        <v>182</v>
      </c>
      <c r="C6" s="3">
        <v>2000</v>
      </c>
      <c r="D6" s="481">
        <f t="shared" si="0"/>
        <v>0.58614219999999995</v>
      </c>
      <c r="E6" s="603">
        <v>12</v>
      </c>
      <c r="F6" s="52" t="s">
        <v>175</v>
      </c>
      <c r="G6" s="3" t="s">
        <v>161</v>
      </c>
      <c r="H6" s="52">
        <v>17.5</v>
      </c>
      <c r="I6" s="52">
        <v>12.5</v>
      </c>
      <c r="J6" s="594">
        <v>11</v>
      </c>
      <c r="K6" s="3">
        <f t="shared" si="1"/>
        <v>450</v>
      </c>
      <c r="L6" s="3">
        <f t="shared" si="2"/>
        <v>600</v>
      </c>
      <c r="M6" s="3">
        <f t="shared" si="3"/>
        <v>800</v>
      </c>
      <c r="N6" s="3">
        <f t="shared" si="4"/>
        <v>1250</v>
      </c>
      <c r="P6" s="388">
        <v>400</v>
      </c>
      <c r="Q6" s="389">
        <v>36</v>
      </c>
      <c r="R6" s="539">
        <v>600</v>
      </c>
      <c r="S6" s="396">
        <v>24</v>
      </c>
      <c r="T6" s="403">
        <v>48</v>
      </c>
      <c r="U6" s="403">
        <v>16</v>
      </c>
      <c r="V6" s="620">
        <v>4199.7016639999993</v>
      </c>
      <c r="W6" s="398">
        <v>4749.7016639999993</v>
      </c>
    </row>
    <row r="7" spans="1:23" ht="14.25">
      <c r="A7" s="596" t="s">
        <v>173</v>
      </c>
      <c r="B7" s="602" t="s">
        <v>183</v>
      </c>
      <c r="C7" s="3">
        <v>2000</v>
      </c>
      <c r="D7" s="481">
        <f t="shared" si="0"/>
        <v>0.58614219999999995</v>
      </c>
      <c r="E7" s="603">
        <v>12</v>
      </c>
      <c r="F7" s="52" t="s">
        <v>176</v>
      </c>
      <c r="G7" s="3" t="s">
        <v>161</v>
      </c>
      <c r="H7" s="52">
        <v>28</v>
      </c>
      <c r="I7" s="52">
        <v>12.5</v>
      </c>
      <c r="J7" s="594">
        <v>11</v>
      </c>
      <c r="K7" s="3">
        <f t="shared" si="1"/>
        <v>450</v>
      </c>
      <c r="L7" s="3">
        <f t="shared" si="2"/>
        <v>600</v>
      </c>
      <c r="M7" s="3">
        <f t="shared" si="3"/>
        <v>800</v>
      </c>
      <c r="N7" s="3">
        <f t="shared" si="4"/>
        <v>1250</v>
      </c>
      <c r="P7" s="66">
        <v>400</v>
      </c>
      <c r="Q7" s="68">
        <v>41</v>
      </c>
      <c r="R7" s="489">
        <v>600</v>
      </c>
      <c r="S7" s="25">
        <v>24</v>
      </c>
      <c r="T7" s="3">
        <v>48</v>
      </c>
      <c r="U7" s="3">
        <v>16</v>
      </c>
      <c r="V7" s="618">
        <v>4848.0086439999995</v>
      </c>
      <c r="W7" s="56">
        <v>5398.0086439999995</v>
      </c>
    </row>
    <row r="8" spans="1:23" ht="14.25">
      <c r="A8" s="596" t="s">
        <v>159</v>
      </c>
      <c r="B8" s="602" t="s">
        <v>164</v>
      </c>
      <c r="C8" s="3">
        <v>2000</v>
      </c>
      <c r="D8" s="481">
        <f t="shared" si="0"/>
        <v>0.58614219999999995</v>
      </c>
      <c r="E8" s="603">
        <v>12</v>
      </c>
      <c r="F8" s="52" t="s">
        <v>224</v>
      </c>
      <c r="G8" s="3" t="s">
        <v>161</v>
      </c>
      <c r="H8" s="52">
        <v>17.5</v>
      </c>
      <c r="I8" s="52">
        <v>12.5</v>
      </c>
      <c r="J8" s="594">
        <v>10</v>
      </c>
      <c r="K8" s="3">
        <f t="shared" si="1"/>
        <v>450</v>
      </c>
      <c r="L8" s="3">
        <f t="shared" si="2"/>
        <v>600</v>
      </c>
      <c r="M8" s="3">
        <f t="shared" si="3"/>
        <v>800</v>
      </c>
      <c r="N8" s="3">
        <f t="shared" si="4"/>
        <v>1250</v>
      </c>
      <c r="P8" s="350">
        <v>400</v>
      </c>
      <c r="Q8" s="351">
        <v>45</v>
      </c>
      <c r="R8" s="537">
        <v>600</v>
      </c>
      <c r="S8" s="28">
        <v>24</v>
      </c>
      <c r="T8" s="27">
        <v>48</v>
      </c>
      <c r="U8" s="27">
        <v>16</v>
      </c>
      <c r="V8" s="621">
        <v>5489.4913399999996</v>
      </c>
      <c r="W8" s="359">
        <v>6039.4913399999996</v>
      </c>
    </row>
    <row r="9" spans="1:23" ht="14.25">
      <c r="A9" s="596" t="s">
        <v>159</v>
      </c>
      <c r="B9" s="602" t="s">
        <v>165</v>
      </c>
      <c r="C9" s="3">
        <v>2000</v>
      </c>
      <c r="D9" s="481">
        <f t="shared" si="0"/>
        <v>0.58614219999999995</v>
      </c>
      <c r="E9" s="604" t="s">
        <v>163</v>
      </c>
      <c r="F9" s="52" t="s">
        <v>225</v>
      </c>
      <c r="G9" s="3" t="s">
        <v>161</v>
      </c>
      <c r="H9" s="52">
        <v>19.5</v>
      </c>
      <c r="I9" s="52">
        <v>15.1</v>
      </c>
      <c r="J9" s="594">
        <v>15.1</v>
      </c>
      <c r="K9" s="3">
        <f t="shared" si="1"/>
        <v>450</v>
      </c>
      <c r="L9" s="3">
        <f t="shared" si="2"/>
        <v>600</v>
      </c>
      <c r="M9" s="3">
        <f t="shared" si="3"/>
        <v>800</v>
      </c>
      <c r="N9" s="3">
        <f t="shared" si="4"/>
        <v>1250</v>
      </c>
      <c r="P9" s="66">
        <v>400</v>
      </c>
      <c r="Q9" s="68">
        <v>54</v>
      </c>
      <c r="R9" s="489">
        <v>600</v>
      </c>
      <c r="S9" s="25">
        <v>24</v>
      </c>
      <c r="T9" s="3">
        <v>48</v>
      </c>
      <c r="U9" s="3">
        <v>16</v>
      </c>
      <c r="V9" s="618">
        <v>6574.5524959999993</v>
      </c>
      <c r="W9" s="56">
        <v>7124.5524959999993</v>
      </c>
    </row>
    <row r="10" spans="1:23" ht="14.25">
      <c r="A10" s="596" t="s">
        <v>162</v>
      </c>
      <c r="B10" s="602" t="s">
        <v>242</v>
      </c>
      <c r="C10" s="3">
        <v>2200</v>
      </c>
      <c r="D10" s="481">
        <f t="shared" si="0"/>
        <v>0.64475642</v>
      </c>
      <c r="E10" s="604" t="s">
        <v>163</v>
      </c>
      <c r="F10" s="52" t="s">
        <v>235</v>
      </c>
      <c r="G10" s="3" t="s">
        <v>161</v>
      </c>
      <c r="H10" s="52">
        <v>29.5</v>
      </c>
      <c r="I10" s="52">
        <v>15.75</v>
      </c>
      <c r="J10" s="594">
        <v>8.75</v>
      </c>
      <c r="K10" s="3">
        <f t="shared" si="1"/>
        <v>450</v>
      </c>
      <c r="L10" s="3">
        <f t="shared" si="2"/>
        <v>600</v>
      </c>
      <c r="M10" s="3">
        <f t="shared" si="3"/>
        <v>800</v>
      </c>
      <c r="N10" s="3">
        <f t="shared" si="4"/>
        <v>1250</v>
      </c>
      <c r="P10" s="370">
        <v>400</v>
      </c>
      <c r="Q10" s="371">
        <v>63</v>
      </c>
      <c r="R10" s="538">
        <v>800</v>
      </c>
      <c r="S10" s="378">
        <v>34</v>
      </c>
      <c r="T10" s="385">
        <v>48</v>
      </c>
      <c r="U10" s="385">
        <v>28</v>
      </c>
      <c r="V10" s="619">
        <v>7515.3838386666657</v>
      </c>
      <c r="W10" s="380">
        <v>8414.3421719999988</v>
      </c>
    </row>
    <row r="11" spans="1:23" ht="14.25">
      <c r="A11" s="596" t="s">
        <v>173</v>
      </c>
      <c r="B11" s="602" t="s">
        <v>202</v>
      </c>
      <c r="C11" s="3">
        <v>3000</v>
      </c>
      <c r="D11" s="481">
        <f t="shared" si="0"/>
        <v>0.87921329999999998</v>
      </c>
      <c r="E11" s="604" t="s">
        <v>163</v>
      </c>
      <c r="F11" s="52" t="s">
        <v>201</v>
      </c>
      <c r="G11" s="3" t="s">
        <v>161</v>
      </c>
      <c r="H11" s="52">
        <v>21.25</v>
      </c>
      <c r="I11" s="52">
        <v>12</v>
      </c>
      <c r="J11" s="594">
        <v>12.5</v>
      </c>
      <c r="K11" s="3">
        <f t="shared" si="1"/>
        <v>450</v>
      </c>
      <c r="L11" s="3">
        <f t="shared" si="2"/>
        <v>600</v>
      </c>
      <c r="M11" s="3">
        <f t="shared" si="3"/>
        <v>800</v>
      </c>
      <c r="N11" s="3">
        <f t="shared" si="4"/>
        <v>1250</v>
      </c>
      <c r="P11" s="66">
        <v>400</v>
      </c>
      <c r="Q11" s="68">
        <v>72</v>
      </c>
      <c r="R11" s="489">
        <v>800</v>
      </c>
      <c r="S11" s="25">
        <v>34</v>
      </c>
      <c r="T11" s="3">
        <v>48</v>
      </c>
      <c r="U11" s="3">
        <v>28</v>
      </c>
      <c r="V11" s="618">
        <v>8600.4449946666646</v>
      </c>
      <c r="W11" s="56">
        <v>9499.4033279999985</v>
      </c>
    </row>
    <row r="12" spans="1:23" ht="14.25">
      <c r="A12" s="596" t="s">
        <v>173</v>
      </c>
      <c r="B12" s="602" t="s">
        <v>185</v>
      </c>
      <c r="C12" s="3">
        <v>4000</v>
      </c>
      <c r="D12" s="481">
        <f t="shared" si="0"/>
        <v>1.1722843999999999</v>
      </c>
      <c r="E12" s="603">
        <v>12</v>
      </c>
      <c r="F12" s="52" t="s">
        <v>176</v>
      </c>
      <c r="G12" s="3" t="s">
        <v>161</v>
      </c>
      <c r="H12" s="52">
        <v>28</v>
      </c>
      <c r="I12" s="52">
        <v>12.5</v>
      </c>
      <c r="J12" s="594">
        <v>11</v>
      </c>
      <c r="K12" s="3">
        <f t="shared" si="1"/>
        <v>450</v>
      </c>
      <c r="L12" s="3">
        <f t="shared" si="2"/>
        <v>600</v>
      </c>
      <c r="M12" s="3">
        <f t="shared" si="3"/>
        <v>800</v>
      </c>
      <c r="N12" s="3">
        <f t="shared" si="4"/>
        <v>1250</v>
      </c>
      <c r="P12" s="388">
        <v>400</v>
      </c>
      <c r="Q12" s="389">
        <v>81</v>
      </c>
      <c r="R12" s="539">
        <v>800</v>
      </c>
      <c r="S12" s="396">
        <v>34</v>
      </c>
      <c r="T12" s="403">
        <v>48</v>
      </c>
      <c r="U12" s="403">
        <v>28</v>
      </c>
      <c r="V12" s="620">
        <v>9685.5061506666661</v>
      </c>
      <c r="W12" s="398">
        <v>10584.464484</v>
      </c>
    </row>
    <row r="13" spans="1:23" ht="14.25">
      <c r="A13" s="596" t="s">
        <v>162</v>
      </c>
      <c r="B13" s="602">
        <v>540</v>
      </c>
      <c r="C13" s="3">
        <v>4000</v>
      </c>
      <c r="D13" s="481">
        <f t="shared" si="0"/>
        <v>1.1722843999999999</v>
      </c>
      <c r="E13" s="603">
        <v>12</v>
      </c>
      <c r="F13" s="52" t="s">
        <v>236</v>
      </c>
      <c r="G13" s="3" t="s">
        <v>161</v>
      </c>
      <c r="H13" s="52">
        <v>28.5</v>
      </c>
      <c r="I13" s="52">
        <v>17</v>
      </c>
      <c r="J13" s="594">
        <v>11.5</v>
      </c>
      <c r="K13" s="3">
        <f t="shared" si="1"/>
        <v>450</v>
      </c>
      <c r="L13" s="3">
        <f t="shared" si="2"/>
        <v>600</v>
      </c>
      <c r="M13" s="3">
        <f t="shared" si="3"/>
        <v>800</v>
      </c>
      <c r="N13" s="3">
        <f t="shared" si="4"/>
        <v>1250</v>
      </c>
      <c r="P13" s="66">
        <v>400</v>
      </c>
      <c r="Q13" s="68">
        <v>108</v>
      </c>
      <c r="R13" s="489">
        <v>800</v>
      </c>
      <c r="S13" s="25">
        <v>34</v>
      </c>
      <c r="T13" s="3">
        <v>48</v>
      </c>
      <c r="U13" s="3">
        <v>28</v>
      </c>
      <c r="V13" s="618">
        <v>13350.146658666665</v>
      </c>
      <c r="W13" s="56">
        <v>14249.104991999999</v>
      </c>
    </row>
    <row r="14" spans="1:23" ht="14.25">
      <c r="A14" s="596" t="s">
        <v>162</v>
      </c>
      <c r="B14" s="602" t="s">
        <v>234</v>
      </c>
      <c r="C14" s="3">
        <v>4000</v>
      </c>
      <c r="D14" s="481">
        <f t="shared" si="0"/>
        <v>1.1722843999999999</v>
      </c>
      <c r="E14" s="604" t="s">
        <v>163</v>
      </c>
      <c r="F14" s="52" t="s">
        <v>235</v>
      </c>
      <c r="G14" s="3" t="s">
        <v>161</v>
      </c>
      <c r="H14" s="52">
        <v>29.5</v>
      </c>
      <c r="I14" s="52">
        <v>15.75</v>
      </c>
      <c r="J14" s="594">
        <v>8.75</v>
      </c>
      <c r="K14" s="3">
        <f t="shared" si="1"/>
        <v>450</v>
      </c>
      <c r="L14" s="3">
        <f t="shared" si="2"/>
        <v>600</v>
      </c>
      <c r="M14" s="3">
        <f t="shared" si="3"/>
        <v>800</v>
      </c>
      <c r="N14" s="3">
        <f t="shared" si="4"/>
        <v>1250</v>
      </c>
      <c r="P14" s="350">
        <v>400</v>
      </c>
      <c r="Q14" s="351">
        <v>135</v>
      </c>
      <c r="R14" s="537">
        <v>800</v>
      </c>
      <c r="S14" s="28">
        <v>34</v>
      </c>
      <c r="T14" s="27">
        <v>48</v>
      </c>
      <c r="U14" s="27">
        <v>28</v>
      </c>
      <c r="V14" s="621">
        <v>16810.058646666668</v>
      </c>
      <c r="W14" s="359">
        <v>17709.01698</v>
      </c>
    </row>
    <row r="15" spans="1:23" ht="14.25">
      <c r="A15" s="596" t="s">
        <v>159</v>
      </c>
      <c r="B15" s="602" t="s">
        <v>169</v>
      </c>
      <c r="C15" s="3">
        <v>4500</v>
      </c>
      <c r="D15" s="481">
        <f t="shared" si="0"/>
        <v>1.31881995</v>
      </c>
      <c r="E15" s="603">
        <v>12</v>
      </c>
      <c r="F15" s="52" t="s">
        <v>230</v>
      </c>
      <c r="G15" s="599" t="s">
        <v>166</v>
      </c>
      <c r="H15" s="52">
        <v>16</v>
      </c>
      <c r="I15" s="52">
        <v>23.75</v>
      </c>
      <c r="J15" s="594">
        <v>15.5</v>
      </c>
      <c r="K15" s="3">
        <f t="shared" si="1"/>
        <v>450</v>
      </c>
      <c r="L15" s="3">
        <f t="shared" si="2"/>
        <v>600</v>
      </c>
      <c r="M15" s="3">
        <f t="shared" si="3"/>
        <v>800</v>
      </c>
      <c r="N15" s="3">
        <f t="shared" si="4"/>
        <v>1250</v>
      </c>
      <c r="P15" s="66">
        <v>400</v>
      </c>
      <c r="Q15" s="68">
        <v>144</v>
      </c>
      <c r="R15" s="489">
        <v>800</v>
      </c>
      <c r="S15" s="25">
        <v>34</v>
      </c>
      <c r="T15" s="3">
        <v>48</v>
      </c>
      <c r="U15" s="3">
        <v>28</v>
      </c>
      <c r="V15" s="618">
        <v>18099.848322666665</v>
      </c>
      <c r="W15" s="56">
        <v>18998.806655999997</v>
      </c>
    </row>
    <row r="16" spans="1:23" ht="14.25">
      <c r="A16" s="596" t="s">
        <v>173</v>
      </c>
      <c r="B16" s="602" t="s">
        <v>205</v>
      </c>
      <c r="C16" s="591">
        <v>1000</v>
      </c>
      <c r="D16" s="481">
        <f t="shared" si="0"/>
        <v>0.29307109999999997</v>
      </c>
      <c r="E16" s="604" t="s">
        <v>163</v>
      </c>
      <c r="F16" s="52" t="s">
        <v>203</v>
      </c>
      <c r="G16" s="591" t="s">
        <v>161</v>
      </c>
      <c r="H16" s="52">
        <v>32.25</v>
      </c>
      <c r="I16" s="52">
        <v>14.5</v>
      </c>
      <c r="J16" s="52">
        <v>13</v>
      </c>
      <c r="K16" s="3" t="str">
        <f t="shared" si="1"/>
        <v>N/A</v>
      </c>
      <c r="L16" s="3">
        <f t="shared" si="2"/>
        <v>600</v>
      </c>
      <c r="M16" s="3">
        <f t="shared" si="3"/>
        <v>800</v>
      </c>
      <c r="N16" s="3">
        <f t="shared" si="4"/>
        <v>1250</v>
      </c>
      <c r="P16" s="370">
        <v>400</v>
      </c>
      <c r="Q16" s="371">
        <v>180</v>
      </c>
      <c r="R16" s="538">
        <v>1250</v>
      </c>
      <c r="S16" s="378">
        <v>38</v>
      </c>
      <c r="T16" s="385">
        <v>70</v>
      </c>
      <c r="U16" s="385">
        <v>28</v>
      </c>
      <c r="V16" s="619">
        <v>22202.113133333332</v>
      </c>
      <c r="W16" s="380">
        <v>23543.7798</v>
      </c>
    </row>
    <row r="17" spans="1:23" ht="14.25">
      <c r="A17" s="596" t="s">
        <v>173</v>
      </c>
      <c r="B17" s="602" t="s">
        <v>184</v>
      </c>
      <c r="C17" s="3">
        <v>2000</v>
      </c>
      <c r="D17" s="481">
        <f t="shared" si="0"/>
        <v>0.58614219999999995</v>
      </c>
      <c r="E17" s="603">
        <v>12</v>
      </c>
      <c r="F17" s="52" t="s">
        <v>178</v>
      </c>
      <c r="G17" s="3" t="s">
        <v>161</v>
      </c>
      <c r="H17" s="52">
        <v>32.75</v>
      </c>
      <c r="I17" s="52">
        <v>12.5</v>
      </c>
      <c r="J17" s="594">
        <v>11</v>
      </c>
      <c r="K17" s="3" t="str">
        <f t="shared" si="1"/>
        <v>N/A</v>
      </c>
      <c r="L17" s="3">
        <f t="shared" si="2"/>
        <v>600</v>
      </c>
      <c r="M17" s="3">
        <f t="shared" si="3"/>
        <v>800</v>
      </c>
      <c r="N17" s="3">
        <f t="shared" si="4"/>
        <v>1250</v>
      </c>
      <c r="P17" s="66">
        <v>400</v>
      </c>
      <c r="Q17" s="68">
        <v>216</v>
      </c>
      <c r="R17" s="489">
        <v>1250</v>
      </c>
      <c r="S17" s="25">
        <v>38</v>
      </c>
      <c r="T17" s="3">
        <v>70</v>
      </c>
      <c r="U17" s="3">
        <v>28</v>
      </c>
      <c r="V17" s="618">
        <v>26951.814797333333</v>
      </c>
      <c r="W17" s="56">
        <v>28293.481464</v>
      </c>
    </row>
    <row r="18" spans="1:23" ht="15" thickBot="1">
      <c r="A18" s="596" t="s">
        <v>173</v>
      </c>
      <c r="B18" s="602" t="s">
        <v>204</v>
      </c>
      <c r="C18" s="591">
        <v>2000</v>
      </c>
      <c r="D18" s="481">
        <f t="shared" si="0"/>
        <v>0.58614219999999995</v>
      </c>
      <c r="E18" s="604" t="s">
        <v>163</v>
      </c>
      <c r="F18" s="52" t="s">
        <v>203</v>
      </c>
      <c r="G18" s="591" t="s">
        <v>161</v>
      </c>
      <c r="H18" s="52">
        <v>32.25</v>
      </c>
      <c r="I18" s="52">
        <v>14.5</v>
      </c>
      <c r="J18" s="594">
        <v>13</v>
      </c>
      <c r="K18" s="3" t="str">
        <f t="shared" si="1"/>
        <v>N/A</v>
      </c>
      <c r="L18" s="3">
        <f t="shared" si="2"/>
        <v>600</v>
      </c>
      <c r="M18" s="3">
        <f t="shared" si="3"/>
        <v>800</v>
      </c>
      <c r="N18" s="3">
        <f t="shared" si="4"/>
        <v>1250</v>
      </c>
      <c r="P18" s="406"/>
      <c r="Q18" s="69"/>
      <c r="R18" s="540"/>
      <c r="S18" s="413"/>
      <c r="T18" s="422"/>
      <c r="U18" s="422"/>
      <c r="V18" s="622"/>
      <c r="W18" s="415"/>
    </row>
    <row r="19" spans="1:23" ht="14.25">
      <c r="A19" s="596" t="s">
        <v>162</v>
      </c>
      <c r="B19" s="602" t="s">
        <v>241</v>
      </c>
      <c r="C19" s="3">
        <v>2200</v>
      </c>
      <c r="D19" s="481">
        <f t="shared" si="0"/>
        <v>0.64475642</v>
      </c>
      <c r="E19" s="603">
        <v>12</v>
      </c>
      <c r="F19" s="52" t="s">
        <v>240</v>
      </c>
      <c r="G19" s="599" t="s">
        <v>166</v>
      </c>
      <c r="H19" s="52">
        <v>10.25</v>
      </c>
      <c r="I19" s="52">
        <v>17</v>
      </c>
      <c r="J19" s="594">
        <v>21</v>
      </c>
      <c r="K19" s="3" t="str">
        <f t="shared" si="1"/>
        <v>N/A</v>
      </c>
      <c r="L19" s="3" t="str">
        <f t="shared" si="2"/>
        <v>N/A</v>
      </c>
      <c r="M19" s="3">
        <f t="shared" si="3"/>
        <v>800</v>
      </c>
      <c r="N19" s="3">
        <f t="shared" si="4"/>
        <v>1250</v>
      </c>
    </row>
    <row r="20" spans="1:23" ht="15" thickBot="1">
      <c r="A20" s="596" t="s">
        <v>173</v>
      </c>
      <c r="B20" s="602" t="s">
        <v>206</v>
      </c>
      <c r="C20" s="591">
        <v>3000</v>
      </c>
      <c r="D20" s="481">
        <f t="shared" si="0"/>
        <v>0.87921329999999998</v>
      </c>
      <c r="E20" s="604" t="s">
        <v>163</v>
      </c>
      <c r="F20" s="52" t="s">
        <v>203</v>
      </c>
      <c r="G20" s="591" t="s">
        <v>161</v>
      </c>
      <c r="H20" s="52">
        <v>32.25</v>
      </c>
      <c r="I20" s="52">
        <v>14.5</v>
      </c>
      <c r="J20" s="594">
        <v>13</v>
      </c>
      <c r="K20" s="3" t="str">
        <f t="shared" si="1"/>
        <v>N/A</v>
      </c>
      <c r="L20" s="3">
        <f t="shared" si="2"/>
        <v>600</v>
      </c>
      <c r="M20" s="3">
        <f t="shared" si="3"/>
        <v>800</v>
      </c>
      <c r="N20" s="3">
        <f t="shared" si="4"/>
        <v>1250</v>
      </c>
    </row>
    <row r="21" spans="1:23" ht="15" thickBot="1">
      <c r="A21" s="596" t="s">
        <v>159</v>
      </c>
      <c r="B21" s="602" t="s">
        <v>167</v>
      </c>
      <c r="C21" s="3">
        <v>3500</v>
      </c>
      <c r="D21" s="481">
        <f t="shared" si="0"/>
        <v>1.0257488499999998</v>
      </c>
      <c r="E21" s="603">
        <v>12</v>
      </c>
      <c r="F21" s="52" t="s">
        <v>227</v>
      </c>
      <c r="G21" s="3" t="s">
        <v>161</v>
      </c>
      <c r="H21" s="52">
        <v>36</v>
      </c>
      <c r="I21" s="52">
        <v>15.5</v>
      </c>
      <c r="J21" s="594">
        <v>8</v>
      </c>
      <c r="K21" s="3" t="str">
        <f t="shared" si="1"/>
        <v>N/A</v>
      </c>
      <c r="L21" s="3">
        <f t="shared" si="2"/>
        <v>600</v>
      </c>
      <c r="M21" s="3">
        <f t="shared" si="3"/>
        <v>800</v>
      </c>
      <c r="N21" s="3">
        <f t="shared" si="4"/>
        <v>1250</v>
      </c>
      <c r="P21" s="612" t="s">
        <v>52</v>
      </c>
      <c r="Q21" s="615" t="s">
        <v>250</v>
      </c>
      <c r="R21" s="614" t="s">
        <v>72</v>
      </c>
      <c r="S21" s="613" t="s">
        <v>69</v>
      </c>
      <c r="T21" s="613" t="s">
        <v>70</v>
      </c>
      <c r="U21" s="610" t="s">
        <v>243</v>
      </c>
      <c r="V21" s="616" t="s">
        <v>249</v>
      </c>
    </row>
    <row r="22" spans="1:23" ht="14.25">
      <c r="A22" s="596" t="s">
        <v>173</v>
      </c>
      <c r="B22" s="602" t="s">
        <v>186</v>
      </c>
      <c r="C22" s="3">
        <v>4000</v>
      </c>
      <c r="D22" s="481">
        <f t="shared" si="0"/>
        <v>1.1722843999999999</v>
      </c>
      <c r="E22" s="603">
        <v>12</v>
      </c>
      <c r="F22" s="52" t="s">
        <v>178</v>
      </c>
      <c r="G22" s="3" t="s">
        <v>161</v>
      </c>
      <c r="H22" s="52">
        <v>32.75</v>
      </c>
      <c r="I22" s="52">
        <v>12.5</v>
      </c>
      <c r="J22" s="594">
        <v>11</v>
      </c>
      <c r="K22" s="3" t="str">
        <f t="shared" si="1"/>
        <v>N/A</v>
      </c>
      <c r="L22" s="3">
        <f t="shared" si="2"/>
        <v>600</v>
      </c>
      <c r="M22" s="3">
        <f t="shared" si="3"/>
        <v>800</v>
      </c>
      <c r="N22" s="3">
        <f t="shared" si="4"/>
        <v>1250</v>
      </c>
      <c r="P22" s="605">
        <v>600</v>
      </c>
      <c r="Q22" s="606">
        <v>5</v>
      </c>
      <c r="R22" s="611">
        <v>450</v>
      </c>
      <c r="S22" s="608">
        <v>24</v>
      </c>
      <c r="T22" s="609">
        <v>30</v>
      </c>
      <c r="U22" s="609">
        <v>16</v>
      </c>
      <c r="V22" s="617">
        <v>592.89976000000001</v>
      </c>
      <c r="W22" s="617">
        <v>955.39976000000001</v>
      </c>
    </row>
    <row r="23" spans="1:23" ht="14.25">
      <c r="A23" s="596" t="s">
        <v>173</v>
      </c>
      <c r="B23" s="602" t="s">
        <v>187</v>
      </c>
      <c r="C23" s="3">
        <v>4000</v>
      </c>
      <c r="D23" s="481">
        <f t="shared" si="0"/>
        <v>1.1722843999999999</v>
      </c>
      <c r="E23" s="603">
        <v>12</v>
      </c>
      <c r="F23" s="52" t="s">
        <v>179</v>
      </c>
      <c r="G23" s="3" t="s">
        <v>161</v>
      </c>
      <c r="H23" s="52">
        <v>36.75</v>
      </c>
      <c r="I23" s="52">
        <v>15.5</v>
      </c>
      <c r="J23" s="594">
        <v>11</v>
      </c>
      <c r="K23" s="3" t="str">
        <f t="shared" si="1"/>
        <v>N/A</v>
      </c>
      <c r="L23" s="3">
        <f t="shared" si="2"/>
        <v>600</v>
      </c>
      <c r="M23" s="3">
        <f t="shared" si="3"/>
        <v>800</v>
      </c>
      <c r="N23" s="3">
        <f t="shared" si="4"/>
        <v>1250</v>
      </c>
      <c r="P23" s="66">
        <v>600</v>
      </c>
      <c r="Q23" s="68">
        <v>9</v>
      </c>
      <c r="R23" s="58">
        <v>450</v>
      </c>
      <c r="S23" s="25">
        <v>24</v>
      </c>
      <c r="T23" s="3">
        <v>30</v>
      </c>
      <c r="U23" s="3">
        <v>16</v>
      </c>
      <c r="V23" s="618">
        <v>1336.7467159999999</v>
      </c>
      <c r="W23" s="618">
        <v>1699.2467159999999</v>
      </c>
    </row>
    <row r="24" spans="1:23" ht="14.25">
      <c r="A24" s="596" t="s">
        <v>173</v>
      </c>
      <c r="B24" s="602" t="s">
        <v>188</v>
      </c>
      <c r="C24" s="3">
        <v>4000</v>
      </c>
      <c r="D24" s="481">
        <f t="shared" si="0"/>
        <v>1.1722843999999999</v>
      </c>
      <c r="E24" s="603">
        <v>12</v>
      </c>
      <c r="F24" s="52" t="s">
        <v>180</v>
      </c>
      <c r="G24" s="3" t="s">
        <v>161</v>
      </c>
      <c r="H24" s="52">
        <v>47.25</v>
      </c>
      <c r="I24" s="52">
        <v>15.5</v>
      </c>
      <c r="J24" s="594">
        <v>13.5</v>
      </c>
      <c r="K24" s="3" t="str">
        <f t="shared" si="1"/>
        <v>N/A</v>
      </c>
      <c r="L24" s="3">
        <f t="shared" si="2"/>
        <v>600</v>
      </c>
      <c r="M24" s="3">
        <f t="shared" si="3"/>
        <v>800</v>
      </c>
      <c r="N24" s="3">
        <f t="shared" si="4"/>
        <v>1250</v>
      </c>
      <c r="P24" s="370">
        <v>600</v>
      </c>
      <c r="Q24" s="371">
        <v>18</v>
      </c>
      <c r="R24" s="384">
        <v>600</v>
      </c>
      <c r="S24" s="378">
        <v>24</v>
      </c>
      <c r="T24" s="385">
        <v>48</v>
      </c>
      <c r="U24" s="385">
        <v>16</v>
      </c>
      <c r="V24" s="619">
        <v>2848.4934319999998</v>
      </c>
      <c r="W24" s="619">
        <v>3398.4934319999998</v>
      </c>
    </row>
    <row r="25" spans="1:23" ht="14.25">
      <c r="A25" s="596" t="s">
        <v>173</v>
      </c>
      <c r="B25" s="602" t="s">
        <v>207</v>
      </c>
      <c r="C25" s="591">
        <v>4000</v>
      </c>
      <c r="D25" s="481">
        <f t="shared" si="0"/>
        <v>1.1722843999999999</v>
      </c>
      <c r="E25" s="604" t="s">
        <v>163</v>
      </c>
      <c r="F25" s="52" t="s">
        <v>203</v>
      </c>
      <c r="G25" s="591" t="s">
        <v>161</v>
      </c>
      <c r="H25" s="52">
        <v>32.25</v>
      </c>
      <c r="I25" s="52">
        <v>14.5</v>
      </c>
      <c r="J25" s="594">
        <v>13</v>
      </c>
      <c r="K25" s="3" t="str">
        <f t="shared" si="1"/>
        <v>N/A</v>
      </c>
      <c r="L25" s="3">
        <f t="shared" si="2"/>
        <v>600</v>
      </c>
      <c r="M25" s="3">
        <f t="shared" si="3"/>
        <v>800</v>
      </c>
      <c r="N25" s="3">
        <f t="shared" si="4"/>
        <v>1250</v>
      </c>
      <c r="P25" s="66">
        <v>600</v>
      </c>
      <c r="Q25" s="68">
        <v>27</v>
      </c>
      <c r="R25" s="58">
        <v>600</v>
      </c>
      <c r="S25" s="25">
        <v>24</v>
      </c>
      <c r="T25" s="3">
        <v>48</v>
      </c>
      <c r="U25" s="3">
        <v>16</v>
      </c>
      <c r="V25" s="618">
        <v>4547.7401479999999</v>
      </c>
      <c r="W25" s="618">
        <v>5097.7401479999999</v>
      </c>
    </row>
    <row r="26" spans="1:23" ht="14.25">
      <c r="A26" s="596" t="s">
        <v>173</v>
      </c>
      <c r="B26" s="602" t="s">
        <v>208</v>
      </c>
      <c r="C26" s="591">
        <v>4000</v>
      </c>
      <c r="D26" s="481">
        <f t="shared" si="0"/>
        <v>1.1722843999999999</v>
      </c>
      <c r="E26" s="604" t="s">
        <v>163</v>
      </c>
      <c r="F26" s="52" t="s">
        <v>209</v>
      </c>
      <c r="G26" s="591" t="s">
        <v>161</v>
      </c>
      <c r="H26" s="52">
        <v>37.75</v>
      </c>
      <c r="I26" s="52">
        <v>18.75</v>
      </c>
      <c r="J26" s="594">
        <v>18</v>
      </c>
      <c r="K26" s="3" t="str">
        <f t="shared" si="1"/>
        <v>N/A</v>
      </c>
      <c r="L26" s="3" t="str">
        <f t="shared" si="2"/>
        <v>N/A</v>
      </c>
      <c r="M26" s="3">
        <f t="shared" si="3"/>
        <v>800</v>
      </c>
      <c r="N26" s="3">
        <f t="shared" si="4"/>
        <v>1250</v>
      </c>
      <c r="P26" s="388">
        <v>600</v>
      </c>
      <c r="Q26" s="389">
        <v>36</v>
      </c>
      <c r="R26" s="402">
        <v>600</v>
      </c>
      <c r="S26" s="396">
        <v>24</v>
      </c>
      <c r="T26" s="403">
        <v>48</v>
      </c>
      <c r="U26" s="403">
        <v>16</v>
      </c>
      <c r="V26" s="620">
        <v>6246.9868639999995</v>
      </c>
      <c r="W26" s="620">
        <v>6796.9868639999995</v>
      </c>
    </row>
    <row r="27" spans="1:23" ht="14.25">
      <c r="A27" s="596" t="s">
        <v>173</v>
      </c>
      <c r="B27" s="602" t="s">
        <v>223</v>
      </c>
      <c r="C27" s="591">
        <v>4000</v>
      </c>
      <c r="D27" s="481">
        <f t="shared" si="0"/>
        <v>1.1722843999999999</v>
      </c>
      <c r="E27" s="604" t="s">
        <v>163</v>
      </c>
      <c r="F27" s="52" t="s">
        <v>217</v>
      </c>
      <c r="G27" s="591" t="s">
        <v>161</v>
      </c>
      <c r="H27" s="52">
        <v>47</v>
      </c>
      <c r="I27" s="52">
        <v>18.75</v>
      </c>
      <c r="J27" s="594">
        <v>18</v>
      </c>
      <c r="K27" s="3" t="str">
        <f t="shared" si="1"/>
        <v>N/A</v>
      </c>
      <c r="L27" s="3" t="str">
        <f t="shared" si="2"/>
        <v>N/A</v>
      </c>
      <c r="M27" s="3">
        <f t="shared" si="3"/>
        <v>800</v>
      </c>
      <c r="N27" s="3">
        <f t="shared" si="4"/>
        <v>1250</v>
      </c>
      <c r="P27" s="66">
        <v>600</v>
      </c>
      <c r="Q27" s="68">
        <v>41</v>
      </c>
      <c r="R27" s="58">
        <v>600</v>
      </c>
      <c r="S27" s="25">
        <v>24</v>
      </c>
      <c r="T27" s="3">
        <v>48</v>
      </c>
      <c r="U27" s="3">
        <v>16</v>
      </c>
      <c r="V27" s="618">
        <v>7304.7508839999973</v>
      </c>
      <c r="W27" s="618">
        <v>7854.7508839999973</v>
      </c>
    </row>
    <row r="28" spans="1:23" ht="14.25">
      <c r="A28" s="596" t="s">
        <v>173</v>
      </c>
      <c r="B28" s="602" t="s">
        <v>210</v>
      </c>
      <c r="C28" s="591">
        <v>5000</v>
      </c>
      <c r="D28" s="481">
        <f t="shared" si="0"/>
        <v>1.4653554999999998</v>
      </c>
      <c r="E28" s="604" t="s">
        <v>163</v>
      </c>
      <c r="F28" s="52" t="s">
        <v>209</v>
      </c>
      <c r="G28" s="591" t="s">
        <v>161</v>
      </c>
      <c r="H28" s="52">
        <v>37.75</v>
      </c>
      <c r="I28" s="52">
        <v>18.75</v>
      </c>
      <c r="J28" s="594">
        <v>18</v>
      </c>
      <c r="K28" s="3" t="str">
        <f t="shared" si="1"/>
        <v>N/A</v>
      </c>
      <c r="L28" s="3" t="str">
        <f t="shared" si="2"/>
        <v>N/A</v>
      </c>
      <c r="M28" s="3">
        <f t="shared" si="3"/>
        <v>800</v>
      </c>
      <c r="N28" s="3">
        <f t="shared" si="4"/>
        <v>1250</v>
      </c>
      <c r="P28" s="350">
        <v>600</v>
      </c>
      <c r="Q28" s="351">
        <v>45</v>
      </c>
      <c r="R28" s="363">
        <v>600</v>
      </c>
      <c r="S28" s="28">
        <v>24</v>
      </c>
      <c r="T28" s="27">
        <v>48</v>
      </c>
      <c r="U28" s="27">
        <v>16</v>
      </c>
      <c r="V28" s="621">
        <v>7946.2335800000001</v>
      </c>
      <c r="W28" s="621">
        <v>8496.2335800000001</v>
      </c>
    </row>
    <row r="29" spans="1:23" ht="14.25">
      <c r="A29" s="596" t="s">
        <v>173</v>
      </c>
      <c r="B29" s="602" t="s">
        <v>222</v>
      </c>
      <c r="C29" s="591">
        <v>5000</v>
      </c>
      <c r="D29" s="481">
        <f t="shared" si="0"/>
        <v>1.4653554999999998</v>
      </c>
      <c r="E29" s="604" t="s">
        <v>163</v>
      </c>
      <c r="F29" s="52" t="s">
        <v>217</v>
      </c>
      <c r="G29" s="591" t="s">
        <v>161</v>
      </c>
      <c r="H29" s="52">
        <v>47</v>
      </c>
      <c r="I29" s="52">
        <v>18.75</v>
      </c>
      <c r="J29" s="594">
        <v>18</v>
      </c>
      <c r="K29" s="3" t="str">
        <f t="shared" si="1"/>
        <v>N/A</v>
      </c>
      <c r="L29" s="3" t="str">
        <f t="shared" si="2"/>
        <v>N/A</v>
      </c>
      <c r="M29" s="3">
        <f t="shared" si="3"/>
        <v>800</v>
      </c>
      <c r="N29" s="3">
        <f t="shared" si="4"/>
        <v>1250</v>
      </c>
      <c r="P29" s="66">
        <v>600</v>
      </c>
      <c r="Q29" s="68">
        <v>54</v>
      </c>
      <c r="R29" s="58">
        <v>800</v>
      </c>
      <c r="S29" s="25">
        <v>34</v>
      </c>
      <c r="T29" s="3">
        <v>48</v>
      </c>
      <c r="U29" s="3">
        <v>28</v>
      </c>
      <c r="V29" s="287">
        <v>9296.5219626666658</v>
      </c>
      <c r="W29" s="287">
        <v>10195.480296</v>
      </c>
    </row>
    <row r="30" spans="1:23" ht="14.25">
      <c r="A30" s="596" t="s">
        <v>173</v>
      </c>
      <c r="B30" s="602" t="s">
        <v>189</v>
      </c>
      <c r="C30" s="3">
        <v>6000</v>
      </c>
      <c r="D30" s="481">
        <f t="shared" si="0"/>
        <v>1.7584266</v>
      </c>
      <c r="E30" s="603">
        <v>12</v>
      </c>
      <c r="F30" s="52" t="s">
        <v>179</v>
      </c>
      <c r="G30" s="3" t="s">
        <v>161</v>
      </c>
      <c r="H30" s="52">
        <v>36.75</v>
      </c>
      <c r="I30" s="52">
        <v>15.5</v>
      </c>
      <c r="J30" s="594">
        <v>11</v>
      </c>
      <c r="K30" s="3" t="str">
        <f t="shared" si="1"/>
        <v>N/A</v>
      </c>
      <c r="L30" s="3">
        <f t="shared" si="2"/>
        <v>600</v>
      </c>
      <c r="M30" s="3">
        <f t="shared" si="3"/>
        <v>800</v>
      </c>
      <c r="N30" s="3">
        <f t="shared" si="4"/>
        <v>1250</v>
      </c>
      <c r="P30" s="370">
        <v>600</v>
      </c>
      <c r="Q30" s="371">
        <v>63</v>
      </c>
      <c r="R30" s="384">
        <v>800</v>
      </c>
      <c r="S30" s="378">
        <v>34</v>
      </c>
      <c r="T30" s="385">
        <v>48</v>
      </c>
      <c r="U30" s="385">
        <v>28</v>
      </c>
      <c r="V30" s="619">
        <v>10995.768678666667</v>
      </c>
      <c r="W30" s="619">
        <v>11894.727012000001</v>
      </c>
    </row>
    <row r="31" spans="1:23" ht="14.25">
      <c r="A31" s="596" t="s">
        <v>173</v>
      </c>
      <c r="B31" s="602" t="s">
        <v>190</v>
      </c>
      <c r="C31" s="3">
        <v>6000</v>
      </c>
      <c r="D31" s="481">
        <f t="shared" si="0"/>
        <v>1.7584266</v>
      </c>
      <c r="E31" s="603">
        <v>12</v>
      </c>
      <c r="F31" s="52" t="s">
        <v>180</v>
      </c>
      <c r="G31" s="3" t="s">
        <v>161</v>
      </c>
      <c r="H31" s="52">
        <v>47.25</v>
      </c>
      <c r="I31" s="52">
        <v>15.5</v>
      </c>
      <c r="J31" s="594">
        <v>13.5</v>
      </c>
      <c r="K31" s="3" t="str">
        <f t="shared" si="1"/>
        <v>N/A</v>
      </c>
      <c r="L31" s="3">
        <f t="shared" si="2"/>
        <v>600</v>
      </c>
      <c r="M31" s="3">
        <f t="shared" si="3"/>
        <v>800</v>
      </c>
      <c r="N31" s="3">
        <f t="shared" si="4"/>
        <v>1250</v>
      </c>
      <c r="P31" s="66">
        <v>600</v>
      </c>
      <c r="Q31" s="68">
        <v>72</v>
      </c>
      <c r="R31" s="58">
        <v>800</v>
      </c>
      <c r="S31" s="25">
        <v>34</v>
      </c>
      <c r="T31" s="3">
        <v>48</v>
      </c>
      <c r="U31" s="3">
        <v>28</v>
      </c>
      <c r="V31" s="618">
        <v>12695.015394666665</v>
      </c>
      <c r="W31" s="618">
        <v>13593.973727999999</v>
      </c>
    </row>
    <row r="32" spans="1:23" ht="14.25">
      <c r="A32" s="596" t="s">
        <v>173</v>
      </c>
      <c r="B32" s="602" t="s">
        <v>211</v>
      </c>
      <c r="C32" s="591">
        <v>6000</v>
      </c>
      <c r="D32" s="481">
        <f t="shared" si="0"/>
        <v>1.7584266</v>
      </c>
      <c r="E32" s="604" t="s">
        <v>163</v>
      </c>
      <c r="F32" s="52" t="s">
        <v>209</v>
      </c>
      <c r="G32" s="591" t="s">
        <v>161</v>
      </c>
      <c r="H32" s="52">
        <v>37.75</v>
      </c>
      <c r="I32" s="52">
        <v>18.75</v>
      </c>
      <c r="J32" s="594">
        <v>18</v>
      </c>
      <c r="K32" s="3" t="str">
        <f t="shared" si="1"/>
        <v>N/A</v>
      </c>
      <c r="L32" s="3" t="str">
        <f t="shared" si="2"/>
        <v>N/A</v>
      </c>
      <c r="M32" s="3">
        <f t="shared" si="3"/>
        <v>800</v>
      </c>
      <c r="N32" s="3">
        <f t="shared" si="4"/>
        <v>1250</v>
      </c>
      <c r="P32" s="388">
        <v>600</v>
      </c>
      <c r="Q32" s="389">
        <v>81</v>
      </c>
      <c r="R32" s="402">
        <v>800</v>
      </c>
      <c r="S32" s="396">
        <v>34</v>
      </c>
      <c r="T32" s="403">
        <v>48</v>
      </c>
      <c r="U32" s="403">
        <v>28</v>
      </c>
      <c r="V32" s="620">
        <v>14394.262110666665</v>
      </c>
      <c r="W32" s="620">
        <v>15293.220443999999</v>
      </c>
    </row>
    <row r="33" spans="1:23" ht="14.25">
      <c r="A33" s="596" t="s">
        <v>173</v>
      </c>
      <c r="B33" s="602" t="s">
        <v>221</v>
      </c>
      <c r="C33" s="591">
        <v>6000</v>
      </c>
      <c r="D33" s="481">
        <f t="shared" si="0"/>
        <v>1.7584266</v>
      </c>
      <c r="E33" s="604" t="s">
        <v>163</v>
      </c>
      <c r="F33" s="52" t="s">
        <v>217</v>
      </c>
      <c r="G33" s="591" t="s">
        <v>161</v>
      </c>
      <c r="H33" s="52">
        <v>47</v>
      </c>
      <c r="I33" s="52">
        <v>18.75</v>
      </c>
      <c r="J33" s="594">
        <v>18</v>
      </c>
      <c r="K33" s="3" t="str">
        <f t="shared" si="1"/>
        <v>N/A</v>
      </c>
      <c r="L33" s="3" t="str">
        <f t="shared" si="2"/>
        <v>N/A</v>
      </c>
      <c r="M33" s="3">
        <f t="shared" si="3"/>
        <v>800</v>
      </c>
      <c r="N33" s="3">
        <f t="shared" si="4"/>
        <v>1250</v>
      </c>
      <c r="P33" s="66">
        <v>600</v>
      </c>
      <c r="Q33" s="68">
        <v>108</v>
      </c>
      <c r="R33" s="58">
        <v>800</v>
      </c>
      <c r="S33" s="25">
        <v>34</v>
      </c>
      <c r="T33" s="3">
        <v>48</v>
      </c>
      <c r="U33" s="3">
        <v>28</v>
      </c>
      <c r="V33" s="618">
        <v>19492.002258666667</v>
      </c>
      <c r="W33" s="618">
        <v>20390.960591999999</v>
      </c>
    </row>
    <row r="34" spans="1:23" ht="14.25">
      <c r="A34" s="596" t="s">
        <v>162</v>
      </c>
      <c r="B34" s="602">
        <v>560</v>
      </c>
      <c r="C34" s="3">
        <v>6000</v>
      </c>
      <c r="D34" s="481">
        <f t="shared" ref="D34:D54" si="5">0.0002930711*C34</f>
        <v>1.7584266</v>
      </c>
      <c r="E34" s="603">
        <v>12</v>
      </c>
      <c r="F34" s="52" t="s">
        <v>233</v>
      </c>
      <c r="G34" s="3" t="s">
        <v>161</v>
      </c>
      <c r="H34" s="52">
        <v>38.75</v>
      </c>
      <c r="I34" s="52">
        <v>15</v>
      </c>
      <c r="J34" s="594">
        <v>11.5</v>
      </c>
      <c r="K34" s="3" t="str">
        <f t="shared" ref="K34:K54" si="6">IF(AND(H34&lt;30,I34&lt;24,J34&lt;16),450,"N/A")</f>
        <v>N/A</v>
      </c>
      <c r="L34" s="3">
        <f t="shared" ref="L34:L54" si="7">IF(AND(H34&lt;48,I34&lt;24,J34&lt;16),600,"N/A")</f>
        <v>600</v>
      </c>
      <c r="M34" s="3">
        <f t="shared" ref="M34:M54" si="8">IF(AND(H34&lt;48,I34&lt;34,J34&lt;29),800,"NA")</f>
        <v>800</v>
      </c>
      <c r="N34" s="3">
        <f t="shared" ref="N34:N54" si="9">IF(AND(H34&lt;72,I34&lt;36,J34&lt;30),1250,"N/A")</f>
        <v>1250</v>
      </c>
      <c r="P34" s="350">
        <v>600</v>
      </c>
      <c r="Q34" s="351">
        <v>135</v>
      </c>
      <c r="R34" s="363">
        <v>800</v>
      </c>
      <c r="S34" s="28">
        <v>34</v>
      </c>
      <c r="T34" s="27">
        <v>48</v>
      </c>
      <c r="U34" s="27">
        <v>28</v>
      </c>
      <c r="V34" s="621">
        <v>24589.742406666664</v>
      </c>
      <c r="W34" s="621">
        <v>25488.700739999997</v>
      </c>
    </row>
    <row r="35" spans="1:23" ht="14.25">
      <c r="A35" s="596" t="s">
        <v>159</v>
      </c>
      <c r="B35" s="602" t="s">
        <v>170</v>
      </c>
      <c r="C35" s="3">
        <v>6000</v>
      </c>
      <c r="D35" s="481">
        <f t="shared" si="5"/>
        <v>1.7584266</v>
      </c>
      <c r="E35" s="603">
        <v>12</v>
      </c>
      <c r="F35" s="52" t="s">
        <v>229</v>
      </c>
      <c r="G35" s="3" t="s">
        <v>161</v>
      </c>
      <c r="H35" s="52">
        <v>53.15</v>
      </c>
      <c r="I35" s="52">
        <v>15.5</v>
      </c>
      <c r="J35" s="594">
        <v>8</v>
      </c>
      <c r="K35" s="3" t="str">
        <f t="shared" si="6"/>
        <v>N/A</v>
      </c>
      <c r="L35" s="3" t="str">
        <f t="shared" si="7"/>
        <v>N/A</v>
      </c>
      <c r="M35" s="3" t="str">
        <f t="shared" si="8"/>
        <v>NA</v>
      </c>
      <c r="N35" s="3">
        <f t="shared" si="9"/>
        <v>1250</v>
      </c>
      <c r="P35" s="66">
        <v>600</v>
      </c>
      <c r="Q35" s="68">
        <v>144</v>
      </c>
      <c r="R35" s="58">
        <v>800</v>
      </c>
      <c r="S35" s="25">
        <v>34</v>
      </c>
      <c r="T35" s="3">
        <v>48</v>
      </c>
      <c r="U35" s="3">
        <v>28</v>
      </c>
      <c r="V35" s="618">
        <v>26288.989122666666</v>
      </c>
      <c r="W35" s="618">
        <v>27187.947455999998</v>
      </c>
    </row>
    <row r="36" spans="1:23" ht="14.25">
      <c r="A36" s="596" t="s">
        <v>173</v>
      </c>
      <c r="B36" s="602" t="s">
        <v>212</v>
      </c>
      <c r="C36" s="591">
        <v>7000</v>
      </c>
      <c r="D36" s="481">
        <f t="shared" si="5"/>
        <v>2.0514976999999996</v>
      </c>
      <c r="E36" s="604" t="s">
        <v>163</v>
      </c>
      <c r="F36" s="52" t="s">
        <v>209</v>
      </c>
      <c r="G36" s="591" t="s">
        <v>161</v>
      </c>
      <c r="H36" s="52">
        <v>37.75</v>
      </c>
      <c r="I36" s="52">
        <v>18.75</v>
      </c>
      <c r="J36" s="594">
        <v>18</v>
      </c>
      <c r="K36" s="3" t="str">
        <f t="shared" si="6"/>
        <v>N/A</v>
      </c>
      <c r="L36" s="3" t="str">
        <f t="shared" si="7"/>
        <v>N/A</v>
      </c>
      <c r="M36" s="3">
        <f t="shared" si="8"/>
        <v>800</v>
      </c>
      <c r="N36" s="3">
        <f t="shared" si="9"/>
        <v>1250</v>
      </c>
      <c r="P36" s="370">
        <v>600</v>
      </c>
      <c r="Q36" s="371">
        <v>180</v>
      </c>
      <c r="R36" s="384">
        <v>1250</v>
      </c>
      <c r="S36" s="378">
        <v>38</v>
      </c>
      <c r="T36" s="385">
        <v>70</v>
      </c>
      <c r="U36" s="385">
        <v>28</v>
      </c>
      <c r="V36" s="619">
        <v>32643.267653333332</v>
      </c>
      <c r="W36" s="619">
        <v>33984.93432</v>
      </c>
    </row>
    <row r="37" spans="1:23" ht="14.25">
      <c r="A37" s="596" t="s">
        <v>173</v>
      </c>
      <c r="B37" s="602" t="s">
        <v>220</v>
      </c>
      <c r="C37" s="591">
        <v>7000</v>
      </c>
      <c r="D37" s="481">
        <f t="shared" si="5"/>
        <v>2.0514976999999996</v>
      </c>
      <c r="E37" s="604" t="s">
        <v>163</v>
      </c>
      <c r="F37" s="52" t="s">
        <v>217</v>
      </c>
      <c r="G37" s="591" t="s">
        <v>161</v>
      </c>
      <c r="H37" s="52">
        <v>47</v>
      </c>
      <c r="I37" s="52">
        <v>18.75</v>
      </c>
      <c r="J37" s="594">
        <v>18</v>
      </c>
      <c r="K37" s="3" t="str">
        <f t="shared" si="6"/>
        <v>N/A</v>
      </c>
      <c r="L37" s="3" t="str">
        <f t="shared" si="7"/>
        <v>N/A</v>
      </c>
      <c r="M37" s="3">
        <f t="shared" si="8"/>
        <v>800</v>
      </c>
      <c r="N37" s="3">
        <f t="shared" si="9"/>
        <v>1250</v>
      </c>
      <c r="P37" s="66">
        <v>600</v>
      </c>
      <c r="Q37" s="68">
        <v>216</v>
      </c>
      <c r="R37" s="58">
        <v>1250</v>
      </c>
      <c r="S37" s="25">
        <v>38</v>
      </c>
      <c r="T37" s="3">
        <v>70</v>
      </c>
      <c r="U37" s="3">
        <v>28</v>
      </c>
      <c r="V37" s="618">
        <v>39235.525997333323</v>
      </c>
      <c r="W37" s="618">
        <v>40577.192663999987</v>
      </c>
    </row>
    <row r="38" spans="1:23" ht="15" thickBot="1">
      <c r="A38" s="596" t="s">
        <v>159</v>
      </c>
      <c r="B38" s="602" t="s">
        <v>171</v>
      </c>
      <c r="C38" s="3">
        <v>8000</v>
      </c>
      <c r="D38" s="481">
        <f t="shared" si="5"/>
        <v>2.3445687999999998</v>
      </c>
      <c r="E38" s="603">
        <v>12</v>
      </c>
      <c r="F38" s="52" t="s">
        <v>228</v>
      </c>
      <c r="G38" s="3" t="s">
        <v>161</v>
      </c>
      <c r="H38" s="52">
        <v>53.15</v>
      </c>
      <c r="I38" s="52">
        <v>15.75</v>
      </c>
      <c r="J38" s="594">
        <v>10.75</v>
      </c>
      <c r="K38" s="3" t="str">
        <f t="shared" si="6"/>
        <v>N/A</v>
      </c>
      <c r="L38" s="3" t="str">
        <f t="shared" si="7"/>
        <v>N/A</v>
      </c>
      <c r="M38" s="3" t="str">
        <f t="shared" si="8"/>
        <v>NA</v>
      </c>
      <c r="N38" s="3">
        <f t="shared" si="9"/>
        <v>1250</v>
      </c>
      <c r="P38" s="406"/>
      <c r="Q38" s="69"/>
      <c r="R38" s="421"/>
      <c r="S38" s="413"/>
      <c r="T38" s="422"/>
      <c r="U38" s="422"/>
      <c r="V38" s="622"/>
      <c r="W38" s="622"/>
    </row>
    <row r="39" spans="1:23" ht="14.25">
      <c r="A39" s="596" t="s">
        <v>173</v>
      </c>
      <c r="B39" s="602" t="s">
        <v>191</v>
      </c>
      <c r="C39" s="3">
        <v>8000</v>
      </c>
      <c r="D39" s="481">
        <f t="shared" si="5"/>
        <v>2.3445687999999998</v>
      </c>
      <c r="E39" s="603">
        <v>12</v>
      </c>
      <c r="F39" s="52" t="s">
        <v>180</v>
      </c>
      <c r="G39" s="3" t="s">
        <v>161</v>
      </c>
      <c r="H39" s="52">
        <v>47.25</v>
      </c>
      <c r="I39" s="52">
        <v>15.5</v>
      </c>
      <c r="J39" s="594">
        <v>13.5</v>
      </c>
      <c r="K39" s="3" t="str">
        <f t="shared" si="6"/>
        <v>N/A</v>
      </c>
      <c r="L39" s="3">
        <f t="shared" si="7"/>
        <v>600</v>
      </c>
      <c r="M39" s="3">
        <f t="shared" si="8"/>
        <v>800</v>
      </c>
      <c r="N39" s="3">
        <f t="shared" si="9"/>
        <v>1250</v>
      </c>
    </row>
    <row r="40" spans="1:23" ht="14.25">
      <c r="A40" s="596" t="s">
        <v>173</v>
      </c>
      <c r="B40" s="602" t="s">
        <v>213</v>
      </c>
      <c r="C40" s="591">
        <v>8000</v>
      </c>
      <c r="D40" s="481">
        <f t="shared" si="5"/>
        <v>2.3445687999999998</v>
      </c>
      <c r="E40" s="604" t="s">
        <v>163</v>
      </c>
      <c r="F40" s="52" t="s">
        <v>209</v>
      </c>
      <c r="G40" s="591" t="s">
        <v>161</v>
      </c>
      <c r="H40" s="52">
        <v>37.75</v>
      </c>
      <c r="I40" s="52">
        <v>18.75</v>
      </c>
      <c r="J40" s="594">
        <v>18</v>
      </c>
      <c r="K40" s="3" t="str">
        <f t="shared" si="6"/>
        <v>N/A</v>
      </c>
      <c r="L40" s="3" t="str">
        <f t="shared" si="7"/>
        <v>N/A</v>
      </c>
      <c r="M40" s="3">
        <f t="shared" si="8"/>
        <v>800</v>
      </c>
      <c r="N40" s="3">
        <f t="shared" si="9"/>
        <v>1250</v>
      </c>
    </row>
    <row r="41" spans="1:23" ht="14.25">
      <c r="A41" s="596" t="s">
        <v>173</v>
      </c>
      <c r="B41" s="602" t="s">
        <v>219</v>
      </c>
      <c r="C41" s="591">
        <v>8000</v>
      </c>
      <c r="D41" s="481">
        <f t="shared" si="5"/>
        <v>2.3445687999999998</v>
      </c>
      <c r="E41" s="604" t="s">
        <v>163</v>
      </c>
      <c r="F41" s="52" t="s">
        <v>217</v>
      </c>
      <c r="G41" s="591" t="s">
        <v>161</v>
      </c>
      <c r="H41" s="52">
        <v>47</v>
      </c>
      <c r="I41" s="52">
        <v>18.75</v>
      </c>
      <c r="J41" s="594">
        <v>18</v>
      </c>
      <c r="K41" s="3" t="str">
        <f t="shared" si="6"/>
        <v>N/A</v>
      </c>
      <c r="L41" s="3" t="str">
        <f t="shared" si="7"/>
        <v>N/A</v>
      </c>
      <c r="M41" s="3">
        <f t="shared" si="8"/>
        <v>800</v>
      </c>
      <c r="N41" s="3">
        <f t="shared" si="9"/>
        <v>1250</v>
      </c>
    </row>
    <row r="42" spans="1:23" ht="14.25">
      <c r="A42" s="596" t="s">
        <v>162</v>
      </c>
      <c r="B42" s="602" t="s">
        <v>231</v>
      </c>
      <c r="C42" s="591">
        <v>8500</v>
      </c>
      <c r="D42" s="481">
        <f t="shared" si="5"/>
        <v>2.4911043499999996</v>
      </c>
      <c r="E42" s="604" t="s">
        <v>163</v>
      </c>
      <c r="F42" s="52" t="s">
        <v>232</v>
      </c>
      <c r="G42" s="591" t="s">
        <v>161</v>
      </c>
      <c r="H42" s="52">
        <v>43.5</v>
      </c>
      <c r="I42" s="52">
        <v>15.75</v>
      </c>
      <c r="J42" s="594">
        <v>10.25</v>
      </c>
      <c r="K42" s="3" t="str">
        <f t="shared" si="6"/>
        <v>N/A</v>
      </c>
      <c r="L42" s="3">
        <f t="shared" si="7"/>
        <v>600</v>
      </c>
      <c r="M42" s="3">
        <f t="shared" si="8"/>
        <v>800</v>
      </c>
      <c r="N42" s="3">
        <f t="shared" si="9"/>
        <v>1250</v>
      </c>
    </row>
    <row r="43" spans="1:23" ht="14.25">
      <c r="A43" s="596" t="s">
        <v>173</v>
      </c>
      <c r="B43" s="602" t="s">
        <v>214</v>
      </c>
      <c r="C43" s="591">
        <v>9000</v>
      </c>
      <c r="D43" s="481">
        <f t="shared" si="5"/>
        <v>2.6376398999999999</v>
      </c>
      <c r="E43" s="604" t="s">
        <v>163</v>
      </c>
      <c r="F43" s="52" t="s">
        <v>209</v>
      </c>
      <c r="G43" s="591" t="s">
        <v>161</v>
      </c>
      <c r="H43" s="52">
        <v>37.75</v>
      </c>
      <c r="I43" s="52">
        <v>18.75</v>
      </c>
      <c r="J43" s="594">
        <v>18</v>
      </c>
      <c r="K43" s="3" t="str">
        <f t="shared" si="6"/>
        <v>N/A</v>
      </c>
      <c r="L43" s="3" t="str">
        <f t="shared" si="7"/>
        <v>N/A</v>
      </c>
      <c r="M43" s="3">
        <f t="shared" si="8"/>
        <v>800</v>
      </c>
      <c r="N43" s="3">
        <f t="shared" si="9"/>
        <v>1250</v>
      </c>
    </row>
    <row r="44" spans="1:23" ht="14.25">
      <c r="A44" s="596" t="s">
        <v>173</v>
      </c>
      <c r="B44" s="602" t="s">
        <v>218</v>
      </c>
      <c r="C44" s="591">
        <v>9000</v>
      </c>
      <c r="D44" s="481">
        <f t="shared" si="5"/>
        <v>2.6376398999999999</v>
      </c>
      <c r="E44" s="604" t="s">
        <v>163</v>
      </c>
      <c r="F44" s="52" t="s">
        <v>217</v>
      </c>
      <c r="G44" s="591" t="s">
        <v>161</v>
      </c>
      <c r="H44" s="52">
        <v>47</v>
      </c>
      <c r="I44" s="52">
        <v>18.75</v>
      </c>
      <c r="J44" s="594">
        <v>18</v>
      </c>
      <c r="K44" s="3" t="str">
        <f t="shared" si="6"/>
        <v>N/A</v>
      </c>
      <c r="L44" s="3" t="str">
        <f t="shared" si="7"/>
        <v>N/A</v>
      </c>
      <c r="M44" s="3">
        <f t="shared" si="8"/>
        <v>800</v>
      </c>
      <c r="N44" s="3">
        <f t="shared" si="9"/>
        <v>1250</v>
      </c>
    </row>
    <row r="45" spans="1:23" ht="14.25">
      <c r="A45" s="596" t="s">
        <v>173</v>
      </c>
      <c r="B45" s="602" t="s">
        <v>192</v>
      </c>
      <c r="C45" s="3">
        <v>10000</v>
      </c>
      <c r="D45" s="481">
        <f t="shared" si="5"/>
        <v>2.9307109999999996</v>
      </c>
      <c r="E45" s="603">
        <v>12</v>
      </c>
      <c r="F45" s="52" t="s">
        <v>180</v>
      </c>
      <c r="G45" s="3" t="s">
        <v>161</v>
      </c>
      <c r="H45" s="52">
        <v>47.25</v>
      </c>
      <c r="I45" s="52">
        <v>15.5</v>
      </c>
      <c r="J45" s="594">
        <v>13.5</v>
      </c>
      <c r="K45" s="3" t="str">
        <f t="shared" si="6"/>
        <v>N/A</v>
      </c>
      <c r="L45" s="3">
        <f t="shared" si="7"/>
        <v>600</v>
      </c>
      <c r="M45" s="3">
        <f t="shared" si="8"/>
        <v>800</v>
      </c>
      <c r="N45" s="3">
        <f t="shared" si="9"/>
        <v>1250</v>
      </c>
    </row>
    <row r="46" spans="1:23" ht="14.25">
      <c r="A46" s="596" t="s">
        <v>173</v>
      </c>
      <c r="B46" s="602" t="s">
        <v>215</v>
      </c>
      <c r="C46" s="591">
        <v>10000</v>
      </c>
      <c r="D46" s="481">
        <f t="shared" si="5"/>
        <v>2.9307109999999996</v>
      </c>
      <c r="E46" s="604" t="s">
        <v>163</v>
      </c>
      <c r="F46" s="52" t="s">
        <v>209</v>
      </c>
      <c r="G46" s="591" t="s">
        <v>161</v>
      </c>
      <c r="H46" s="52">
        <v>37.75</v>
      </c>
      <c r="I46" s="52">
        <v>18.75</v>
      </c>
      <c r="J46" s="594">
        <v>18</v>
      </c>
      <c r="K46" s="3" t="str">
        <f t="shared" si="6"/>
        <v>N/A</v>
      </c>
      <c r="L46" s="3" t="str">
        <f t="shared" si="7"/>
        <v>N/A</v>
      </c>
      <c r="M46" s="3">
        <f t="shared" si="8"/>
        <v>800</v>
      </c>
      <c r="N46" s="3">
        <f t="shared" si="9"/>
        <v>1250</v>
      </c>
    </row>
    <row r="47" spans="1:23" ht="14.25">
      <c r="A47" s="596" t="s">
        <v>173</v>
      </c>
      <c r="B47" s="602" t="s">
        <v>193</v>
      </c>
      <c r="C47" s="3">
        <v>12000</v>
      </c>
      <c r="D47" s="481">
        <f t="shared" si="5"/>
        <v>3.5168531999999999</v>
      </c>
      <c r="E47" s="603">
        <v>12</v>
      </c>
      <c r="F47" s="52" t="s">
        <v>180</v>
      </c>
      <c r="G47" s="3" t="s">
        <v>161</v>
      </c>
      <c r="H47" s="52">
        <v>47.25</v>
      </c>
      <c r="I47" s="52">
        <v>15.5</v>
      </c>
      <c r="J47" s="594">
        <v>13.5</v>
      </c>
      <c r="K47" s="3" t="str">
        <f t="shared" si="6"/>
        <v>N/A</v>
      </c>
      <c r="L47" s="3">
        <f t="shared" si="7"/>
        <v>600</v>
      </c>
      <c r="M47" s="3">
        <f t="shared" si="8"/>
        <v>800</v>
      </c>
      <c r="N47" s="3">
        <f t="shared" si="9"/>
        <v>1250</v>
      </c>
    </row>
    <row r="48" spans="1:23" ht="14.25">
      <c r="A48" s="596" t="s">
        <v>173</v>
      </c>
      <c r="B48" s="602" t="s">
        <v>216</v>
      </c>
      <c r="C48" s="591">
        <v>10000</v>
      </c>
      <c r="D48" s="481">
        <f t="shared" si="5"/>
        <v>2.9307109999999996</v>
      </c>
      <c r="E48" s="604" t="s">
        <v>163</v>
      </c>
      <c r="F48" s="52" t="s">
        <v>217</v>
      </c>
      <c r="G48" s="591" t="s">
        <v>161</v>
      </c>
      <c r="H48" s="52">
        <v>47</v>
      </c>
      <c r="I48" s="52">
        <v>18.75</v>
      </c>
      <c r="J48" s="594">
        <v>18</v>
      </c>
      <c r="K48" s="3" t="str">
        <f t="shared" si="6"/>
        <v>N/A</v>
      </c>
      <c r="L48" s="3" t="str">
        <f t="shared" si="7"/>
        <v>N/A</v>
      </c>
      <c r="M48" s="3">
        <f t="shared" si="8"/>
        <v>800</v>
      </c>
      <c r="N48" s="3">
        <f t="shared" si="9"/>
        <v>1250</v>
      </c>
    </row>
    <row r="49" spans="1:14" ht="14.25">
      <c r="A49" s="596" t="s">
        <v>159</v>
      </c>
      <c r="B49" s="602" t="s">
        <v>172</v>
      </c>
      <c r="C49" s="3">
        <v>12000</v>
      </c>
      <c r="D49" s="481">
        <f t="shared" si="5"/>
        <v>3.5168531999999999</v>
      </c>
      <c r="E49" s="603">
        <v>12</v>
      </c>
      <c r="F49" s="52" t="s">
        <v>228</v>
      </c>
      <c r="G49" s="3" t="s">
        <v>161</v>
      </c>
      <c r="H49" s="52">
        <v>53.15</v>
      </c>
      <c r="I49" s="52">
        <v>15.75</v>
      </c>
      <c r="J49" s="594">
        <v>10.75</v>
      </c>
      <c r="K49" s="3" t="str">
        <f t="shared" si="6"/>
        <v>N/A</v>
      </c>
      <c r="L49" s="3" t="str">
        <f t="shared" si="7"/>
        <v>N/A</v>
      </c>
      <c r="M49" s="3" t="str">
        <f t="shared" si="8"/>
        <v>NA</v>
      </c>
      <c r="N49" s="3">
        <f t="shared" si="9"/>
        <v>1250</v>
      </c>
    </row>
    <row r="50" spans="1:14" ht="14.25">
      <c r="A50" s="596" t="s">
        <v>173</v>
      </c>
      <c r="B50" s="602" t="s">
        <v>194</v>
      </c>
      <c r="C50" s="3">
        <v>14000</v>
      </c>
      <c r="D50" s="481">
        <f t="shared" si="5"/>
        <v>4.1029953999999993</v>
      </c>
      <c r="E50" s="603">
        <v>12</v>
      </c>
      <c r="F50" s="52" t="s">
        <v>197</v>
      </c>
      <c r="G50" s="3" t="s">
        <v>161</v>
      </c>
      <c r="H50" s="52">
        <v>52.5</v>
      </c>
      <c r="I50" s="52">
        <v>17.25</v>
      </c>
      <c r="J50" s="594">
        <v>15.75</v>
      </c>
      <c r="K50" s="3" t="str">
        <f t="shared" si="6"/>
        <v>N/A</v>
      </c>
      <c r="L50" s="3" t="str">
        <f t="shared" si="7"/>
        <v>N/A</v>
      </c>
      <c r="M50" s="3" t="str">
        <f t="shared" si="8"/>
        <v>NA</v>
      </c>
      <c r="N50" s="3">
        <f t="shared" si="9"/>
        <v>1250</v>
      </c>
    </row>
    <row r="51" spans="1:14" ht="14.25">
      <c r="A51" s="596" t="s">
        <v>173</v>
      </c>
      <c r="B51" s="602" t="s">
        <v>195</v>
      </c>
      <c r="C51" s="3">
        <v>16000</v>
      </c>
      <c r="D51" s="481">
        <f t="shared" si="5"/>
        <v>4.6891375999999996</v>
      </c>
      <c r="E51" s="603">
        <v>12</v>
      </c>
      <c r="F51" s="52" t="s">
        <v>197</v>
      </c>
      <c r="G51" s="3" t="s">
        <v>161</v>
      </c>
      <c r="H51" s="52">
        <v>52.5</v>
      </c>
      <c r="I51" s="52">
        <v>17.25</v>
      </c>
      <c r="J51" s="594">
        <v>15.75</v>
      </c>
      <c r="K51" s="3" t="str">
        <f t="shared" si="6"/>
        <v>N/A</v>
      </c>
      <c r="L51" s="3" t="str">
        <f t="shared" si="7"/>
        <v>N/A</v>
      </c>
      <c r="M51" s="3" t="str">
        <f t="shared" si="8"/>
        <v>NA</v>
      </c>
      <c r="N51" s="3">
        <f t="shared" si="9"/>
        <v>1250</v>
      </c>
    </row>
    <row r="52" spans="1:14" ht="14.25">
      <c r="A52" s="596" t="s">
        <v>173</v>
      </c>
      <c r="B52" s="602" t="s">
        <v>196</v>
      </c>
      <c r="C52" s="3">
        <v>18000</v>
      </c>
      <c r="D52" s="481">
        <f t="shared" si="5"/>
        <v>5.2752797999999999</v>
      </c>
      <c r="E52" s="603">
        <v>12</v>
      </c>
      <c r="F52" s="52" t="s">
        <v>197</v>
      </c>
      <c r="G52" s="3" t="s">
        <v>161</v>
      </c>
      <c r="H52" s="52">
        <v>52.5</v>
      </c>
      <c r="I52" s="52">
        <v>17.25</v>
      </c>
      <c r="J52" s="594">
        <v>15.75</v>
      </c>
      <c r="K52" s="3" t="str">
        <f t="shared" si="6"/>
        <v>N/A</v>
      </c>
      <c r="L52" s="3" t="str">
        <f t="shared" si="7"/>
        <v>N/A</v>
      </c>
      <c r="M52" s="3" t="str">
        <f t="shared" si="8"/>
        <v>NA</v>
      </c>
      <c r="N52" s="3">
        <f t="shared" si="9"/>
        <v>1250</v>
      </c>
    </row>
    <row r="53" spans="1:14" ht="14.25">
      <c r="A53" s="596" t="s">
        <v>173</v>
      </c>
      <c r="B53" s="602" t="s">
        <v>198</v>
      </c>
      <c r="C53" s="3">
        <v>20000</v>
      </c>
      <c r="D53" s="481">
        <f t="shared" si="5"/>
        <v>5.8614219999999992</v>
      </c>
      <c r="E53" s="603">
        <v>12</v>
      </c>
      <c r="F53" s="52" t="s">
        <v>200</v>
      </c>
      <c r="G53" s="3" t="s">
        <v>161</v>
      </c>
      <c r="H53" s="52">
        <v>55</v>
      </c>
      <c r="I53" s="52">
        <v>22</v>
      </c>
      <c r="J53" s="594">
        <v>17</v>
      </c>
      <c r="K53" s="3" t="str">
        <f t="shared" si="6"/>
        <v>N/A</v>
      </c>
      <c r="L53" s="3" t="str">
        <f t="shared" si="7"/>
        <v>N/A</v>
      </c>
      <c r="M53" s="3" t="str">
        <f t="shared" si="8"/>
        <v>NA</v>
      </c>
      <c r="N53" s="3">
        <f t="shared" si="9"/>
        <v>1250</v>
      </c>
    </row>
    <row r="54" spans="1:14" ht="14.25">
      <c r="A54" s="596" t="s">
        <v>173</v>
      </c>
      <c r="B54" s="602" t="s">
        <v>199</v>
      </c>
      <c r="C54" s="3">
        <v>22000</v>
      </c>
      <c r="D54" s="481">
        <f t="shared" si="5"/>
        <v>6.4475641999999995</v>
      </c>
      <c r="E54" s="603">
        <v>12</v>
      </c>
      <c r="F54" s="52" t="s">
        <v>200</v>
      </c>
      <c r="G54" s="3" t="s">
        <v>161</v>
      </c>
      <c r="H54" s="52">
        <v>55</v>
      </c>
      <c r="I54" s="52">
        <v>22</v>
      </c>
      <c r="J54" s="594">
        <v>17</v>
      </c>
      <c r="K54" s="3" t="str">
        <f t="shared" si="6"/>
        <v>N/A</v>
      </c>
      <c r="L54" s="3" t="str">
        <f t="shared" si="7"/>
        <v>N/A</v>
      </c>
      <c r="M54" s="3" t="str">
        <f t="shared" si="8"/>
        <v>NA</v>
      </c>
      <c r="N54" s="3">
        <f t="shared" si="9"/>
        <v>1250</v>
      </c>
    </row>
  </sheetData>
  <phoneticPr fontId="2" type="noConversion"/>
  <pageMargins left="0.28000000000000003" right="0.26" top="0.17" bottom="0.19" header="0.17" footer="0.2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indexed="15"/>
  </sheetPr>
  <dimension ref="A3:Y106"/>
  <sheetViews>
    <sheetView topLeftCell="D43" workbookViewId="0">
      <selection activeCell="J97" sqref="J97"/>
    </sheetView>
  </sheetViews>
  <sheetFormatPr baseColWidth="10" defaultColWidth="9.140625" defaultRowHeight="12.75"/>
  <cols>
    <col min="11" max="11" width="10.28515625" bestFit="1" customWidth="1"/>
    <col min="12" max="12" width="10.42578125" customWidth="1"/>
    <col min="13" max="13" width="12.42578125" customWidth="1"/>
    <col min="14" max="14" width="10.7109375" customWidth="1"/>
    <col min="20" max="20" width="10.28515625" bestFit="1" customWidth="1"/>
    <col min="21" max="21" width="15" style="586" customWidth="1"/>
    <col min="23" max="25" width="6.7109375" style="593" customWidth="1"/>
  </cols>
  <sheetData>
    <row r="3" spans="1:21" ht="13.5" thickBot="1">
      <c r="U3" s="585"/>
    </row>
    <row r="4" spans="1:21" ht="16.5" thickBot="1">
      <c r="A4" s="85" t="s">
        <v>77</v>
      </c>
      <c r="B4" s="322"/>
      <c r="C4" s="44"/>
      <c r="D4" s="44"/>
      <c r="E4" s="44"/>
      <c r="F4" s="44"/>
      <c r="G4" s="6"/>
      <c r="I4" t="s">
        <v>135</v>
      </c>
      <c r="U4" s="585"/>
    </row>
    <row r="5" spans="1:21" ht="13.5" thickBot="1">
      <c r="A5" s="184" t="s">
        <v>76</v>
      </c>
      <c r="B5" s="6"/>
      <c r="C5" s="502" t="s">
        <v>127</v>
      </c>
      <c r="D5" s="88" t="s">
        <v>128</v>
      </c>
      <c r="E5" s="89"/>
      <c r="F5" s="88" t="s">
        <v>129</v>
      </c>
      <c r="G5" s="89"/>
      <c r="I5" s="502"/>
      <c r="J5" s="506"/>
      <c r="K5" s="176" t="s">
        <v>136</v>
      </c>
      <c r="L5" s="176" t="s">
        <v>133</v>
      </c>
      <c r="M5" s="176" t="s">
        <v>128</v>
      </c>
      <c r="N5" s="176" t="s">
        <v>129</v>
      </c>
    </row>
    <row r="6" spans="1:21">
      <c r="A6" s="65" t="s">
        <v>52</v>
      </c>
      <c r="B6" s="67" t="s">
        <v>16</v>
      </c>
      <c r="C6" s="286" t="s">
        <v>141</v>
      </c>
      <c r="D6" s="77" t="s">
        <v>142</v>
      </c>
      <c r="E6" s="82"/>
      <c r="F6" s="77" t="s">
        <v>142</v>
      </c>
      <c r="G6" s="82"/>
      <c r="I6" s="503" t="s">
        <v>130</v>
      </c>
      <c r="J6" s="77" t="s">
        <v>131</v>
      </c>
      <c r="K6" s="493" t="s">
        <v>132</v>
      </c>
      <c r="L6" s="493" t="s">
        <v>132</v>
      </c>
      <c r="M6" s="493" t="s">
        <v>132</v>
      </c>
      <c r="N6" s="82" t="s">
        <v>132</v>
      </c>
    </row>
    <row r="7" spans="1:21" ht="13.5" thickBot="1">
      <c r="A7" s="187" t="s">
        <v>53</v>
      </c>
      <c r="B7" s="188" t="s">
        <v>22</v>
      </c>
      <c r="C7" s="515" t="s">
        <v>143</v>
      </c>
      <c r="D7" s="495" t="s">
        <v>96</v>
      </c>
      <c r="E7" s="497" t="s">
        <v>144</v>
      </c>
      <c r="F7" s="495" t="s">
        <v>96</v>
      </c>
      <c r="G7" s="497" t="s">
        <v>144</v>
      </c>
      <c r="I7" s="504">
        <v>400</v>
      </c>
      <c r="J7" s="58">
        <v>8</v>
      </c>
      <c r="K7" s="500"/>
      <c r="L7" s="500">
        <v>349</v>
      </c>
      <c r="M7" s="500"/>
      <c r="N7" s="507"/>
      <c r="O7" s="514"/>
    </row>
    <row r="8" spans="1:21">
      <c r="A8" s="65"/>
      <c r="B8" s="67"/>
      <c r="C8" s="516"/>
      <c r="D8" s="498"/>
      <c r="E8" s="499"/>
      <c r="F8" s="498"/>
      <c r="G8" s="499"/>
      <c r="I8" s="504">
        <v>900</v>
      </c>
      <c r="J8" s="58">
        <v>15</v>
      </c>
      <c r="K8" s="500"/>
      <c r="L8" s="500">
        <v>476</v>
      </c>
      <c r="M8" s="500">
        <v>539</v>
      </c>
      <c r="N8" s="507">
        <v>875</v>
      </c>
      <c r="O8" s="514"/>
    </row>
    <row r="9" spans="1:21">
      <c r="A9" s="350">
        <v>600</v>
      </c>
      <c r="B9" s="351">
        <v>5</v>
      </c>
      <c r="C9" s="517"/>
      <c r="D9" s="58"/>
      <c r="E9" s="494"/>
      <c r="F9" s="58"/>
      <c r="G9" s="494"/>
      <c r="I9" s="504" t="s">
        <v>134</v>
      </c>
      <c r="J9" s="58">
        <v>25</v>
      </c>
      <c r="K9" s="500"/>
      <c r="L9" s="500">
        <v>476</v>
      </c>
      <c r="M9" s="500">
        <v>539</v>
      </c>
      <c r="N9" s="507">
        <v>875</v>
      </c>
      <c r="O9" s="514"/>
    </row>
    <row r="10" spans="1:21">
      <c r="A10" s="66">
        <v>600</v>
      </c>
      <c r="B10" s="68">
        <v>9</v>
      </c>
      <c r="C10" s="517"/>
      <c r="D10" s="58"/>
      <c r="E10" s="494"/>
      <c r="F10" s="58"/>
      <c r="G10" s="494"/>
      <c r="I10" s="504">
        <v>2500</v>
      </c>
      <c r="J10" s="58">
        <v>35</v>
      </c>
      <c r="K10" s="500"/>
      <c r="L10" s="500">
        <v>541</v>
      </c>
      <c r="M10" s="500">
        <v>612</v>
      </c>
      <c r="N10" s="507">
        <v>915</v>
      </c>
      <c r="O10" s="514"/>
    </row>
    <row r="11" spans="1:21" ht="13.5" thickBot="1">
      <c r="A11" s="370">
        <v>600</v>
      </c>
      <c r="B11" s="371">
        <v>18</v>
      </c>
      <c r="C11" s="517"/>
      <c r="D11" s="58"/>
      <c r="E11" s="494"/>
      <c r="F11" s="58"/>
      <c r="G11" s="494"/>
      <c r="I11" s="512">
        <v>5000</v>
      </c>
      <c r="J11" s="495">
        <v>70</v>
      </c>
      <c r="K11" s="501"/>
      <c r="L11" s="501">
        <v>859</v>
      </c>
      <c r="M11" s="501">
        <v>879</v>
      </c>
      <c r="N11" s="508">
        <v>1214</v>
      </c>
      <c r="O11" s="514"/>
    </row>
    <row r="12" spans="1:21">
      <c r="A12" s="66">
        <v>600</v>
      </c>
      <c r="B12" s="68">
        <v>27</v>
      </c>
      <c r="C12" s="517"/>
      <c r="D12" s="58"/>
      <c r="E12" s="494"/>
      <c r="F12" s="58"/>
      <c r="G12" s="494"/>
    </row>
    <row r="13" spans="1:21" ht="13.5" thickBot="1">
      <c r="A13" s="388">
        <v>600</v>
      </c>
      <c r="B13" s="389">
        <v>36</v>
      </c>
      <c r="C13" s="517"/>
      <c r="D13" s="58"/>
      <c r="E13" s="494"/>
      <c r="F13" s="58"/>
      <c r="G13" s="494"/>
      <c r="I13" t="s">
        <v>96</v>
      </c>
    </row>
    <row r="14" spans="1:21" ht="13.5" thickBot="1">
      <c r="A14" s="66">
        <v>600</v>
      </c>
      <c r="B14" s="68">
        <v>41</v>
      </c>
      <c r="C14" s="517"/>
      <c r="D14" s="58"/>
      <c r="E14" s="494"/>
      <c r="F14" s="58"/>
      <c r="G14" s="494"/>
      <c r="I14" s="502"/>
      <c r="J14" s="506"/>
      <c r="K14" s="176" t="s">
        <v>136</v>
      </c>
      <c r="L14" s="176" t="s">
        <v>133</v>
      </c>
      <c r="M14" s="176" t="s">
        <v>128</v>
      </c>
      <c r="N14" s="176" t="s">
        <v>129</v>
      </c>
    </row>
    <row r="15" spans="1:21">
      <c r="A15" s="350">
        <v>600</v>
      </c>
      <c r="B15" s="351">
        <v>45</v>
      </c>
      <c r="C15" s="517"/>
      <c r="D15" s="58"/>
      <c r="E15" s="494"/>
      <c r="F15" s="58"/>
      <c r="G15" s="494"/>
      <c r="I15" s="492" t="s">
        <v>130</v>
      </c>
      <c r="J15" s="77"/>
      <c r="K15" s="493" t="s">
        <v>132</v>
      </c>
      <c r="L15" s="493" t="s">
        <v>132</v>
      </c>
      <c r="M15" s="493" t="s">
        <v>132</v>
      </c>
      <c r="N15" s="82" t="s">
        <v>132</v>
      </c>
    </row>
    <row r="16" spans="1:21">
      <c r="A16" s="66">
        <v>600</v>
      </c>
      <c r="B16" s="68">
        <v>54</v>
      </c>
      <c r="C16" s="517"/>
      <c r="D16" s="58"/>
      <c r="E16" s="494"/>
      <c r="F16" s="58"/>
      <c r="G16" s="494"/>
      <c r="I16" s="503">
        <v>1000</v>
      </c>
      <c r="J16" s="58"/>
      <c r="K16" s="1"/>
      <c r="L16" s="500">
        <v>2910</v>
      </c>
      <c r="M16" s="1" t="s">
        <v>139</v>
      </c>
      <c r="N16" s="507"/>
      <c r="O16" s="514"/>
    </row>
    <row r="17" spans="1:15">
      <c r="A17" s="370">
        <v>600</v>
      </c>
      <c r="B17" s="371">
        <v>63</v>
      </c>
      <c r="C17" s="517"/>
      <c r="D17" s="58"/>
      <c r="E17" s="494"/>
      <c r="F17" s="58"/>
      <c r="G17" s="494"/>
      <c r="I17" s="504">
        <v>2000</v>
      </c>
      <c r="J17" s="58"/>
      <c r="K17" s="500"/>
      <c r="L17" s="500">
        <v>3200</v>
      </c>
      <c r="M17" s="1" t="s">
        <v>139</v>
      </c>
      <c r="N17" s="507">
        <v>7720</v>
      </c>
      <c r="O17" s="514"/>
    </row>
    <row r="18" spans="1:15">
      <c r="A18" s="66">
        <v>600</v>
      </c>
      <c r="B18" s="68">
        <v>72</v>
      </c>
      <c r="C18" s="517"/>
      <c r="D18" s="58"/>
      <c r="E18" s="494"/>
      <c r="F18" s="58"/>
      <c r="G18" s="494"/>
      <c r="I18" s="503">
        <v>3000</v>
      </c>
      <c r="J18" s="58"/>
      <c r="K18" s="500"/>
      <c r="L18" s="513"/>
      <c r="M18" s="1" t="s">
        <v>139</v>
      </c>
      <c r="N18" s="507"/>
      <c r="O18" s="514"/>
    </row>
    <row r="19" spans="1:15">
      <c r="A19" s="388">
        <v>600</v>
      </c>
      <c r="B19" s="389">
        <v>81</v>
      </c>
      <c r="C19" s="517"/>
      <c r="D19" s="58"/>
      <c r="E19" s="494"/>
      <c r="F19" s="58"/>
      <c r="G19" s="494"/>
      <c r="I19" s="503">
        <v>3500</v>
      </c>
      <c r="J19" s="58"/>
      <c r="K19" s="500"/>
      <c r="L19" s="513">
        <v>3800</v>
      </c>
      <c r="M19" s="1"/>
      <c r="N19" s="507"/>
      <c r="O19" s="514"/>
    </row>
    <row r="20" spans="1:15">
      <c r="A20" s="66">
        <v>600</v>
      </c>
      <c r="B20" s="68">
        <v>108</v>
      </c>
      <c r="C20" s="517"/>
      <c r="D20" s="58"/>
      <c r="E20" s="494"/>
      <c r="F20" s="58"/>
      <c r="G20" s="494"/>
      <c r="I20" s="504">
        <v>4000</v>
      </c>
      <c r="J20" s="58"/>
      <c r="K20" s="500"/>
      <c r="L20" s="500"/>
      <c r="M20" s="1" t="s">
        <v>139</v>
      </c>
      <c r="N20" s="507"/>
      <c r="O20" s="514"/>
    </row>
    <row r="21" spans="1:15">
      <c r="A21" s="350">
        <v>600</v>
      </c>
      <c r="B21" s="351">
        <v>135</v>
      </c>
      <c r="C21" s="517"/>
      <c r="D21" s="58"/>
      <c r="E21" s="494"/>
      <c r="F21" s="58"/>
      <c r="G21" s="494"/>
      <c r="I21" s="503">
        <v>5000</v>
      </c>
      <c r="J21" s="58"/>
      <c r="K21" s="500"/>
      <c r="L21" s="500"/>
      <c r="M21" s="1" t="s">
        <v>139</v>
      </c>
      <c r="N21" s="507"/>
      <c r="O21" s="514"/>
    </row>
    <row r="22" spans="1:15">
      <c r="A22" s="66">
        <v>600</v>
      </c>
      <c r="B22" s="68">
        <v>144</v>
      </c>
      <c r="C22" s="517"/>
      <c r="D22" s="58"/>
      <c r="E22" s="494"/>
      <c r="F22" s="58"/>
      <c r="G22" s="494"/>
      <c r="I22" s="504">
        <v>6000</v>
      </c>
      <c r="J22" s="58"/>
      <c r="K22" s="500"/>
      <c r="L22" s="500">
        <v>4600</v>
      </c>
      <c r="M22" s="1" t="s">
        <v>139</v>
      </c>
      <c r="N22" s="507"/>
      <c r="O22" s="514"/>
    </row>
    <row r="23" spans="1:15">
      <c r="A23" s="370">
        <v>600</v>
      </c>
      <c r="B23" s="371">
        <v>180</v>
      </c>
      <c r="C23" s="517"/>
      <c r="D23" s="58"/>
      <c r="E23" s="494"/>
      <c r="F23" s="58"/>
      <c r="G23" s="494"/>
      <c r="I23" s="503">
        <v>7000</v>
      </c>
      <c r="J23" s="58"/>
      <c r="K23" s="500"/>
      <c r="L23" s="500"/>
      <c r="M23" s="1" t="s">
        <v>139</v>
      </c>
      <c r="N23" s="507"/>
      <c r="O23" s="514"/>
    </row>
    <row r="24" spans="1:15">
      <c r="A24" s="66">
        <v>600</v>
      </c>
      <c r="B24" s="68">
        <v>216</v>
      </c>
      <c r="C24" s="518"/>
      <c r="D24" s="58"/>
      <c r="E24" s="494"/>
      <c r="F24" s="58"/>
      <c r="G24" s="494"/>
      <c r="I24" s="504">
        <v>8000</v>
      </c>
      <c r="J24" s="58"/>
      <c r="K24" s="500"/>
      <c r="L24" s="500">
        <v>5300</v>
      </c>
      <c r="M24" s="1" t="s">
        <v>139</v>
      </c>
      <c r="N24" s="507"/>
      <c r="O24" s="514"/>
    </row>
    <row r="25" spans="1:15" ht="13.5" thickBot="1">
      <c r="A25" s="406"/>
      <c r="B25" s="69"/>
      <c r="C25" s="515"/>
      <c r="D25" s="495"/>
      <c r="E25" s="497"/>
      <c r="F25" s="495"/>
      <c r="G25" s="497"/>
      <c r="I25" s="503">
        <v>9000</v>
      </c>
      <c r="J25" s="58"/>
      <c r="K25" s="500"/>
      <c r="L25" s="500"/>
      <c r="M25" s="1" t="s">
        <v>139</v>
      </c>
      <c r="N25" s="507"/>
      <c r="O25" s="514"/>
    </row>
    <row r="26" spans="1:15">
      <c r="I26" s="504">
        <v>10000</v>
      </c>
      <c r="J26" s="58"/>
      <c r="K26" s="500"/>
      <c r="L26" s="500"/>
      <c r="M26" s="1" t="s">
        <v>139</v>
      </c>
      <c r="N26" s="507"/>
      <c r="O26" s="514"/>
    </row>
    <row r="27" spans="1:15" ht="13.5" thickBot="1">
      <c r="I27" s="503">
        <v>11000</v>
      </c>
      <c r="J27" s="58"/>
      <c r="K27" s="500"/>
      <c r="L27" s="500"/>
      <c r="M27" s="1" t="s">
        <v>139</v>
      </c>
      <c r="N27" s="507"/>
      <c r="O27" s="514"/>
    </row>
    <row r="28" spans="1:15" ht="16.5" thickBot="1">
      <c r="A28" s="85" t="s">
        <v>77</v>
      </c>
      <c r="B28" s="322"/>
      <c r="C28" s="44"/>
      <c r="D28" s="44"/>
      <c r="E28" s="44"/>
      <c r="F28" s="44"/>
      <c r="G28" s="6"/>
      <c r="I28" s="504">
        <v>12000</v>
      </c>
      <c r="J28" s="58"/>
      <c r="K28" s="500"/>
      <c r="L28" s="500">
        <v>6900</v>
      </c>
      <c r="M28" s="1" t="s">
        <v>139</v>
      </c>
      <c r="N28" s="507"/>
      <c r="O28" s="514"/>
    </row>
    <row r="29" spans="1:15" ht="13.5" thickBot="1">
      <c r="A29" s="184" t="s">
        <v>76</v>
      </c>
      <c r="B29" s="6"/>
      <c r="C29" s="502" t="s">
        <v>127</v>
      </c>
      <c r="D29" s="88" t="s">
        <v>128</v>
      </c>
      <c r="E29" s="89"/>
      <c r="F29" s="88" t="s">
        <v>129</v>
      </c>
      <c r="G29" s="89"/>
      <c r="I29" s="503">
        <v>13000</v>
      </c>
      <c r="J29" s="58"/>
      <c r="K29" s="500"/>
      <c r="L29" s="500"/>
      <c r="M29" s="1" t="s">
        <v>139</v>
      </c>
      <c r="N29" s="507"/>
      <c r="O29" s="514"/>
    </row>
    <row r="30" spans="1:15">
      <c r="A30" s="65" t="s">
        <v>52</v>
      </c>
      <c r="B30" s="67" t="s">
        <v>16</v>
      </c>
      <c r="C30" s="286" t="s">
        <v>141</v>
      </c>
      <c r="D30" s="77" t="s">
        <v>142</v>
      </c>
      <c r="E30" s="82"/>
      <c r="F30" s="77" t="s">
        <v>142</v>
      </c>
      <c r="G30" s="82"/>
      <c r="I30" s="504">
        <v>14000</v>
      </c>
      <c r="J30" s="58"/>
      <c r="K30" s="500"/>
      <c r="L30" s="500"/>
      <c r="M30" s="1" t="s">
        <v>139</v>
      </c>
      <c r="N30" s="507"/>
      <c r="O30" s="514"/>
    </row>
    <row r="31" spans="1:15" ht="13.5" thickBot="1">
      <c r="A31" s="187" t="s">
        <v>53</v>
      </c>
      <c r="B31" s="188" t="s">
        <v>22</v>
      </c>
      <c r="C31" s="515" t="s">
        <v>143</v>
      </c>
      <c r="D31" s="495" t="s">
        <v>96</v>
      </c>
      <c r="E31" s="497" t="s">
        <v>144</v>
      </c>
      <c r="F31" s="495" t="s">
        <v>96</v>
      </c>
      <c r="G31" s="497" t="s">
        <v>144</v>
      </c>
      <c r="I31" s="505">
        <v>15000</v>
      </c>
      <c r="J31" s="495"/>
      <c r="K31" s="501"/>
      <c r="L31" s="501"/>
      <c r="M31" s="496" t="s">
        <v>139</v>
      </c>
      <c r="N31" s="508"/>
      <c r="O31" s="514"/>
    </row>
    <row r="32" spans="1:15" ht="13.5" thickBot="1">
      <c r="A32" s="65"/>
      <c r="B32" s="67"/>
      <c r="C32" s="286"/>
      <c r="D32" s="77"/>
      <c r="E32" s="82"/>
      <c r="F32" s="77"/>
      <c r="G32" s="82"/>
      <c r="I32" t="s">
        <v>137</v>
      </c>
    </row>
    <row r="33" spans="1:14" ht="13.5" thickBot="1">
      <c r="A33" s="350">
        <v>400</v>
      </c>
      <c r="B33" s="351">
        <v>5</v>
      </c>
      <c r="C33" s="517"/>
      <c r="D33" s="58"/>
      <c r="E33" s="494"/>
      <c r="F33" s="58"/>
      <c r="G33" s="494"/>
      <c r="I33" s="89"/>
      <c r="J33" s="509"/>
      <c r="K33" s="176" t="s">
        <v>136</v>
      </c>
      <c r="L33" s="176" t="s">
        <v>133</v>
      </c>
      <c r="M33" s="176" t="s">
        <v>128</v>
      </c>
      <c r="N33" s="176" t="s">
        <v>129</v>
      </c>
    </row>
    <row r="34" spans="1:14">
      <c r="A34" s="66">
        <v>400</v>
      </c>
      <c r="B34" s="68">
        <v>9</v>
      </c>
      <c r="C34" s="517"/>
      <c r="D34" s="58"/>
      <c r="E34" s="494"/>
      <c r="F34" s="58"/>
      <c r="G34" s="494"/>
      <c r="I34" s="510" t="s">
        <v>138</v>
      </c>
      <c r="J34" s="77"/>
      <c r="K34" s="493" t="s">
        <v>132</v>
      </c>
      <c r="L34" s="493" t="s">
        <v>132</v>
      </c>
      <c r="M34" s="493" t="s">
        <v>132</v>
      </c>
      <c r="N34" s="82" t="s">
        <v>132</v>
      </c>
    </row>
    <row r="35" spans="1:14">
      <c r="A35" s="370">
        <v>400</v>
      </c>
      <c r="B35" s="371">
        <v>18</v>
      </c>
      <c r="C35" s="517"/>
      <c r="D35" s="58"/>
      <c r="E35" s="494"/>
      <c r="F35" s="58"/>
      <c r="G35" s="494"/>
      <c r="I35" s="511"/>
      <c r="J35" s="58"/>
      <c r="K35" s="500"/>
      <c r="L35" s="500"/>
      <c r="M35" s="500"/>
      <c r="N35" s="507"/>
    </row>
    <row r="36" spans="1:14">
      <c r="A36" s="66">
        <v>400</v>
      </c>
      <c r="B36" s="68">
        <v>27</v>
      </c>
      <c r="C36" s="517"/>
      <c r="D36" s="58"/>
      <c r="E36" s="494"/>
      <c r="F36" s="58"/>
      <c r="G36" s="494"/>
      <c r="I36" s="511"/>
      <c r="J36" s="58"/>
      <c r="K36" s="500"/>
      <c r="L36" s="500"/>
      <c r="M36" s="500"/>
      <c r="N36" s="507"/>
    </row>
    <row r="37" spans="1:14">
      <c r="A37" s="388">
        <v>400</v>
      </c>
      <c r="B37" s="389">
        <v>36</v>
      </c>
      <c r="C37" s="517"/>
      <c r="D37" s="58"/>
      <c r="E37" s="494"/>
      <c r="F37" s="58"/>
      <c r="G37" s="494"/>
      <c r="I37" s="511"/>
      <c r="J37" s="58"/>
      <c r="K37" s="500"/>
      <c r="L37" s="500"/>
      <c r="M37" s="500"/>
      <c r="N37" s="507"/>
    </row>
    <row r="38" spans="1:14">
      <c r="A38" s="66">
        <v>400</v>
      </c>
      <c r="B38" s="68">
        <v>41</v>
      </c>
      <c r="C38" s="517"/>
      <c r="D38" s="58"/>
      <c r="E38" s="494"/>
      <c r="F38" s="58"/>
      <c r="G38" s="494"/>
      <c r="I38" s="511"/>
      <c r="J38" s="58"/>
      <c r="K38" s="500"/>
      <c r="L38" s="500"/>
      <c r="M38" s="500"/>
      <c r="N38" s="507"/>
    </row>
    <row r="39" spans="1:14" ht="13.5" thickBot="1">
      <c r="A39" s="350">
        <v>400</v>
      </c>
      <c r="B39" s="351">
        <v>45</v>
      </c>
      <c r="C39" s="517"/>
      <c r="D39" s="58"/>
      <c r="E39" s="494"/>
      <c r="F39" s="58"/>
      <c r="G39" s="494"/>
      <c r="I39" s="524"/>
      <c r="J39" s="525"/>
      <c r="K39" s="526"/>
      <c r="L39" s="526"/>
      <c r="M39" s="526"/>
      <c r="N39" s="527"/>
    </row>
    <row r="40" spans="1:14" ht="13.5" thickBot="1">
      <c r="A40" s="66">
        <v>400</v>
      </c>
      <c r="B40" s="68">
        <v>54</v>
      </c>
      <c r="C40" s="517"/>
      <c r="D40" s="58"/>
      <c r="E40" s="494"/>
      <c r="F40" s="58"/>
      <c r="G40" s="494"/>
      <c r="I40" s="502" t="s">
        <v>146</v>
      </c>
      <c r="J40" s="528"/>
      <c r="K40" s="96"/>
      <c r="L40" s="96"/>
      <c r="M40" s="96"/>
      <c r="N40" s="48"/>
    </row>
    <row r="41" spans="1:14">
      <c r="A41" s="370">
        <v>400</v>
      </c>
      <c r="B41" s="371">
        <v>63</v>
      </c>
      <c r="C41" s="517"/>
      <c r="D41" s="58"/>
      <c r="E41" s="494"/>
      <c r="F41" s="58"/>
      <c r="G41" s="494"/>
      <c r="I41" s="516" t="s">
        <v>147</v>
      </c>
      <c r="J41" s="529">
        <v>50</v>
      </c>
      <c r="K41" s="7"/>
      <c r="L41" s="7"/>
      <c r="M41" s="7"/>
      <c r="N41" s="521"/>
    </row>
    <row r="42" spans="1:14" ht="13.5" thickBot="1">
      <c r="A42" s="66">
        <v>400</v>
      </c>
      <c r="B42" s="68">
        <v>72</v>
      </c>
      <c r="C42" s="517"/>
      <c r="D42" s="58"/>
      <c r="E42" s="494"/>
      <c r="F42" s="58"/>
      <c r="G42" s="494"/>
      <c r="I42" s="515" t="s">
        <v>148</v>
      </c>
      <c r="J42" s="530">
        <v>60</v>
      </c>
      <c r="K42" s="522"/>
      <c r="L42" s="522"/>
      <c r="M42" s="522"/>
      <c r="N42" s="523"/>
    </row>
    <row r="43" spans="1:14">
      <c r="A43" s="388">
        <v>400</v>
      </c>
      <c r="B43" s="389">
        <v>81</v>
      </c>
      <c r="C43" s="517"/>
      <c r="D43" s="58"/>
      <c r="E43" s="494"/>
      <c r="F43" s="58"/>
      <c r="G43" s="494"/>
    </row>
    <row r="44" spans="1:14">
      <c r="A44" s="66">
        <v>400</v>
      </c>
      <c r="B44" s="68">
        <v>108</v>
      </c>
      <c r="C44" s="517"/>
      <c r="D44" s="58"/>
      <c r="E44" s="494"/>
      <c r="F44" s="58"/>
      <c r="G44" s="494"/>
    </row>
    <row r="45" spans="1:14">
      <c r="A45" s="350">
        <v>400</v>
      </c>
      <c r="B45" s="351">
        <v>135</v>
      </c>
      <c r="C45" s="517"/>
      <c r="D45" s="58"/>
      <c r="E45" s="494"/>
      <c r="F45" s="58"/>
      <c r="G45" s="494"/>
    </row>
    <row r="46" spans="1:14">
      <c r="A46" s="66">
        <v>400</v>
      </c>
      <c r="B46" s="68">
        <v>144</v>
      </c>
      <c r="C46" s="517"/>
      <c r="D46" s="58"/>
      <c r="E46" s="494"/>
      <c r="F46" s="58"/>
      <c r="G46" s="494"/>
    </row>
    <row r="47" spans="1:14">
      <c r="A47" s="370">
        <v>400</v>
      </c>
      <c r="B47" s="371">
        <v>180</v>
      </c>
      <c r="C47" s="517"/>
      <c r="D47" s="58"/>
      <c r="E47" s="494"/>
      <c r="F47" s="58"/>
      <c r="G47" s="494"/>
    </row>
    <row r="48" spans="1:14">
      <c r="A48" s="66">
        <v>400</v>
      </c>
      <c r="B48" s="68">
        <v>216</v>
      </c>
      <c r="C48" s="518"/>
      <c r="D48" s="58"/>
      <c r="E48" s="494"/>
      <c r="F48" s="58"/>
      <c r="G48" s="494"/>
    </row>
    <row r="49" spans="1:14" ht="13.5" thickBot="1">
      <c r="A49" s="406"/>
      <c r="B49" s="69"/>
      <c r="C49" s="515"/>
      <c r="D49" s="495"/>
      <c r="E49" s="497"/>
      <c r="F49" s="495"/>
      <c r="G49" s="497"/>
    </row>
    <row r="50" spans="1:14">
      <c r="B50" s="7"/>
    </row>
    <row r="52" spans="1:14">
      <c r="A52" s="3"/>
      <c r="B52" s="3"/>
      <c r="C52" s="3"/>
      <c r="D52" s="3"/>
      <c r="E52" s="1"/>
      <c r="F52" s="587" t="s">
        <v>177</v>
      </c>
      <c r="G52" s="1"/>
      <c r="H52" s="52" t="s">
        <v>70</v>
      </c>
      <c r="I52" s="52" t="s">
        <v>69</v>
      </c>
      <c r="J52" s="52" t="s">
        <v>243</v>
      </c>
      <c r="K52" s="594" t="s">
        <v>244</v>
      </c>
      <c r="L52" s="594" t="s">
        <v>245</v>
      </c>
      <c r="M52" s="594" t="s">
        <v>246</v>
      </c>
      <c r="N52" s="594" t="s">
        <v>247</v>
      </c>
    </row>
    <row r="53" spans="1:14">
      <c r="A53" s="2" t="s">
        <v>154</v>
      </c>
      <c r="B53" s="2" t="s">
        <v>15</v>
      </c>
      <c r="C53" s="2" t="s">
        <v>155</v>
      </c>
      <c r="D53" s="2" t="s">
        <v>156</v>
      </c>
      <c r="E53" s="480" t="s">
        <v>157</v>
      </c>
      <c r="F53" s="588" t="s">
        <v>17</v>
      </c>
      <c r="G53" s="480" t="s">
        <v>158</v>
      </c>
      <c r="H53" s="52"/>
      <c r="I53" s="52"/>
      <c r="J53" s="52"/>
      <c r="K53" s="1"/>
      <c r="L53" s="1"/>
      <c r="M53" s="1"/>
      <c r="N53" s="1"/>
    </row>
    <row r="54" spans="1:14">
      <c r="A54" s="12" t="s">
        <v>173</v>
      </c>
      <c r="B54" s="589" t="s">
        <v>181</v>
      </c>
      <c r="C54" s="12">
        <v>1000</v>
      </c>
      <c r="D54" s="590">
        <f t="shared" ref="D54:D61" si="0">0.0002930711*C54</f>
        <v>0.29307109999999997</v>
      </c>
      <c r="E54" s="591">
        <v>12</v>
      </c>
      <c r="F54" s="587" t="s">
        <v>175</v>
      </c>
      <c r="G54" s="591" t="s">
        <v>161</v>
      </c>
      <c r="H54" s="52">
        <v>17.5</v>
      </c>
      <c r="I54" s="52">
        <v>12.5</v>
      </c>
      <c r="J54" s="594">
        <v>11</v>
      </c>
      <c r="K54" s="1" t="str">
        <f>IF(AND(H54&lt;30,I54&lt;24,J54&lt;16),"ARM450","N/A")</f>
        <v>ARM450</v>
      </c>
      <c r="L54" s="1" t="str">
        <f>IF(AND(H54&lt;48,I54&lt;24,J54&lt;16),"ARM600","N/A")</f>
        <v>ARM600</v>
      </c>
      <c r="M54" s="1" t="str">
        <f>IF(AND(H54&lt;48,I54&lt;34,J54&lt;29),"ARM800","NA")</f>
        <v>ARM800</v>
      </c>
      <c r="N54" s="1" t="str">
        <f>IF(AND(H54&lt;72,I54&lt;36,J54&lt;30),"ARM1250","N/A")</f>
        <v>ARM1250</v>
      </c>
    </row>
    <row r="55" spans="1:14">
      <c r="A55" s="12" t="s">
        <v>173</v>
      </c>
      <c r="B55" s="589" t="s">
        <v>205</v>
      </c>
      <c r="C55" s="12">
        <v>1000</v>
      </c>
      <c r="D55" s="590">
        <f t="shared" si="0"/>
        <v>0.29307109999999997</v>
      </c>
      <c r="E55" s="592" t="s">
        <v>163</v>
      </c>
      <c r="F55" s="587" t="s">
        <v>203</v>
      </c>
      <c r="G55" s="591" t="s">
        <v>161</v>
      </c>
      <c r="H55" s="52">
        <v>32.25</v>
      </c>
      <c r="I55" s="52">
        <v>14.5</v>
      </c>
      <c r="J55" s="52">
        <v>13</v>
      </c>
      <c r="K55" s="1" t="str">
        <f t="shared" ref="K55:K106" si="1">IF(AND(H55&lt;30,I55&lt;24,J55&lt;16),"ARM450","N/A")</f>
        <v>N/A</v>
      </c>
      <c r="L55" s="1" t="str">
        <f t="shared" ref="L55:L106" si="2">IF(AND(H55&lt;48,I55&lt;24,J55&lt;16),"ARM600","N/A")</f>
        <v>ARM600</v>
      </c>
      <c r="M55" s="1" t="str">
        <f t="shared" ref="M55:M106" si="3">IF(AND(H55&lt;48,I55&lt;34,J55&lt;29),"ARM800","NA")</f>
        <v>ARM800</v>
      </c>
      <c r="N55" s="1" t="str">
        <f t="shared" ref="N55:N106" si="4">IF(AND(H55&lt;72,I55&lt;36,J55&lt;30),"ARM1250","N/A")</f>
        <v>ARM1250</v>
      </c>
    </row>
    <row r="56" spans="1:14">
      <c r="A56" s="1" t="s">
        <v>159</v>
      </c>
      <c r="B56" s="580" t="s">
        <v>160</v>
      </c>
      <c r="C56" s="1">
        <v>1200</v>
      </c>
      <c r="D56" s="590">
        <f t="shared" si="0"/>
        <v>0.35168531999999997</v>
      </c>
      <c r="E56" s="3">
        <v>12</v>
      </c>
      <c r="F56" s="587" t="s">
        <v>226</v>
      </c>
      <c r="G56" s="3" t="s">
        <v>161</v>
      </c>
      <c r="H56" s="52">
        <v>13</v>
      </c>
      <c r="I56" s="52">
        <v>14.76</v>
      </c>
      <c r="J56" s="594">
        <v>7.5</v>
      </c>
      <c r="K56" s="1" t="str">
        <f t="shared" si="1"/>
        <v>ARM450</v>
      </c>
      <c r="L56" s="1" t="str">
        <f t="shared" si="2"/>
        <v>ARM600</v>
      </c>
      <c r="M56" s="1" t="str">
        <f t="shared" si="3"/>
        <v>ARM800</v>
      </c>
      <c r="N56" s="1" t="str">
        <f t="shared" si="4"/>
        <v>ARM1250</v>
      </c>
    </row>
    <row r="57" spans="1:14">
      <c r="A57" s="1" t="s">
        <v>162</v>
      </c>
      <c r="B57" s="580" t="s">
        <v>237</v>
      </c>
      <c r="C57" s="1">
        <v>1600</v>
      </c>
      <c r="D57" s="590">
        <f t="shared" si="0"/>
        <v>0.46891375999999996</v>
      </c>
      <c r="E57" s="592" t="s">
        <v>163</v>
      </c>
      <c r="F57" s="587" t="s">
        <v>238</v>
      </c>
      <c r="G57" s="3" t="s">
        <v>161</v>
      </c>
      <c r="H57" s="52">
        <v>23</v>
      </c>
      <c r="I57" s="52">
        <v>10</v>
      </c>
      <c r="J57" s="52">
        <v>8.75</v>
      </c>
      <c r="K57" s="1" t="str">
        <f t="shared" si="1"/>
        <v>ARM450</v>
      </c>
      <c r="L57" s="1" t="str">
        <f t="shared" si="2"/>
        <v>ARM600</v>
      </c>
      <c r="M57" s="1" t="str">
        <f t="shared" si="3"/>
        <v>ARM800</v>
      </c>
      <c r="N57" s="1" t="str">
        <f t="shared" si="4"/>
        <v>ARM1250</v>
      </c>
    </row>
    <row r="58" spans="1:14">
      <c r="A58" s="1" t="s">
        <v>162</v>
      </c>
      <c r="B58" s="580">
        <v>518</v>
      </c>
      <c r="C58" s="1">
        <v>1800</v>
      </c>
      <c r="D58" s="590">
        <f t="shared" si="0"/>
        <v>0.52752798000000001</v>
      </c>
      <c r="E58" s="3">
        <v>12</v>
      </c>
      <c r="F58" s="587" t="s">
        <v>239</v>
      </c>
      <c r="G58" s="3" t="s">
        <v>161</v>
      </c>
      <c r="H58" s="52">
        <v>17.75</v>
      </c>
      <c r="I58" s="52">
        <v>12</v>
      </c>
      <c r="J58" s="594">
        <v>8.75</v>
      </c>
      <c r="K58" s="1" t="str">
        <f t="shared" si="1"/>
        <v>ARM450</v>
      </c>
      <c r="L58" s="1" t="str">
        <f t="shared" si="2"/>
        <v>ARM600</v>
      </c>
      <c r="M58" s="1" t="str">
        <f t="shared" si="3"/>
        <v>ARM800</v>
      </c>
      <c r="N58" s="1" t="str">
        <f t="shared" si="4"/>
        <v>ARM1250</v>
      </c>
    </row>
    <row r="59" spans="1:14">
      <c r="A59" s="12" t="s">
        <v>173</v>
      </c>
      <c r="B59" s="580" t="s">
        <v>182</v>
      </c>
      <c r="C59" s="1">
        <v>2000</v>
      </c>
      <c r="D59" s="590">
        <f t="shared" si="0"/>
        <v>0.58614219999999995</v>
      </c>
      <c r="E59" s="3">
        <v>12</v>
      </c>
      <c r="F59" s="587" t="s">
        <v>175</v>
      </c>
      <c r="G59" s="3" t="s">
        <v>161</v>
      </c>
      <c r="H59" s="52">
        <v>17.5</v>
      </c>
      <c r="I59" s="52">
        <v>12.5</v>
      </c>
      <c r="J59" s="594">
        <v>11</v>
      </c>
      <c r="K59" s="1" t="str">
        <f t="shared" si="1"/>
        <v>ARM450</v>
      </c>
      <c r="L59" s="1" t="str">
        <f t="shared" si="2"/>
        <v>ARM600</v>
      </c>
      <c r="M59" s="1" t="str">
        <f t="shared" si="3"/>
        <v>ARM800</v>
      </c>
      <c r="N59" s="1" t="str">
        <f t="shared" si="4"/>
        <v>ARM1250</v>
      </c>
    </row>
    <row r="60" spans="1:14">
      <c r="A60" s="12" t="s">
        <v>173</v>
      </c>
      <c r="B60" s="580" t="s">
        <v>183</v>
      </c>
      <c r="C60" s="1">
        <v>2000</v>
      </c>
      <c r="D60" s="590">
        <f t="shared" si="0"/>
        <v>0.58614219999999995</v>
      </c>
      <c r="E60" s="3">
        <v>12</v>
      </c>
      <c r="F60" s="587" t="s">
        <v>176</v>
      </c>
      <c r="G60" s="3" t="s">
        <v>161</v>
      </c>
      <c r="H60" s="52">
        <v>28</v>
      </c>
      <c r="I60" s="52">
        <v>12.5</v>
      </c>
      <c r="J60" s="594">
        <v>11</v>
      </c>
      <c r="K60" s="1" t="str">
        <f t="shared" si="1"/>
        <v>ARM450</v>
      </c>
      <c r="L60" s="1" t="str">
        <f t="shared" si="2"/>
        <v>ARM600</v>
      </c>
      <c r="M60" s="1" t="str">
        <f t="shared" si="3"/>
        <v>ARM800</v>
      </c>
      <c r="N60" s="1" t="str">
        <f t="shared" si="4"/>
        <v>ARM1250</v>
      </c>
    </row>
    <row r="61" spans="1:14">
      <c r="A61" s="12" t="s">
        <v>173</v>
      </c>
      <c r="B61" s="580" t="s">
        <v>184</v>
      </c>
      <c r="C61" s="1">
        <v>2000</v>
      </c>
      <c r="D61" s="590">
        <f t="shared" si="0"/>
        <v>0.58614219999999995</v>
      </c>
      <c r="E61" s="3">
        <v>12</v>
      </c>
      <c r="F61" s="587" t="s">
        <v>178</v>
      </c>
      <c r="G61" s="3" t="s">
        <v>161</v>
      </c>
      <c r="H61" s="52">
        <v>32.75</v>
      </c>
      <c r="I61" s="52">
        <v>12.5</v>
      </c>
      <c r="J61" s="594">
        <v>11</v>
      </c>
      <c r="K61" s="1" t="str">
        <f t="shared" si="1"/>
        <v>N/A</v>
      </c>
      <c r="L61" s="1" t="str">
        <f t="shared" si="2"/>
        <v>ARM600</v>
      </c>
      <c r="M61" s="1" t="str">
        <f t="shared" si="3"/>
        <v>ARM800</v>
      </c>
      <c r="N61" s="1" t="str">
        <f t="shared" si="4"/>
        <v>ARM1250</v>
      </c>
    </row>
    <row r="62" spans="1:14">
      <c r="A62" s="12" t="s">
        <v>173</v>
      </c>
      <c r="B62" s="589" t="s">
        <v>204</v>
      </c>
      <c r="C62" s="12">
        <v>2000</v>
      </c>
      <c r="D62" s="590">
        <f t="shared" ref="D62:D90" si="5">0.0002930711*C62</f>
        <v>0.58614219999999995</v>
      </c>
      <c r="E62" s="592" t="s">
        <v>163</v>
      </c>
      <c r="F62" s="587" t="s">
        <v>203</v>
      </c>
      <c r="G62" s="591" t="s">
        <v>161</v>
      </c>
      <c r="H62" s="52">
        <v>32.25</v>
      </c>
      <c r="I62" s="52">
        <v>14.5</v>
      </c>
      <c r="J62" s="594">
        <v>13</v>
      </c>
      <c r="K62" s="1" t="str">
        <f t="shared" si="1"/>
        <v>N/A</v>
      </c>
      <c r="L62" s="1" t="str">
        <f t="shared" si="2"/>
        <v>ARM600</v>
      </c>
      <c r="M62" s="1" t="str">
        <f t="shared" si="3"/>
        <v>ARM800</v>
      </c>
      <c r="N62" s="1" t="str">
        <f t="shared" si="4"/>
        <v>ARM1250</v>
      </c>
    </row>
    <row r="63" spans="1:14">
      <c r="A63" s="1" t="s">
        <v>159</v>
      </c>
      <c r="B63" s="580" t="s">
        <v>164</v>
      </c>
      <c r="C63" s="1">
        <v>2000</v>
      </c>
      <c r="D63" s="590">
        <f t="shared" si="5"/>
        <v>0.58614219999999995</v>
      </c>
      <c r="E63" s="3">
        <v>12</v>
      </c>
      <c r="F63" s="587" t="s">
        <v>224</v>
      </c>
      <c r="G63" s="3" t="s">
        <v>161</v>
      </c>
      <c r="H63" s="52">
        <v>17.5</v>
      </c>
      <c r="I63" s="52">
        <v>12.5</v>
      </c>
      <c r="J63" s="594">
        <v>10</v>
      </c>
      <c r="K63" s="1" t="str">
        <f t="shared" si="1"/>
        <v>ARM450</v>
      </c>
      <c r="L63" s="1" t="str">
        <f t="shared" si="2"/>
        <v>ARM600</v>
      </c>
      <c r="M63" s="1" t="str">
        <f t="shared" si="3"/>
        <v>ARM800</v>
      </c>
      <c r="N63" s="1" t="str">
        <f t="shared" si="4"/>
        <v>ARM1250</v>
      </c>
    </row>
    <row r="64" spans="1:14">
      <c r="A64" s="1" t="s">
        <v>159</v>
      </c>
      <c r="B64" s="580" t="s">
        <v>165</v>
      </c>
      <c r="C64" s="1">
        <v>2000</v>
      </c>
      <c r="D64" s="590">
        <f t="shared" si="5"/>
        <v>0.58614219999999995</v>
      </c>
      <c r="E64" s="592" t="s">
        <v>163</v>
      </c>
      <c r="F64" s="587" t="s">
        <v>225</v>
      </c>
      <c r="G64" s="3" t="s">
        <v>161</v>
      </c>
      <c r="H64" s="52">
        <v>19.5</v>
      </c>
      <c r="I64" s="52">
        <v>15.1</v>
      </c>
      <c r="J64" s="594">
        <v>15.1</v>
      </c>
      <c r="K64" s="1" t="str">
        <f t="shared" si="1"/>
        <v>ARM450</v>
      </c>
      <c r="L64" s="1" t="str">
        <f t="shared" si="2"/>
        <v>ARM600</v>
      </c>
      <c r="M64" s="1" t="str">
        <f t="shared" si="3"/>
        <v>ARM800</v>
      </c>
      <c r="N64" s="1" t="str">
        <f t="shared" si="4"/>
        <v>ARM1250</v>
      </c>
    </row>
    <row r="65" spans="1:14">
      <c r="A65" s="1" t="s">
        <v>162</v>
      </c>
      <c r="B65" s="580" t="s">
        <v>241</v>
      </c>
      <c r="C65" s="1">
        <v>2200</v>
      </c>
      <c r="D65" s="590">
        <f t="shared" si="5"/>
        <v>0.64475642</v>
      </c>
      <c r="E65" s="3">
        <v>12</v>
      </c>
      <c r="F65" s="587" t="s">
        <v>240</v>
      </c>
      <c r="G65" s="3" t="s">
        <v>166</v>
      </c>
      <c r="H65" s="52">
        <v>10.25</v>
      </c>
      <c r="I65" s="52">
        <v>17</v>
      </c>
      <c r="J65" s="594">
        <v>21</v>
      </c>
      <c r="K65" s="1" t="str">
        <f t="shared" si="1"/>
        <v>N/A</v>
      </c>
      <c r="L65" s="1" t="str">
        <f t="shared" si="2"/>
        <v>N/A</v>
      </c>
      <c r="M65" s="1" t="str">
        <f t="shared" si="3"/>
        <v>ARM800</v>
      </c>
      <c r="N65" s="1" t="str">
        <f t="shared" si="4"/>
        <v>ARM1250</v>
      </c>
    </row>
    <row r="66" spans="1:14">
      <c r="A66" s="1" t="s">
        <v>162</v>
      </c>
      <c r="B66" s="580" t="s">
        <v>242</v>
      </c>
      <c r="C66" s="1">
        <v>2200</v>
      </c>
      <c r="D66" s="590">
        <f t="shared" si="5"/>
        <v>0.64475642</v>
      </c>
      <c r="E66" s="592" t="s">
        <v>163</v>
      </c>
      <c r="F66" s="587" t="s">
        <v>235</v>
      </c>
      <c r="G66" s="3" t="s">
        <v>161</v>
      </c>
      <c r="H66" s="52">
        <v>29.5</v>
      </c>
      <c r="I66" s="52">
        <v>15.75</v>
      </c>
      <c r="J66" s="594">
        <v>8.75</v>
      </c>
      <c r="K66" s="1" t="str">
        <f t="shared" si="1"/>
        <v>ARM450</v>
      </c>
      <c r="L66" s="1" t="str">
        <f t="shared" si="2"/>
        <v>ARM600</v>
      </c>
      <c r="M66" s="1" t="str">
        <f t="shared" si="3"/>
        <v>ARM800</v>
      </c>
      <c r="N66" s="1" t="str">
        <f t="shared" si="4"/>
        <v>ARM1250</v>
      </c>
    </row>
    <row r="67" spans="1:14">
      <c r="A67" s="12" t="s">
        <v>173</v>
      </c>
      <c r="B67" s="580" t="s">
        <v>202</v>
      </c>
      <c r="C67" s="1">
        <v>3000</v>
      </c>
      <c r="D67" s="590">
        <f t="shared" si="5"/>
        <v>0.87921329999999998</v>
      </c>
      <c r="E67" s="592" t="s">
        <v>163</v>
      </c>
      <c r="F67" s="587" t="s">
        <v>201</v>
      </c>
      <c r="G67" s="3" t="s">
        <v>161</v>
      </c>
      <c r="H67" s="52">
        <v>21.25</v>
      </c>
      <c r="I67" s="52">
        <v>12</v>
      </c>
      <c r="J67" s="594">
        <v>12.5</v>
      </c>
      <c r="K67" s="1" t="str">
        <f t="shared" si="1"/>
        <v>ARM450</v>
      </c>
      <c r="L67" s="1" t="str">
        <f t="shared" si="2"/>
        <v>ARM600</v>
      </c>
      <c r="M67" s="1" t="str">
        <f t="shared" si="3"/>
        <v>ARM800</v>
      </c>
      <c r="N67" s="1" t="str">
        <f t="shared" si="4"/>
        <v>ARM1250</v>
      </c>
    </row>
    <row r="68" spans="1:14">
      <c r="A68" s="12" t="s">
        <v>173</v>
      </c>
      <c r="B68" s="589" t="s">
        <v>206</v>
      </c>
      <c r="C68" s="12">
        <v>3000</v>
      </c>
      <c r="D68" s="590">
        <f t="shared" si="5"/>
        <v>0.87921329999999998</v>
      </c>
      <c r="E68" s="592" t="s">
        <v>163</v>
      </c>
      <c r="F68" s="587" t="s">
        <v>203</v>
      </c>
      <c r="G68" s="591" t="s">
        <v>161</v>
      </c>
      <c r="H68" s="52">
        <v>32.25</v>
      </c>
      <c r="I68" s="52">
        <v>14.5</v>
      </c>
      <c r="J68" s="594">
        <v>13</v>
      </c>
      <c r="K68" s="1" t="str">
        <f t="shared" si="1"/>
        <v>N/A</v>
      </c>
      <c r="L68" s="1" t="str">
        <f t="shared" si="2"/>
        <v>ARM600</v>
      </c>
      <c r="M68" s="1" t="str">
        <f t="shared" si="3"/>
        <v>ARM800</v>
      </c>
      <c r="N68" s="1" t="str">
        <f t="shared" si="4"/>
        <v>ARM1250</v>
      </c>
    </row>
    <row r="69" spans="1:14">
      <c r="A69" s="1" t="s">
        <v>159</v>
      </c>
      <c r="B69" s="580" t="s">
        <v>167</v>
      </c>
      <c r="C69" s="1">
        <v>3500</v>
      </c>
      <c r="D69" s="590">
        <f t="shared" si="5"/>
        <v>1.0257488499999998</v>
      </c>
      <c r="E69" s="3">
        <v>12</v>
      </c>
      <c r="F69" s="587" t="s">
        <v>227</v>
      </c>
      <c r="G69" s="3" t="s">
        <v>161</v>
      </c>
      <c r="H69" s="52">
        <v>36</v>
      </c>
      <c r="I69" s="52">
        <v>15.5</v>
      </c>
      <c r="J69" s="594">
        <v>8</v>
      </c>
      <c r="K69" s="1" t="str">
        <f t="shared" si="1"/>
        <v>N/A</v>
      </c>
      <c r="L69" s="1" t="str">
        <f t="shared" si="2"/>
        <v>ARM600</v>
      </c>
      <c r="M69" s="1" t="str">
        <f t="shared" si="3"/>
        <v>ARM800</v>
      </c>
      <c r="N69" s="1" t="str">
        <f t="shared" si="4"/>
        <v>ARM1250</v>
      </c>
    </row>
    <row r="70" spans="1:14">
      <c r="A70" s="12" t="s">
        <v>173</v>
      </c>
      <c r="B70" s="580" t="s">
        <v>185</v>
      </c>
      <c r="C70" s="1">
        <v>4000</v>
      </c>
      <c r="D70" s="590">
        <f t="shared" si="5"/>
        <v>1.1722843999999999</v>
      </c>
      <c r="E70" s="3">
        <v>12</v>
      </c>
      <c r="F70" s="587" t="s">
        <v>176</v>
      </c>
      <c r="G70" s="3" t="s">
        <v>161</v>
      </c>
      <c r="H70" s="52">
        <v>28</v>
      </c>
      <c r="I70" s="52">
        <v>12.5</v>
      </c>
      <c r="J70" s="594">
        <v>11</v>
      </c>
      <c r="K70" s="1" t="str">
        <f t="shared" si="1"/>
        <v>ARM450</v>
      </c>
      <c r="L70" s="1" t="str">
        <f t="shared" si="2"/>
        <v>ARM600</v>
      </c>
      <c r="M70" s="1" t="str">
        <f t="shared" si="3"/>
        <v>ARM800</v>
      </c>
      <c r="N70" s="1" t="str">
        <f t="shared" si="4"/>
        <v>ARM1250</v>
      </c>
    </row>
    <row r="71" spans="1:14">
      <c r="A71" s="12" t="s">
        <v>173</v>
      </c>
      <c r="B71" s="580" t="s">
        <v>186</v>
      </c>
      <c r="C71" s="1">
        <v>4000</v>
      </c>
      <c r="D71" s="590">
        <f t="shared" si="5"/>
        <v>1.1722843999999999</v>
      </c>
      <c r="E71" s="3">
        <v>12</v>
      </c>
      <c r="F71" s="587" t="s">
        <v>178</v>
      </c>
      <c r="G71" s="3" t="s">
        <v>161</v>
      </c>
      <c r="H71" s="52">
        <v>32.75</v>
      </c>
      <c r="I71" s="52">
        <v>12.5</v>
      </c>
      <c r="J71" s="594">
        <v>11</v>
      </c>
      <c r="K71" s="1" t="str">
        <f t="shared" si="1"/>
        <v>N/A</v>
      </c>
      <c r="L71" s="1" t="str">
        <f t="shared" si="2"/>
        <v>ARM600</v>
      </c>
      <c r="M71" s="1" t="str">
        <f t="shared" si="3"/>
        <v>ARM800</v>
      </c>
      <c r="N71" s="1" t="str">
        <f t="shared" si="4"/>
        <v>ARM1250</v>
      </c>
    </row>
    <row r="72" spans="1:14">
      <c r="A72" s="12" t="s">
        <v>173</v>
      </c>
      <c r="B72" s="580" t="s">
        <v>187</v>
      </c>
      <c r="C72" s="1">
        <v>4000</v>
      </c>
      <c r="D72" s="590">
        <f t="shared" si="5"/>
        <v>1.1722843999999999</v>
      </c>
      <c r="E72" s="3">
        <v>12</v>
      </c>
      <c r="F72" s="587" t="s">
        <v>179</v>
      </c>
      <c r="G72" s="3" t="s">
        <v>161</v>
      </c>
      <c r="H72" s="52">
        <v>36.75</v>
      </c>
      <c r="I72" s="52">
        <v>15.5</v>
      </c>
      <c r="J72" s="594">
        <v>11</v>
      </c>
      <c r="K72" s="1" t="str">
        <f t="shared" si="1"/>
        <v>N/A</v>
      </c>
      <c r="L72" s="1" t="str">
        <f t="shared" si="2"/>
        <v>ARM600</v>
      </c>
      <c r="M72" s="1" t="str">
        <f t="shared" si="3"/>
        <v>ARM800</v>
      </c>
      <c r="N72" s="1" t="str">
        <f t="shared" si="4"/>
        <v>ARM1250</v>
      </c>
    </row>
    <row r="73" spans="1:14">
      <c r="A73" s="12" t="s">
        <v>173</v>
      </c>
      <c r="B73" s="580" t="s">
        <v>188</v>
      </c>
      <c r="C73" s="1">
        <v>4000</v>
      </c>
      <c r="D73" s="590">
        <f t="shared" si="5"/>
        <v>1.1722843999999999</v>
      </c>
      <c r="E73" s="3">
        <v>12</v>
      </c>
      <c r="F73" s="587" t="s">
        <v>180</v>
      </c>
      <c r="G73" s="3" t="s">
        <v>161</v>
      </c>
      <c r="H73" s="52">
        <v>47.25</v>
      </c>
      <c r="I73" s="52">
        <v>15.5</v>
      </c>
      <c r="J73" s="594">
        <v>13.5</v>
      </c>
      <c r="K73" s="1" t="str">
        <f t="shared" si="1"/>
        <v>N/A</v>
      </c>
      <c r="L73" s="1" t="str">
        <f t="shared" si="2"/>
        <v>ARM600</v>
      </c>
      <c r="M73" s="1" t="str">
        <f t="shared" si="3"/>
        <v>ARM800</v>
      </c>
      <c r="N73" s="1" t="str">
        <f t="shared" si="4"/>
        <v>ARM1250</v>
      </c>
    </row>
    <row r="74" spans="1:14">
      <c r="A74" s="12" t="s">
        <v>173</v>
      </c>
      <c r="B74" s="589" t="s">
        <v>207</v>
      </c>
      <c r="C74" s="12">
        <v>4000</v>
      </c>
      <c r="D74" s="590">
        <f t="shared" si="5"/>
        <v>1.1722843999999999</v>
      </c>
      <c r="E74" s="592" t="s">
        <v>163</v>
      </c>
      <c r="F74" s="587" t="s">
        <v>203</v>
      </c>
      <c r="G74" s="591" t="s">
        <v>161</v>
      </c>
      <c r="H74" s="52">
        <v>32.25</v>
      </c>
      <c r="I74" s="52">
        <v>14.5</v>
      </c>
      <c r="J74" s="594">
        <v>13</v>
      </c>
      <c r="K74" s="1" t="str">
        <f t="shared" si="1"/>
        <v>N/A</v>
      </c>
      <c r="L74" s="1" t="str">
        <f t="shared" si="2"/>
        <v>ARM600</v>
      </c>
      <c r="M74" s="1" t="str">
        <f t="shared" si="3"/>
        <v>ARM800</v>
      </c>
      <c r="N74" s="1" t="str">
        <f t="shared" si="4"/>
        <v>ARM1250</v>
      </c>
    </row>
    <row r="75" spans="1:14">
      <c r="A75" s="12" t="s">
        <v>173</v>
      </c>
      <c r="B75" s="589" t="s">
        <v>208</v>
      </c>
      <c r="C75" s="12">
        <v>4000</v>
      </c>
      <c r="D75" s="590">
        <f t="shared" si="5"/>
        <v>1.1722843999999999</v>
      </c>
      <c r="E75" s="592" t="s">
        <v>163</v>
      </c>
      <c r="F75" s="587" t="s">
        <v>209</v>
      </c>
      <c r="G75" s="591" t="s">
        <v>161</v>
      </c>
      <c r="H75" s="52">
        <v>37.75</v>
      </c>
      <c r="I75" s="52">
        <v>18.75</v>
      </c>
      <c r="J75" s="594">
        <v>18</v>
      </c>
      <c r="K75" s="1" t="str">
        <f t="shared" si="1"/>
        <v>N/A</v>
      </c>
      <c r="L75" s="1" t="str">
        <f t="shared" si="2"/>
        <v>N/A</v>
      </c>
      <c r="M75" s="1" t="str">
        <f t="shared" si="3"/>
        <v>ARM800</v>
      </c>
      <c r="N75" s="1" t="str">
        <f t="shared" si="4"/>
        <v>ARM1250</v>
      </c>
    </row>
    <row r="76" spans="1:14">
      <c r="A76" s="12" t="s">
        <v>173</v>
      </c>
      <c r="B76" s="589" t="s">
        <v>223</v>
      </c>
      <c r="C76" s="12">
        <v>4000</v>
      </c>
      <c r="D76" s="590">
        <f t="shared" si="5"/>
        <v>1.1722843999999999</v>
      </c>
      <c r="E76" s="592" t="s">
        <v>163</v>
      </c>
      <c r="F76" s="587" t="s">
        <v>217</v>
      </c>
      <c r="G76" s="591" t="s">
        <v>161</v>
      </c>
      <c r="H76" s="52">
        <v>47</v>
      </c>
      <c r="I76" s="52">
        <v>18.75</v>
      </c>
      <c r="J76" s="594">
        <v>18</v>
      </c>
      <c r="K76" s="1" t="str">
        <f t="shared" si="1"/>
        <v>N/A</v>
      </c>
      <c r="L76" s="1" t="str">
        <f t="shared" si="2"/>
        <v>N/A</v>
      </c>
      <c r="M76" s="1" t="str">
        <f t="shared" si="3"/>
        <v>ARM800</v>
      </c>
      <c r="N76" s="1" t="str">
        <f t="shared" si="4"/>
        <v>ARM1250</v>
      </c>
    </row>
    <row r="77" spans="1:14">
      <c r="A77" s="1" t="s">
        <v>162</v>
      </c>
      <c r="B77" s="580">
        <v>540</v>
      </c>
      <c r="C77" s="1">
        <v>4000</v>
      </c>
      <c r="D77" s="590">
        <f t="shared" si="5"/>
        <v>1.1722843999999999</v>
      </c>
      <c r="E77" s="3">
        <v>12</v>
      </c>
      <c r="F77" s="587" t="s">
        <v>236</v>
      </c>
      <c r="G77" s="3" t="s">
        <v>161</v>
      </c>
      <c r="H77" s="52">
        <v>28.5</v>
      </c>
      <c r="I77" s="52">
        <v>17</v>
      </c>
      <c r="J77" s="594">
        <v>11.5</v>
      </c>
      <c r="K77" s="1" t="str">
        <f t="shared" si="1"/>
        <v>ARM450</v>
      </c>
      <c r="L77" s="1" t="str">
        <f t="shared" si="2"/>
        <v>ARM600</v>
      </c>
      <c r="M77" s="1" t="str">
        <f t="shared" si="3"/>
        <v>ARM800</v>
      </c>
      <c r="N77" s="1" t="str">
        <f t="shared" si="4"/>
        <v>ARM1250</v>
      </c>
    </row>
    <row r="78" spans="1:14">
      <c r="A78" s="1" t="s">
        <v>162</v>
      </c>
      <c r="B78" s="580" t="s">
        <v>234</v>
      </c>
      <c r="C78" s="1">
        <v>4000</v>
      </c>
      <c r="D78" s="590">
        <f t="shared" si="5"/>
        <v>1.1722843999999999</v>
      </c>
      <c r="E78" s="592" t="s">
        <v>163</v>
      </c>
      <c r="F78" s="587" t="s">
        <v>235</v>
      </c>
      <c r="G78" s="3" t="s">
        <v>161</v>
      </c>
      <c r="H78" s="52">
        <v>29.5</v>
      </c>
      <c r="I78" s="52">
        <v>15.75</v>
      </c>
      <c r="J78" s="594">
        <v>8.75</v>
      </c>
      <c r="K78" s="1" t="str">
        <f t="shared" si="1"/>
        <v>ARM450</v>
      </c>
      <c r="L78" s="1" t="str">
        <f t="shared" si="2"/>
        <v>ARM600</v>
      </c>
      <c r="M78" s="1" t="str">
        <f t="shared" si="3"/>
        <v>ARM800</v>
      </c>
      <c r="N78" s="1" t="str">
        <f t="shared" si="4"/>
        <v>ARM1250</v>
      </c>
    </row>
    <row r="79" spans="1:14">
      <c r="A79" s="1" t="s">
        <v>159</v>
      </c>
      <c r="B79" s="580" t="s">
        <v>169</v>
      </c>
      <c r="C79" s="1">
        <v>4500</v>
      </c>
      <c r="D79" s="590">
        <f t="shared" si="5"/>
        <v>1.31881995</v>
      </c>
      <c r="E79" s="3">
        <v>12</v>
      </c>
      <c r="F79" s="587" t="s">
        <v>230</v>
      </c>
      <c r="G79" s="3" t="s">
        <v>166</v>
      </c>
      <c r="H79" s="52">
        <v>16</v>
      </c>
      <c r="I79" s="52">
        <v>23.75</v>
      </c>
      <c r="J79" s="594">
        <v>15.5</v>
      </c>
      <c r="K79" s="1" t="str">
        <f t="shared" si="1"/>
        <v>ARM450</v>
      </c>
      <c r="L79" s="1" t="str">
        <f t="shared" si="2"/>
        <v>ARM600</v>
      </c>
      <c r="M79" s="1" t="str">
        <f t="shared" si="3"/>
        <v>ARM800</v>
      </c>
      <c r="N79" s="1" t="str">
        <f t="shared" si="4"/>
        <v>ARM1250</v>
      </c>
    </row>
    <row r="80" spans="1:14">
      <c r="A80" s="12" t="s">
        <v>173</v>
      </c>
      <c r="B80" s="589" t="s">
        <v>210</v>
      </c>
      <c r="C80" s="12">
        <v>5000</v>
      </c>
      <c r="D80" s="590">
        <f t="shared" si="5"/>
        <v>1.4653554999999998</v>
      </c>
      <c r="E80" s="592" t="s">
        <v>163</v>
      </c>
      <c r="F80" s="587" t="s">
        <v>209</v>
      </c>
      <c r="G80" s="591" t="s">
        <v>161</v>
      </c>
      <c r="H80" s="52">
        <v>37.75</v>
      </c>
      <c r="I80" s="52">
        <v>18.75</v>
      </c>
      <c r="J80" s="594">
        <v>18</v>
      </c>
      <c r="K80" s="1" t="str">
        <f t="shared" si="1"/>
        <v>N/A</v>
      </c>
      <c r="L80" s="1" t="str">
        <f t="shared" si="2"/>
        <v>N/A</v>
      </c>
      <c r="M80" s="1" t="str">
        <f t="shared" si="3"/>
        <v>ARM800</v>
      </c>
      <c r="N80" s="1" t="str">
        <f t="shared" si="4"/>
        <v>ARM1250</v>
      </c>
    </row>
    <row r="81" spans="1:14">
      <c r="A81" s="12" t="s">
        <v>173</v>
      </c>
      <c r="B81" s="589" t="s">
        <v>222</v>
      </c>
      <c r="C81" s="12">
        <v>5000</v>
      </c>
      <c r="D81" s="590">
        <f t="shared" si="5"/>
        <v>1.4653554999999998</v>
      </c>
      <c r="E81" s="592" t="s">
        <v>163</v>
      </c>
      <c r="F81" s="587" t="s">
        <v>217</v>
      </c>
      <c r="G81" s="591" t="s">
        <v>161</v>
      </c>
      <c r="H81" s="52">
        <v>47</v>
      </c>
      <c r="I81" s="52">
        <v>18.75</v>
      </c>
      <c r="J81" s="594">
        <v>18</v>
      </c>
      <c r="K81" s="1" t="str">
        <f t="shared" si="1"/>
        <v>N/A</v>
      </c>
      <c r="L81" s="1" t="str">
        <f t="shared" si="2"/>
        <v>N/A</v>
      </c>
      <c r="M81" s="1" t="str">
        <f t="shared" si="3"/>
        <v>ARM800</v>
      </c>
      <c r="N81" s="1" t="str">
        <f t="shared" si="4"/>
        <v>ARM1250</v>
      </c>
    </row>
    <row r="82" spans="1:14">
      <c r="A82" s="12" t="s">
        <v>173</v>
      </c>
      <c r="B82" s="580" t="s">
        <v>189</v>
      </c>
      <c r="C82" s="1">
        <v>6000</v>
      </c>
      <c r="D82" s="590">
        <f t="shared" si="5"/>
        <v>1.7584266</v>
      </c>
      <c r="E82" s="3">
        <v>12</v>
      </c>
      <c r="F82" s="587" t="s">
        <v>179</v>
      </c>
      <c r="G82" s="3" t="s">
        <v>161</v>
      </c>
      <c r="H82" s="52">
        <v>36.75</v>
      </c>
      <c r="I82" s="52">
        <v>15.5</v>
      </c>
      <c r="J82" s="594">
        <v>11</v>
      </c>
      <c r="K82" s="1" t="str">
        <f t="shared" si="1"/>
        <v>N/A</v>
      </c>
      <c r="L82" s="1" t="str">
        <f t="shared" si="2"/>
        <v>ARM600</v>
      </c>
      <c r="M82" s="1" t="str">
        <f t="shared" si="3"/>
        <v>ARM800</v>
      </c>
      <c r="N82" s="1" t="str">
        <f t="shared" si="4"/>
        <v>ARM1250</v>
      </c>
    </row>
    <row r="83" spans="1:14">
      <c r="A83" s="12" t="s">
        <v>173</v>
      </c>
      <c r="B83" s="580" t="s">
        <v>190</v>
      </c>
      <c r="C83" s="1">
        <v>6000</v>
      </c>
      <c r="D83" s="590">
        <f t="shared" si="5"/>
        <v>1.7584266</v>
      </c>
      <c r="E83" s="3">
        <v>12</v>
      </c>
      <c r="F83" s="587" t="s">
        <v>180</v>
      </c>
      <c r="G83" s="3" t="s">
        <v>161</v>
      </c>
      <c r="H83" s="52">
        <v>47.25</v>
      </c>
      <c r="I83" s="52">
        <v>15.5</v>
      </c>
      <c r="J83" s="594">
        <v>13.5</v>
      </c>
      <c r="K83" s="1" t="str">
        <f t="shared" si="1"/>
        <v>N/A</v>
      </c>
      <c r="L83" s="1" t="str">
        <f t="shared" si="2"/>
        <v>ARM600</v>
      </c>
      <c r="M83" s="1" t="str">
        <f t="shared" si="3"/>
        <v>ARM800</v>
      </c>
      <c r="N83" s="1" t="str">
        <f t="shared" si="4"/>
        <v>ARM1250</v>
      </c>
    </row>
    <row r="84" spans="1:14">
      <c r="A84" s="12" t="s">
        <v>173</v>
      </c>
      <c r="B84" s="589" t="s">
        <v>211</v>
      </c>
      <c r="C84" s="12">
        <v>6000</v>
      </c>
      <c r="D84" s="590">
        <f t="shared" si="5"/>
        <v>1.7584266</v>
      </c>
      <c r="E84" s="592" t="s">
        <v>163</v>
      </c>
      <c r="F84" s="587" t="s">
        <v>209</v>
      </c>
      <c r="G84" s="591" t="s">
        <v>161</v>
      </c>
      <c r="H84" s="52">
        <v>37.75</v>
      </c>
      <c r="I84" s="52">
        <v>18.75</v>
      </c>
      <c r="J84" s="594">
        <v>18</v>
      </c>
      <c r="K84" s="1" t="str">
        <f t="shared" si="1"/>
        <v>N/A</v>
      </c>
      <c r="L84" s="1" t="str">
        <f t="shared" si="2"/>
        <v>N/A</v>
      </c>
      <c r="M84" s="1" t="str">
        <f t="shared" si="3"/>
        <v>ARM800</v>
      </c>
      <c r="N84" s="1" t="str">
        <f t="shared" si="4"/>
        <v>ARM1250</v>
      </c>
    </row>
    <row r="85" spans="1:14">
      <c r="A85" s="12" t="s">
        <v>173</v>
      </c>
      <c r="B85" s="589" t="s">
        <v>221</v>
      </c>
      <c r="C85" s="12">
        <v>6000</v>
      </c>
      <c r="D85" s="590">
        <f t="shared" si="5"/>
        <v>1.7584266</v>
      </c>
      <c r="E85" s="592" t="s">
        <v>163</v>
      </c>
      <c r="F85" s="587" t="s">
        <v>217</v>
      </c>
      <c r="G85" s="591" t="s">
        <v>161</v>
      </c>
      <c r="H85" s="52">
        <v>47</v>
      </c>
      <c r="I85" s="52">
        <v>18.75</v>
      </c>
      <c r="J85" s="594">
        <v>18</v>
      </c>
      <c r="K85" s="1" t="str">
        <f t="shared" si="1"/>
        <v>N/A</v>
      </c>
      <c r="L85" s="1" t="str">
        <f t="shared" si="2"/>
        <v>N/A</v>
      </c>
      <c r="M85" s="1" t="str">
        <f t="shared" si="3"/>
        <v>ARM800</v>
      </c>
      <c r="N85" s="1" t="str">
        <f t="shared" si="4"/>
        <v>ARM1250</v>
      </c>
    </row>
    <row r="86" spans="1:14">
      <c r="A86" s="1" t="s">
        <v>162</v>
      </c>
      <c r="B86" s="580">
        <v>560</v>
      </c>
      <c r="C86" s="1">
        <v>6000</v>
      </c>
      <c r="D86" s="590">
        <f t="shared" si="5"/>
        <v>1.7584266</v>
      </c>
      <c r="E86" s="3">
        <v>12</v>
      </c>
      <c r="F86" s="587" t="s">
        <v>233</v>
      </c>
      <c r="G86" s="3" t="s">
        <v>161</v>
      </c>
      <c r="H86" s="52">
        <v>38.75</v>
      </c>
      <c r="I86" s="52">
        <v>15</v>
      </c>
      <c r="J86" s="594">
        <v>11.5</v>
      </c>
      <c r="K86" s="1" t="str">
        <f t="shared" si="1"/>
        <v>N/A</v>
      </c>
      <c r="L86" s="1" t="str">
        <f t="shared" si="2"/>
        <v>ARM600</v>
      </c>
      <c r="M86" s="1" t="str">
        <f t="shared" si="3"/>
        <v>ARM800</v>
      </c>
      <c r="N86" s="1" t="str">
        <f t="shared" si="4"/>
        <v>ARM1250</v>
      </c>
    </row>
    <row r="87" spans="1:14">
      <c r="A87" s="1" t="s">
        <v>159</v>
      </c>
      <c r="B87" s="580" t="s">
        <v>170</v>
      </c>
      <c r="C87" s="1">
        <v>6000</v>
      </c>
      <c r="D87" s="590">
        <f t="shared" si="5"/>
        <v>1.7584266</v>
      </c>
      <c r="E87" s="3">
        <v>12</v>
      </c>
      <c r="F87" s="587" t="s">
        <v>229</v>
      </c>
      <c r="G87" s="3" t="s">
        <v>161</v>
      </c>
      <c r="H87" s="52">
        <v>53.15</v>
      </c>
      <c r="I87" s="52">
        <v>15.5</v>
      </c>
      <c r="J87" s="594">
        <v>8</v>
      </c>
      <c r="K87" s="1" t="str">
        <f t="shared" si="1"/>
        <v>N/A</v>
      </c>
      <c r="L87" s="1" t="str">
        <f t="shared" si="2"/>
        <v>N/A</v>
      </c>
      <c r="M87" s="1" t="str">
        <f t="shared" si="3"/>
        <v>NA</v>
      </c>
      <c r="N87" s="1" t="str">
        <f t="shared" si="4"/>
        <v>ARM1250</v>
      </c>
    </row>
    <row r="88" spans="1:14">
      <c r="A88" s="12" t="s">
        <v>173</v>
      </c>
      <c r="B88" s="589" t="s">
        <v>212</v>
      </c>
      <c r="C88" s="12">
        <v>7000</v>
      </c>
      <c r="D88" s="590">
        <f t="shared" si="5"/>
        <v>2.0514976999999996</v>
      </c>
      <c r="E88" s="592" t="s">
        <v>163</v>
      </c>
      <c r="F88" s="587" t="s">
        <v>209</v>
      </c>
      <c r="G88" s="591" t="s">
        <v>161</v>
      </c>
      <c r="H88" s="52">
        <v>37.75</v>
      </c>
      <c r="I88" s="52">
        <v>18.75</v>
      </c>
      <c r="J88" s="594">
        <v>18</v>
      </c>
      <c r="K88" s="1" t="str">
        <f t="shared" si="1"/>
        <v>N/A</v>
      </c>
      <c r="L88" s="1" t="str">
        <f t="shared" si="2"/>
        <v>N/A</v>
      </c>
      <c r="M88" s="1" t="str">
        <f t="shared" si="3"/>
        <v>ARM800</v>
      </c>
      <c r="N88" s="1" t="str">
        <f t="shared" si="4"/>
        <v>ARM1250</v>
      </c>
    </row>
    <row r="89" spans="1:14">
      <c r="A89" s="12" t="s">
        <v>173</v>
      </c>
      <c r="B89" s="589" t="s">
        <v>220</v>
      </c>
      <c r="C89" s="12">
        <v>7000</v>
      </c>
      <c r="D89" s="590">
        <f t="shared" si="5"/>
        <v>2.0514976999999996</v>
      </c>
      <c r="E89" s="592" t="s">
        <v>163</v>
      </c>
      <c r="F89" s="587" t="s">
        <v>217</v>
      </c>
      <c r="G89" s="591" t="s">
        <v>161</v>
      </c>
      <c r="H89" s="52">
        <v>47</v>
      </c>
      <c r="I89" s="52">
        <v>18.75</v>
      </c>
      <c r="J89" s="594">
        <v>18</v>
      </c>
      <c r="K89" s="1" t="str">
        <f t="shared" si="1"/>
        <v>N/A</v>
      </c>
      <c r="L89" s="1" t="str">
        <f t="shared" si="2"/>
        <v>N/A</v>
      </c>
      <c r="M89" s="1" t="str">
        <f t="shared" si="3"/>
        <v>ARM800</v>
      </c>
      <c r="N89" s="1" t="str">
        <f t="shared" si="4"/>
        <v>ARM1250</v>
      </c>
    </row>
    <row r="90" spans="1:14">
      <c r="A90" s="1" t="s">
        <v>159</v>
      </c>
      <c r="B90" s="580" t="s">
        <v>171</v>
      </c>
      <c r="C90" s="1">
        <v>8000</v>
      </c>
      <c r="D90" s="590">
        <f t="shared" si="5"/>
        <v>2.3445687999999998</v>
      </c>
      <c r="E90" s="3">
        <v>12</v>
      </c>
      <c r="F90" s="52" t="s">
        <v>228</v>
      </c>
      <c r="G90" s="3" t="s">
        <v>161</v>
      </c>
      <c r="H90" s="52">
        <v>53.15</v>
      </c>
      <c r="I90" s="52">
        <v>15.75</v>
      </c>
      <c r="J90" s="594">
        <v>10.75</v>
      </c>
      <c r="K90" s="1" t="str">
        <f t="shared" si="1"/>
        <v>N/A</v>
      </c>
      <c r="L90" s="1" t="str">
        <f t="shared" si="2"/>
        <v>N/A</v>
      </c>
      <c r="M90" s="1" t="str">
        <f t="shared" si="3"/>
        <v>NA</v>
      </c>
      <c r="N90" s="1" t="str">
        <f t="shared" si="4"/>
        <v>ARM1250</v>
      </c>
    </row>
    <row r="91" spans="1:14">
      <c r="A91" s="12" t="s">
        <v>173</v>
      </c>
      <c r="B91" s="580" t="s">
        <v>191</v>
      </c>
      <c r="C91" s="1">
        <v>8000</v>
      </c>
      <c r="D91" s="590">
        <f t="shared" ref="D91:D106" si="6">0.0002930711*C91</f>
        <v>2.3445687999999998</v>
      </c>
      <c r="E91" s="3">
        <v>12</v>
      </c>
      <c r="F91" s="587" t="s">
        <v>180</v>
      </c>
      <c r="G91" s="3" t="s">
        <v>161</v>
      </c>
      <c r="H91" s="52">
        <v>47.25</v>
      </c>
      <c r="I91" s="52">
        <v>15.5</v>
      </c>
      <c r="J91" s="594">
        <v>13.5</v>
      </c>
      <c r="K91" s="1" t="str">
        <f t="shared" si="1"/>
        <v>N/A</v>
      </c>
      <c r="L91" s="1" t="str">
        <f t="shared" si="2"/>
        <v>ARM600</v>
      </c>
      <c r="M91" s="1" t="str">
        <f t="shared" si="3"/>
        <v>ARM800</v>
      </c>
      <c r="N91" s="1" t="str">
        <f t="shared" si="4"/>
        <v>ARM1250</v>
      </c>
    </row>
    <row r="92" spans="1:14">
      <c r="A92" s="12" t="s">
        <v>173</v>
      </c>
      <c r="B92" s="589" t="s">
        <v>213</v>
      </c>
      <c r="C92" s="12">
        <v>8000</v>
      </c>
      <c r="D92" s="590">
        <f>0.0002930711*C92</f>
        <v>2.3445687999999998</v>
      </c>
      <c r="E92" s="592" t="s">
        <v>163</v>
      </c>
      <c r="F92" s="587" t="s">
        <v>209</v>
      </c>
      <c r="G92" s="591" t="s">
        <v>161</v>
      </c>
      <c r="H92" s="52">
        <v>37.75</v>
      </c>
      <c r="I92" s="52">
        <v>18.75</v>
      </c>
      <c r="J92" s="594">
        <v>18</v>
      </c>
      <c r="K92" s="1" t="str">
        <f t="shared" si="1"/>
        <v>N/A</v>
      </c>
      <c r="L92" s="1" t="str">
        <f t="shared" si="2"/>
        <v>N/A</v>
      </c>
      <c r="M92" s="1" t="str">
        <f t="shared" si="3"/>
        <v>ARM800</v>
      </c>
      <c r="N92" s="1" t="str">
        <f t="shared" si="4"/>
        <v>ARM1250</v>
      </c>
    </row>
    <row r="93" spans="1:14">
      <c r="A93" s="12" t="s">
        <v>173</v>
      </c>
      <c r="B93" s="589" t="s">
        <v>219</v>
      </c>
      <c r="C93" s="12">
        <v>8000</v>
      </c>
      <c r="D93" s="590">
        <f>0.0002930711*C93</f>
        <v>2.3445687999999998</v>
      </c>
      <c r="E93" s="592" t="s">
        <v>163</v>
      </c>
      <c r="F93" s="587" t="s">
        <v>217</v>
      </c>
      <c r="G93" s="591" t="s">
        <v>161</v>
      </c>
      <c r="H93" s="52">
        <v>47</v>
      </c>
      <c r="I93" s="52">
        <v>18.75</v>
      </c>
      <c r="J93" s="594">
        <v>18</v>
      </c>
      <c r="K93" s="1" t="str">
        <f t="shared" si="1"/>
        <v>N/A</v>
      </c>
      <c r="L93" s="1" t="str">
        <f t="shared" si="2"/>
        <v>N/A</v>
      </c>
      <c r="M93" s="1" t="str">
        <f t="shared" si="3"/>
        <v>ARM800</v>
      </c>
      <c r="N93" s="1" t="str">
        <f t="shared" si="4"/>
        <v>ARM1250</v>
      </c>
    </row>
    <row r="94" spans="1:14">
      <c r="A94" s="12" t="s">
        <v>162</v>
      </c>
      <c r="B94" s="589" t="s">
        <v>231</v>
      </c>
      <c r="C94" s="12">
        <v>8500</v>
      </c>
      <c r="D94" s="590">
        <f>0.0002930711*C94</f>
        <v>2.4911043499999996</v>
      </c>
      <c r="E94" s="592" t="s">
        <v>163</v>
      </c>
      <c r="F94" s="587" t="s">
        <v>232</v>
      </c>
      <c r="G94" s="591" t="s">
        <v>161</v>
      </c>
      <c r="H94" s="52">
        <v>43.5</v>
      </c>
      <c r="I94" s="52">
        <v>15.75</v>
      </c>
      <c r="J94" s="594">
        <v>10.25</v>
      </c>
      <c r="K94" s="1" t="str">
        <f t="shared" si="1"/>
        <v>N/A</v>
      </c>
      <c r="L94" s="1" t="str">
        <f t="shared" si="2"/>
        <v>ARM600</v>
      </c>
      <c r="M94" s="1" t="str">
        <f t="shared" si="3"/>
        <v>ARM800</v>
      </c>
      <c r="N94" s="1" t="str">
        <f t="shared" si="4"/>
        <v>ARM1250</v>
      </c>
    </row>
    <row r="95" spans="1:14">
      <c r="A95" s="12" t="s">
        <v>173</v>
      </c>
      <c r="B95" s="589" t="s">
        <v>214</v>
      </c>
      <c r="C95" s="12">
        <v>9000</v>
      </c>
      <c r="D95" s="590">
        <f>0.0002930711*C95</f>
        <v>2.6376398999999999</v>
      </c>
      <c r="E95" s="592" t="s">
        <v>163</v>
      </c>
      <c r="F95" s="587" t="s">
        <v>209</v>
      </c>
      <c r="G95" s="591" t="s">
        <v>161</v>
      </c>
      <c r="H95" s="52">
        <v>37.75</v>
      </c>
      <c r="I95" s="52">
        <v>18.75</v>
      </c>
      <c r="J95" s="594">
        <v>18</v>
      </c>
      <c r="K95" s="1" t="str">
        <f t="shared" si="1"/>
        <v>N/A</v>
      </c>
      <c r="L95" s="1" t="str">
        <f t="shared" si="2"/>
        <v>N/A</v>
      </c>
      <c r="M95" s="1" t="str">
        <f t="shared" si="3"/>
        <v>ARM800</v>
      </c>
      <c r="N95" s="1" t="str">
        <f t="shared" si="4"/>
        <v>ARM1250</v>
      </c>
    </row>
    <row r="96" spans="1:14">
      <c r="A96" s="12" t="s">
        <v>173</v>
      </c>
      <c r="B96" s="589" t="s">
        <v>218</v>
      </c>
      <c r="C96" s="12">
        <v>9000</v>
      </c>
      <c r="D96" s="590">
        <f>0.0002930711*C96</f>
        <v>2.6376398999999999</v>
      </c>
      <c r="E96" s="592" t="s">
        <v>163</v>
      </c>
      <c r="F96" s="587" t="s">
        <v>217</v>
      </c>
      <c r="G96" s="591" t="s">
        <v>161</v>
      </c>
      <c r="H96" s="52">
        <v>47</v>
      </c>
      <c r="I96" s="52">
        <v>18.75</v>
      </c>
      <c r="J96" s="594">
        <v>18</v>
      </c>
      <c r="K96" s="1" t="str">
        <f t="shared" si="1"/>
        <v>N/A</v>
      </c>
      <c r="L96" s="1" t="str">
        <f t="shared" si="2"/>
        <v>N/A</v>
      </c>
      <c r="M96" s="1" t="str">
        <f t="shared" si="3"/>
        <v>ARM800</v>
      </c>
      <c r="N96" s="1" t="str">
        <f t="shared" si="4"/>
        <v>ARM1250</v>
      </c>
    </row>
    <row r="97" spans="1:14">
      <c r="A97" s="12" t="s">
        <v>173</v>
      </c>
      <c r="B97" s="580" t="s">
        <v>192</v>
      </c>
      <c r="C97" s="1">
        <v>10000</v>
      </c>
      <c r="D97" s="590">
        <f t="shared" si="6"/>
        <v>2.9307109999999996</v>
      </c>
      <c r="E97" s="3">
        <v>12</v>
      </c>
      <c r="F97" s="587" t="s">
        <v>180</v>
      </c>
      <c r="G97" s="3" t="s">
        <v>161</v>
      </c>
      <c r="H97" s="52">
        <v>47.25</v>
      </c>
      <c r="I97" s="52">
        <v>15.5</v>
      </c>
      <c r="J97" s="594">
        <v>13.5</v>
      </c>
      <c r="K97" s="1" t="str">
        <f t="shared" si="1"/>
        <v>N/A</v>
      </c>
      <c r="L97" s="1" t="str">
        <f t="shared" si="2"/>
        <v>ARM600</v>
      </c>
      <c r="M97" s="1" t="str">
        <f t="shared" si="3"/>
        <v>ARM800</v>
      </c>
      <c r="N97" s="1" t="str">
        <f t="shared" si="4"/>
        <v>ARM1250</v>
      </c>
    </row>
    <row r="98" spans="1:14">
      <c r="A98" s="12" t="s">
        <v>173</v>
      </c>
      <c r="B98" s="589" t="s">
        <v>215</v>
      </c>
      <c r="C98" s="12">
        <v>10000</v>
      </c>
      <c r="D98" s="590">
        <f>0.0002930711*C98</f>
        <v>2.9307109999999996</v>
      </c>
      <c r="E98" s="592" t="s">
        <v>163</v>
      </c>
      <c r="F98" s="587" t="s">
        <v>209</v>
      </c>
      <c r="G98" s="591" t="s">
        <v>161</v>
      </c>
      <c r="H98" s="52">
        <v>37.75</v>
      </c>
      <c r="I98" s="52">
        <v>18.75</v>
      </c>
      <c r="J98" s="594">
        <v>18</v>
      </c>
      <c r="K98" s="1" t="str">
        <f t="shared" si="1"/>
        <v>N/A</v>
      </c>
      <c r="L98" s="1" t="str">
        <f t="shared" si="2"/>
        <v>N/A</v>
      </c>
      <c r="M98" s="1" t="str">
        <f t="shared" si="3"/>
        <v>ARM800</v>
      </c>
      <c r="N98" s="1" t="str">
        <f t="shared" si="4"/>
        <v>ARM1250</v>
      </c>
    </row>
    <row r="99" spans="1:14">
      <c r="A99" s="12" t="s">
        <v>173</v>
      </c>
      <c r="B99" s="580" t="s">
        <v>193</v>
      </c>
      <c r="C99" s="1">
        <v>12000</v>
      </c>
      <c r="D99" s="590">
        <f t="shared" si="6"/>
        <v>3.5168531999999999</v>
      </c>
      <c r="E99" s="3">
        <v>12</v>
      </c>
      <c r="F99" s="587" t="s">
        <v>180</v>
      </c>
      <c r="G99" s="3" t="s">
        <v>161</v>
      </c>
      <c r="H99" s="52">
        <v>47.25</v>
      </c>
      <c r="I99" s="52">
        <v>15.5</v>
      </c>
      <c r="J99" s="594">
        <v>13.5</v>
      </c>
      <c r="K99" s="1" t="str">
        <f t="shared" si="1"/>
        <v>N/A</v>
      </c>
      <c r="L99" s="1" t="str">
        <f t="shared" si="2"/>
        <v>ARM600</v>
      </c>
      <c r="M99" s="1" t="str">
        <f t="shared" si="3"/>
        <v>ARM800</v>
      </c>
      <c r="N99" s="1" t="str">
        <f t="shared" si="4"/>
        <v>ARM1250</v>
      </c>
    </row>
    <row r="100" spans="1:14">
      <c r="A100" s="12" t="s">
        <v>173</v>
      </c>
      <c r="B100" s="589" t="s">
        <v>216</v>
      </c>
      <c r="C100" s="12">
        <v>10000</v>
      </c>
      <c r="D100" s="590">
        <f>0.0002930711*C100</f>
        <v>2.9307109999999996</v>
      </c>
      <c r="E100" s="592" t="s">
        <v>163</v>
      </c>
      <c r="F100" s="587" t="s">
        <v>217</v>
      </c>
      <c r="G100" s="591" t="s">
        <v>161</v>
      </c>
      <c r="H100" s="52">
        <v>47</v>
      </c>
      <c r="I100" s="52">
        <v>18.75</v>
      </c>
      <c r="J100" s="594">
        <v>18</v>
      </c>
      <c r="K100" s="1" t="str">
        <f t="shared" si="1"/>
        <v>N/A</v>
      </c>
      <c r="L100" s="1" t="str">
        <f t="shared" si="2"/>
        <v>N/A</v>
      </c>
      <c r="M100" s="1" t="str">
        <f t="shared" si="3"/>
        <v>ARM800</v>
      </c>
      <c r="N100" s="1" t="str">
        <f t="shared" si="4"/>
        <v>ARM1250</v>
      </c>
    </row>
    <row r="101" spans="1:14">
      <c r="A101" s="1" t="s">
        <v>159</v>
      </c>
      <c r="B101" s="580" t="s">
        <v>172</v>
      </c>
      <c r="C101" s="1">
        <v>12000</v>
      </c>
      <c r="D101" s="590">
        <f>0.0002930711*C101</f>
        <v>3.5168531999999999</v>
      </c>
      <c r="E101" s="3">
        <v>12</v>
      </c>
      <c r="F101" s="52" t="s">
        <v>228</v>
      </c>
      <c r="G101" s="3" t="s">
        <v>161</v>
      </c>
      <c r="H101" s="52">
        <v>53.15</v>
      </c>
      <c r="I101" s="52">
        <v>15.75</v>
      </c>
      <c r="J101" s="594">
        <v>10.75</v>
      </c>
      <c r="K101" s="1" t="str">
        <f t="shared" si="1"/>
        <v>N/A</v>
      </c>
      <c r="L101" s="1" t="str">
        <f t="shared" si="2"/>
        <v>N/A</v>
      </c>
      <c r="M101" s="1" t="str">
        <f t="shared" si="3"/>
        <v>NA</v>
      </c>
      <c r="N101" s="1" t="str">
        <f t="shared" si="4"/>
        <v>ARM1250</v>
      </c>
    </row>
    <row r="102" spans="1:14">
      <c r="A102" s="12" t="s">
        <v>173</v>
      </c>
      <c r="B102" s="580" t="s">
        <v>194</v>
      </c>
      <c r="C102" s="1">
        <v>14000</v>
      </c>
      <c r="D102" s="590">
        <f t="shared" si="6"/>
        <v>4.1029953999999993</v>
      </c>
      <c r="E102" s="3">
        <v>12</v>
      </c>
      <c r="F102" s="587" t="s">
        <v>197</v>
      </c>
      <c r="G102" s="3" t="s">
        <v>161</v>
      </c>
      <c r="H102" s="52">
        <v>52.5</v>
      </c>
      <c r="I102" s="52">
        <v>17.25</v>
      </c>
      <c r="J102" s="594">
        <v>15.75</v>
      </c>
      <c r="K102" s="1" t="str">
        <f t="shared" si="1"/>
        <v>N/A</v>
      </c>
      <c r="L102" s="1" t="str">
        <f t="shared" si="2"/>
        <v>N/A</v>
      </c>
      <c r="M102" s="1" t="str">
        <f t="shared" si="3"/>
        <v>NA</v>
      </c>
      <c r="N102" s="1" t="str">
        <f t="shared" si="4"/>
        <v>ARM1250</v>
      </c>
    </row>
    <row r="103" spans="1:14">
      <c r="A103" s="12" t="s">
        <v>173</v>
      </c>
      <c r="B103" s="580" t="s">
        <v>195</v>
      </c>
      <c r="C103" s="1">
        <v>16000</v>
      </c>
      <c r="D103" s="590">
        <f t="shared" si="6"/>
        <v>4.6891375999999996</v>
      </c>
      <c r="E103" s="3">
        <v>12</v>
      </c>
      <c r="F103" s="587" t="s">
        <v>197</v>
      </c>
      <c r="G103" s="3" t="s">
        <v>161</v>
      </c>
      <c r="H103" s="52">
        <v>52.5</v>
      </c>
      <c r="I103" s="52">
        <v>17.25</v>
      </c>
      <c r="J103" s="594">
        <v>15.75</v>
      </c>
      <c r="K103" s="1" t="str">
        <f t="shared" si="1"/>
        <v>N/A</v>
      </c>
      <c r="L103" s="1" t="str">
        <f t="shared" si="2"/>
        <v>N/A</v>
      </c>
      <c r="M103" s="1" t="str">
        <f t="shared" si="3"/>
        <v>NA</v>
      </c>
      <c r="N103" s="1" t="str">
        <f t="shared" si="4"/>
        <v>ARM1250</v>
      </c>
    </row>
    <row r="104" spans="1:14">
      <c r="A104" s="12" t="s">
        <v>173</v>
      </c>
      <c r="B104" s="580" t="s">
        <v>196</v>
      </c>
      <c r="C104" s="1">
        <v>18000</v>
      </c>
      <c r="D104" s="590">
        <f t="shared" si="6"/>
        <v>5.2752797999999999</v>
      </c>
      <c r="E104" s="3">
        <v>12</v>
      </c>
      <c r="F104" s="587" t="s">
        <v>197</v>
      </c>
      <c r="G104" s="3" t="s">
        <v>161</v>
      </c>
      <c r="H104" s="52">
        <v>52.5</v>
      </c>
      <c r="I104" s="52">
        <v>17.25</v>
      </c>
      <c r="J104" s="594">
        <v>15.75</v>
      </c>
      <c r="K104" s="1" t="str">
        <f t="shared" si="1"/>
        <v>N/A</v>
      </c>
      <c r="L104" s="1" t="str">
        <f t="shared" si="2"/>
        <v>N/A</v>
      </c>
      <c r="M104" s="1" t="str">
        <f t="shared" si="3"/>
        <v>NA</v>
      </c>
      <c r="N104" s="1" t="str">
        <f t="shared" si="4"/>
        <v>ARM1250</v>
      </c>
    </row>
    <row r="105" spans="1:14">
      <c r="A105" s="12" t="s">
        <v>173</v>
      </c>
      <c r="B105" s="580" t="s">
        <v>198</v>
      </c>
      <c r="C105" s="1">
        <v>20000</v>
      </c>
      <c r="D105" s="590">
        <f t="shared" si="6"/>
        <v>5.8614219999999992</v>
      </c>
      <c r="E105" s="3">
        <v>12</v>
      </c>
      <c r="F105" s="587" t="s">
        <v>200</v>
      </c>
      <c r="G105" s="3" t="s">
        <v>161</v>
      </c>
      <c r="H105" s="52">
        <v>55</v>
      </c>
      <c r="I105" s="52">
        <v>22</v>
      </c>
      <c r="J105" s="594">
        <v>17</v>
      </c>
      <c r="K105" s="1" t="str">
        <f t="shared" si="1"/>
        <v>N/A</v>
      </c>
      <c r="L105" s="1" t="str">
        <f t="shared" si="2"/>
        <v>N/A</v>
      </c>
      <c r="M105" s="1" t="str">
        <f t="shared" si="3"/>
        <v>NA</v>
      </c>
      <c r="N105" s="1" t="str">
        <f t="shared" si="4"/>
        <v>ARM1250</v>
      </c>
    </row>
    <row r="106" spans="1:14">
      <c r="A106" s="12" t="s">
        <v>173</v>
      </c>
      <c r="B106" s="580" t="s">
        <v>199</v>
      </c>
      <c r="C106" s="1">
        <v>22000</v>
      </c>
      <c r="D106" s="590">
        <f t="shared" si="6"/>
        <v>6.4475641999999995</v>
      </c>
      <c r="E106" s="3">
        <v>12</v>
      </c>
      <c r="F106" s="587" t="s">
        <v>200</v>
      </c>
      <c r="G106" s="3" t="s">
        <v>161</v>
      </c>
      <c r="H106" s="52">
        <v>55</v>
      </c>
      <c r="I106" s="52">
        <v>22</v>
      </c>
      <c r="J106" s="594">
        <v>17</v>
      </c>
      <c r="K106" s="1" t="str">
        <f t="shared" si="1"/>
        <v>N/A</v>
      </c>
      <c r="L106" s="1" t="str">
        <f t="shared" si="2"/>
        <v>N/A</v>
      </c>
      <c r="M106" s="1" t="str">
        <f t="shared" si="3"/>
        <v>NA</v>
      </c>
      <c r="N106" s="1" t="str">
        <f t="shared" si="4"/>
        <v>ARM1250</v>
      </c>
    </row>
  </sheetData>
  <phoneticPr fontId="2" type="noConversion"/>
  <pageMargins left="0.75" right="0.75" top="1" bottom="1" header="0.5" footer="0.5"/>
  <pageSetup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2</vt:i4>
      </vt:variant>
    </vt:vector>
  </HeadingPairs>
  <TitlesOfParts>
    <vt:vector size="23" baseType="lpstr">
      <vt:lpstr>RECTIFIERS</vt:lpstr>
      <vt:lpstr>1PH Battery Chargers</vt:lpstr>
      <vt:lpstr>3PH Battery Chargers</vt:lpstr>
      <vt:lpstr>HS250-DATA</vt:lpstr>
      <vt:lpstr>HS250-TEST</vt:lpstr>
      <vt:lpstr>FUSE DATA</vt:lpstr>
      <vt:lpstr>Circuit Breakers</vt:lpstr>
      <vt:lpstr>Air Conditionning</vt:lpstr>
      <vt:lpstr>Cooling Data</vt:lpstr>
      <vt:lpstr>AC Line Reactor+Harmonic Filter</vt:lpstr>
      <vt:lpstr>Wire-Cables Ampacities</vt:lpstr>
      <vt:lpstr>Wire-Cable Ampacity Calculation</vt:lpstr>
      <vt:lpstr>Heat Sinks</vt:lpstr>
      <vt:lpstr>Idc Max for SCR-Diod Assemblies</vt:lpstr>
      <vt:lpstr>SCR-Diode DATA</vt:lpstr>
      <vt:lpstr>SCR Mechanical</vt:lpstr>
      <vt:lpstr>SCR Assemblies</vt:lpstr>
      <vt:lpstr>SCR ASSEMBLIES-PRODUCTION</vt:lpstr>
      <vt:lpstr>TX Short Circuit</vt:lpstr>
      <vt:lpstr>Capacitor Discharge </vt:lpstr>
      <vt:lpstr>Capacitor Service Life</vt:lpstr>
      <vt:lpstr>'Wire-Cables Ampacities'!CORRECTION</vt:lpstr>
      <vt:lpstr>'Wire-Cables Ampacities'!COURANT</vt:lpstr>
    </vt:vector>
  </TitlesOfParts>
  <Company>Rimax technologies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dbenmerar</cp:lastModifiedBy>
  <cp:lastPrinted>2009-09-21T16:36:52Z</cp:lastPrinted>
  <dcterms:created xsi:type="dcterms:W3CDTF">2004-06-21T16:45:16Z</dcterms:created>
  <dcterms:modified xsi:type="dcterms:W3CDTF">2018-02-20T17:14:02Z</dcterms:modified>
</cp:coreProperties>
</file>