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D21E8F15-A45C-4A05-97B0-4449936157D0}"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9" i="8" l="1"/>
  <c r="B43" i="8"/>
  <c r="I31" i="6"/>
  <c r="I48" i="6"/>
  <c r="I49" i="6"/>
  <c r="B47" i="8"/>
  <c r="I37" i="6"/>
  <c r="I36" i="6"/>
  <c r="I35" i="6"/>
  <c r="I9" i="6"/>
  <c r="I25" i="6"/>
  <c r="I24" i="6"/>
  <c r="I23" i="6"/>
  <c r="I13" i="6"/>
  <c r="I12" i="6"/>
  <c r="I11" i="6"/>
  <c r="I10" i="6"/>
  <c r="F13" i="6"/>
  <c r="I57" i="6"/>
  <c r="I56" i="6"/>
  <c r="I55" i="6"/>
  <c r="I54" i="6"/>
  <c r="I53" i="6"/>
  <c r="B34" i="8"/>
  <c r="B30" i="8"/>
  <c r="B29" i="8"/>
  <c r="B27" i="8"/>
  <c r="F49" i="6"/>
  <c r="F31" i="6"/>
  <c r="F20" i="6"/>
  <c r="B32" i="8"/>
  <c r="B33" i="8"/>
  <c r="F9" i="6"/>
  <c r="B31" i="8"/>
  <c r="F11" i="6"/>
  <c r="F56" i="6"/>
  <c r="F54" i="6"/>
  <c r="F57" i="6"/>
  <c r="F53" i="6"/>
  <c r="F37" i="6"/>
  <c r="F36" i="6"/>
  <c r="F35" i="6"/>
  <c r="F34" i="6"/>
  <c r="F25" i="6"/>
  <c r="F24" i="6"/>
  <c r="F23" i="6"/>
  <c r="F10" i="6"/>
  <c r="B11" i="8"/>
  <c r="C37" i="6"/>
  <c r="C13" i="6"/>
  <c r="C12" i="6"/>
  <c r="B12" i="8"/>
  <c r="B18" i="8"/>
  <c r="B16" i="8"/>
  <c r="C19" i="8"/>
  <c r="B19" i="8"/>
  <c r="B17" i="8"/>
  <c r="B14" i="8"/>
  <c r="B15" i="8"/>
  <c r="B13" i="8"/>
  <c r="C17" i="6"/>
  <c r="C18" i="6"/>
  <c r="C29" i="6"/>
  <c r="C54" i="6"/>
  <c r="C24" i="6"/>
  <c r="C11" i="6"/>
  <c r="C9" i="6"/>
  <c r="C56" i="6"/>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<sst xmlns="http://schemas.openxmlformats.org/spreadsheetml/2006/main" count="328" uniqueCount="225">
  <si>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</si>
  <si>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</si>
  <si>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</si>
  <si>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</si>
  <si>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</si>
  <si>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</si>
  <si>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</si>
  <si>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</si>
  <si>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</si>
  <si>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</si>
  <si>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</si>
  <si>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</si>
  <si>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</si>
  <si>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</si>
  <si>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</si>
  <si>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</si>
  <si>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</si>
  <si>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</si>
  <si>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</si>
  <si>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</si>
  <si>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</si>
  <si>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PlayAreaService
-0.5 VirtualPlayerService
-0 BoardExplorerService</t>
  </si>
  <si>
    <t>-0.5 Client:InfoClientService
-0 Client:DrawingBoardService
-0.5 Server:SocketManagerService</t>
  </si>
  <si>
    <t>-0.25 Client:InfoClientService
-0.25 Client:SocketService
-0.5 Server:SocketManagerService
-0.25 Server:ObjectiveService</t>
  </si>
  <si>
    <t>1.2 Nom</t>
  </si>
  <si>
    <t>Le nom de la classe est approprié. 
Utilisation appropriée des suffixes ({..}Component,{..}Controller, {..}Service, etc.). 
Le format à utiliser est le PascalCase</t>
  </si>
  <si>
    <t>-0.25 Client:ModalComponent</t>
  </si>
  <si>
    <t>1.3 Attributs</t>
  </si>
  <si>
    <t>La classe ne comporte pas d'attributs inutiles (incluant des getter/setter inutiles). 
Les attributs ne représentent que des états de la classe. 
Un attribut utilisé seulement dans les tests ne devrait pas exister.</t>
  </si>
  <si>
    <t>-0.5 AnchorSquare
-0 Je ne vous enlève pas de points: mais les get de info-panel sont inutiles</t>
  </si>
  <si>
    <t>Client:InfoClientService:game</t>
  </si>
  <si>
    <t>1.4 Accessibilité</t>
  </si>
  <si>
    <t>La classe minimise l'accessibilité des membres (public/private/protected)</t>
  </si>
  <si>
    <t>-0.25 BoardExplorerService:checkSurrondings, checkVertical, addFirstVWord...
-0.25 DictionnaryService.createLexicon, 
-0.25 ChatService:commandFilter, placeCommand, passCommand, ...
-0.25 BoardService:initBoardArray, updateLogicBoardAndMap</t>
  </si>
  <si>
    <t>Le fait qu'une méthode doivent être testée n'est pas une raison de ne pas la mettre private. Exemple pour ClientGameServer.setMockTiles. Changer la ligne 19 par        const setMockTilesSpy = spyOn&lt;any&gt;(gameServer, 'setMockTiles').and.stub();
Client:DrawingBoardService:drawStar
Client:DrawingService:roundRect
Client:InfoClientService:85
Client:PlaceGraphicService:112
Client:SocketService:gameUpdateHandler
Server:BoardExplorerService:checkVertical
Server:ChatService:commandFilter</t>
  </si>
  <si>
    <t>1.5 Valeur par défaut</t>
  </si>
  <si>
    <t>Les valeurs par défaut des attributs de la classe sont initialisés de manière constante (soit dans le constructeur partout, soit à la définition)</t>
  </si>
  <si>
    <t>-0.5 BoardExplorerService
-0.5 VirtualPlayerService
-0.5 TimerService
-0.5 LetterBankService</t>
  </si>
  <si>
    <t>-0.25 Client:GameServer
-0.25 Client:Player
-0.25 Client:CommunicationBoxComponent
-0.25 Client:ParametersPageComponent
-0.25 Client:DraweingBoardService
-0.25 Client:InfoClientService
-0.25 Client:TimerService
-0.25 Server:BoardExplorerService
-0 Server:SocketManagerService
-0.25 Server:VirtualPlayerService
--- Correction ---
Ajustement des notes (0.2)</t>
  </si>
  <si>
    <t>-0 Client:ModalVplevelsComponent</t>
  </si>
  <si>
    <t>Sous-total</t>
  </si>
  <si>
    <t>2. Qualité des fonctions</t>
  </si>
  <si>
    <t>KL</t>
  </si>
  <si>
    <t>2.1 Nom</t>
  </si>
  <si>
    <t>Les noms des fonctions sont précis et décrivent les tâches voulues. 
Le format à utiliser doit être uniforme dans tous les fichiers (camelCase, PascalCase, ...)</t>
  </si>
  <si>
    <t>Nom des fonctions en franglais. Et multiple typo.
Ex: onJouerClick(), onAnnulerClick()</t>
  </si>
  <si>
    <t xml:space="preserve">-1 de nombreux typo dans les noms des fonctions.  </t>
  </si>
  <si>
    <t>2.2 Utilité</t>
  </si>
  <si>
    <t xml:space="preserve">Chaque fonction n'a qu'une seule utilité, elle ne peut pas être fragmentée en plusieurs fonctions et elle est facilement lisible. </t>
  </si>
  <si>
    <t>-1 drawing.service.ts:34</t>
  </si>
  <si>
    <t>-1 DrawingBoardService: drawBoardInit, drawTileAtPos
-0.5 PlaceGraphicService: deleteLetterPlacedOnBoard</t>
  </si>
  <si>
    <t>2.3 Nombre de paramètres</t>
  </si>
  <si>
    <t>Les fonctions minimisent les paramètres en entrée (pas plus de trois).
Utilisation d'interfaces ou de classe pour des paramètres pouvant être regroupé logiquement.</t>
  </si>
  <si>
    <t>-1 le type de retour est parfois présent et parfois non, il faut être consistant!
-1 virtual-player.service.ts:184,196</t>
  </si>
  <si>
    <t>-1 BoardService:56,93
-0.5 ChatService:196
-1.5 StandService</t>
  </si>
  <si>
    <t>2.4 Fonction pure</t>
  </si>
  <si>
    <t>Les fonctions sont pures lorsque possible. Les effets secondaires sont minimisés</t>
  </si>
  <si>
    <t>2.5 Utilisation des paramètres</t>
  </si>
  <si>
    <t>Tous les paramètres de fonction sont utilisés</t>
  </si>
  <si>
    <t>-1 virtual-player.service.ts:227</t>
  </si>
  <si>
    <t>-0.5 ChatService:136</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</si>
  <si>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</si>
  <si>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</si>
  <si>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</si>
  <si>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</si>
  <si>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</si>
  <si>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-0.25 BoardService:updateLogicBoardArrayAndMap
-0.25 ValidationService.isExchangeInputValid
-0.25 TimeService:startTimer</t>
  </si>
  <si>
    <t>3.3 Code asynchrone</t>
  </si>
  <si>
    <t>Tout code asynchrone (Promise, Observable ou Event) doit être géré adéquatement.</t>
  </si>
  <si>
    <t>-0.25 Client:GamePageComponent.subscribe</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</si>
  <si>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</si>
  <si>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</si>
  <si>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</si>
  <si>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</si>
  <si>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</si>
  <si>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-0.5 board-explorer.component.ts:5,6</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</si>
  <si>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</si>
  <si>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</si>
  <si>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</si>
  <si>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</si>
  <si>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-1 de nombreux typo dans les noms de variable ou utilisation de franglais.  </t>
  </si>
  <si>
    <t xml:space="preserve">-1 de nombreux typo dans les noms de variable.  </t>
  </si>
  <si>
    <t>5. Expression booléennes</t>
  </si>
  <si>
    <t>5.1 Expressions</t>
  </si>
  <si>
    <t>Les expression booléennes ne sont pas comparées à true ou false</t>
  </si>
  <si>
    <t>-1 ChatService</t>
  </si>
  <si>
    <t>-0.25 Client:SidebarComponent
-0.25 Client:GamePageComponent
-0.5 Server:PutLogicService
-0 Server:ValidationService: 246 - switch(true) n'est pas la meilleure pratique</t>
  </si>
  <si>
    <t>-0.25 x 4 Client:AdminPageComponent.html</t>
  </si>
  <si>
    <t>5.2 Logique booléenne négative</t>
  </si>
  <si>
    <t>Minimiser la logique booléenne négative (ex: éviter "if (!notFound(...))")</t>
  </si>
  <si>
    <t>Client:DrawingService:53</t>
  </si>
  <si>
    <t>-0.25 Client:DrawingBoardService:155, 165
-0.25 Server:ValidationService.verifyPlacementOnBoard</t>
  </si>
  <si>
    <t>5.3 Opérateurs ternaires</t>
  </si>
  <si>
    <t>Utilisation des opérateurs ternaires dans les bon scénario</t>
  </si>
  <si>
    <t>-0.5  PutLogicService:134
-2.5 ValidationService: 23, 37, 82, 312, 318, 324</t>
  </si>
  <si>
    <t>-0.25 Client:DrawingService:75, 87
-0.25 Client:PlaceGraphic:25
-0.25 Server:PutLogicService:157
-0.25 Server:ValidationService:21
-0.25 Server:VirtualPlayerService:45, 54, 63, ...</t>
  </si>
  <si>
    <t>5.4 Prédicats</t>
  </si>
  <si>
    <t>Pas d'expressions booléennes complexes. 
Des prédicats sont utilisés pour simplifier les conditions complexes</t>
  </si>
  <si>
    <t>-0.25 ChatService:71
-0.25 DrawingService:96
-0.25 ValidationService:228</t>
  </si>
  <si>
    <t>-0.25 Client:GamePageComponent:24, 40
-0.25 Client:DrawingBoardService:279
-0 Server:MouseEventService:195
-0.25 Server:putLogicService:157
-0.25 Server:ValidationService:212
-0.25 Server:VirtualPlayerService:339</t>
  </si>
  <si>
    <t>-0.25 Server:BoardService:11,17
-0.25 Client:DrawingBoardService:289
-0.25 Client:SocketService:120
-0.25 Server:SocketService:80</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</si>
  <si>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</si>
  <si>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</si>
  <si>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</si>
  <si>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</si>
  <si>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</si>
  <si>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</si>
  <si>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</si>
  <si>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sidebar.component.ts:espacement
-0.5 chat.service.ts:espacement
-1 dictionary.service.ts:indentation
-1 end-game.service.ts:espacement</t>
  </si>
  <si>
    <t>-0.5 stand-rp.component.ts: espacement
-0.5 DrawingService: espacement
-0.5 PlaceGraphicService: espacement
-0.5 DebugCommandService: espacement
-0.5 DictionaryService: espacement
-0.5 StandService: 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</si>
  <si>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</si>
  <si>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</si>
  <si>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communication-box.component.ts:27
-1 board.service.ts
-0.75 chat.service.ts</t>
  </si>
  <si>
    <t>Vos commentaires sont en francais et en anglais, il faut choisir une seule langue de programmation et une seule langue pour les commentaires.</t>
  </si>
  <si>
    <t>6.5 Commentaires</t>
  </si>
  <si>
    <t>Les commentaires, lorsque présents sont pertinents</t>
  </si>
  <si>
    <t>-0.5 info-panel.component.ts:11,12,13
-0.5 play-area.component.ts
-1 board-explorer.component.ts</t>
  </si>
  <si>
    <t>Trop de commentaire non pertinents et de lignes de code commenter. 
Ex. //Tested, //Code change ...</t>
  </si>
  <si>
    <t>6.6 Enums</t>
  </si>
  <si>
    <t>Le programme utilise des enums lorsqu'elles sont nécessaires</t>
  </si>
  <si>
    <t xml:space="preserve">-0.5 ChatService: les commandes (!debug, !passer...) doit etre un enum
-0.5 DebugCommandService: letterWay (h, v) doit etre un enum.
-0.5 ScoreCountService bonus (m3.., l3..) </t>
  </si>
  <si>
    <t>6.7 Utilisation des classes et interfaces</t>
  </si>
  <si>
    <t>Les objets anonymes Javascript ne sont pas utilisés, des classes ou des interfaces sont utilisés</t>
  </si>
  <si>
    <t>6.8 Duplication</t>
  </si>
  <si>
    <t>Il n'y a pas de duplication de code.</t>
  </si>
  <si>
    <t>-1 communication-box.component.ts:31,40...
-1 end-game.service.ts
-1 put-logic.service.ts:156,186</t>
  </si>
  <si>
    <t>-2 BoardExplorerService: 126-142-161-178
-1 BoardExplorerService: 78-113
-1 BoardExplorerService: 67-103
-2 VirtualPlayerService: 42-51-60-69</t>
  </si>
  <si>
    <t>-1 DrawingBoardService: drawHorizontalArrowDirection, drawVerticalArrowDirection
-2 VirtualPlayerService: 131-140-149-158</t>
  </si>
  <si>
    <t>6.9 ESLint</t>
  </si>
  <si>
    <t>Aucune erreur ESLint non justifiée. (Des commentaires TODO sont acceptables). (25% de la note sera retirée par type d'erreur présente)
L'utilisation raisonnable de eslint:disable est tolérée dans les fichiers spec.ts.</t>
  </si>
  <si>
    <t>L'utilisation de eslint-disable n'est permis que dans les fichiers de test. Posez des questions aux chargés si vous avez des difficultés avec le lint.</t>
  </si>
  <si>
    <t>-2 eslint-disable max-lines</t>
  </si>
  <si>
    <t xml:space="preserve">6.10 Imbrication </t>
  </si>
  <si>
    <t>Les structures conditionnelles réduisent l'imbrication lorsque possible (reduce nesting).</t>
  </si>
  <si>
    <t>-1 communication-box.component.ts:onEnter()
-0.5 board.service.ts:96
-1 letter-bank.service.ts:44,81
-2 put-logic.service.ts:90,168,
178,197,205
-2 stand.service.ts:224,161,187</t>
  </si>
  <si>
    <t>-1: PlaceGraphicService: 127,168,182
-1: ChatService: 120,142
-1 PutLogicService: 221,255
-1 VirtualPlayerService: 115,209
-1 SocketManager: 390, 428</t>
  </si>
  <si>
    <t>-0.5 LetterBankService: giveRandomLetter
-1.5 ObjectiveService: checkIfObjective0Completed, checkIfObjective4Completed
-1.5 VirtualPlayerService: extendRight, computeCrossChecks
-1.5 SocketManager: disconnectAbandonHandler</t>
  </si>
  <si>
    <t>6.11 Performance</t>
  </si>
  <si>
    <t>Le logiciel a une performance acceptable.</t>
  </si>
  <si>
    <t>7. Gestion de versions</t>
  </si>
  <si>
    <t>7.1 TAG</t>
  </si>
  <si>
    <t>La branche de production possède le bon TAG pour les remises de sprint (sprint1, sprint2, sprint3)</t>
  </si>
  <si>
    <t>-1 mauvaise branche
---Recorrection---
-0</t>
  </si>
  <si>
    <t>7.2 Commit</t>
  </si>
  <si>
    <t>Chaque commit concerne une seule "issue" et les messages sont pertinents et suffisamment descriptifs pour chaque commit</t>
  </si>
  <si>
    <t>-0.25 ''finalFinalPromis, remise first, trouve nug, conflits''
-0.25 "Commit apr'es merge"
-0.25 "detail en plus, app crash a 160 test, faut voir pq"</t>
  </si>
  <si>
    <t>"cestlaFIN baby"
"final le vrai"
"ready to push"
"player change"
"comitting to pull again"
"commiting to pull"
"commit to pull"
"tests compilent"
"pull merge"
"yo"
"commit qui marche celui qui touche je le tue"
"merging is finished"
"detail"
Faites un effort pour mettre un message qui veut dire quelque chose. Même si ça a aucun lien avec le code modifié (je ne vais pas regarder...)</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</si>
  <si>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</si>
  <si>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</si>
  <si>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</si>
  <si>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</si>
  <si>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merge requests merged without approval</t>
  </si>
  <si>
    <t>-2 Vous n'avez (presque) pas utiliser les merge requests</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</si>
  <si>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</si>
  <si>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</si>
  <si>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</si>
  <si>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</si>
  <si>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</si>
  <si>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</si>
  <si>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</si>
  <si>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</si>
  <si>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</si>
  <si>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</si>
  <si>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GameInitPageComponent, MainPageComponent</t>
  </si>
  <si>
    <t>1.2 Initialisation d'une nouvelle partie (mode solo)</t>
  </si>
  <si>
    <t>Il faut tester vos fonctionalités !</t>
  </si>
  <si>
    <t>1.3 Mode de jeu classique - Joueur Virtuel débutant</t>
  </si>
  <si>
    <t>Fonctionnalité
-1 Le JV suit des probabilités pour ses actions telles que définies dans la description du projet.
-1 Le système affiche trois possibilités de placement alternatives seulement si l'affichage de débogage est activé et le JV fait un placement.
-1 Le système doit envoyer une commande dans la boite de communication lorsque le JV effectue une action.
Tests
VirtualPlayerService, BoardService, DrawingService
Je suis vraiment décu, votre jeu fonctionne relativement bien, mais vous n'avez (presque) rien testé....</t>
  </si>
  <si>
    <t>1.4 Validation locale des mots</t>
  </si>
  <si>
    <t>-1 le systeme ne ternime pas le tour après la validation
-1 Les lettres avec accents ne sont pas traités comme leur équivalent sans accent
-8 Le système ne calcule pas les points</t>
  </si>
  <si>
    <t>1.5 Vue de jeu</t>
  </si>
  <si>
    <t>Fonctionnnalité
-0.25 Le panneau informatif contient, pour chaque joueur, son nom, son score et le nombre de lettres dans son chevalet ssi moins que 7.
-1 Le système doit permettre à l'utilisateur de modifier la taille du contenu des tuiles sur le plateau
Tests
SidebarComponent</t>
  </si>
  <si>
    <t>1.6 Boite de communication</t>
  </si>
  <si>
    <t xml:space="preserve">-0.5 la boite de communication ne recoit pas les evenements du clavier en début de partie.
-0.75 les messages de l'adversaire ne sont pas affichés </t>
  </si>
  <si>
    <t>1.7 Placer des lettres (commande seulement)</t>
  </si>
  <si>
    <t>Fonctionnalité
-1 Je ne recois pas toujours de lettres après avoir joué
Tests
PutLogicService</t>
  </si>
  <si>
    <t>1. Échanger des lettres (commande seulement)</t>
  </si>
  <si>
    <t>-1 Il est possible de mettre des lettres qui ne sont pas dans le chevalet
-0.5 le système n'affiche pas la commande de l'adversaire
-0.5 un message m'indique un changement de lettre alors que ce n'est pas le cas</t>
  </si>
  <si>
    <t>1.9 Passer son tour</t>
  </si>
  <si>
    <t>Tests
SkipTurnService, ChatService:passCommand</t>
  </si>
  <si>
    <t>1.10 Fin de partie</t>
  </si>
  <si>
    <t>- 1 la réserve est vide mais il est toujour possible d'avoir de nouvelles lettres.
- 2 le jeux ne se termine pas. 
- 1 impossible de voir l'affichage de fin de jeu.</t>
  </si>
  <si>
    <t>1.11 Commandes débug</t>
  </si>
  <si>
    <t>Note finale pour le sprint</t>
  </si>
  <si>
    <t>Crash</t>
  </si>
  <si>
    <t>Erreur de build</t>
  </si>
  <si>
    <t>2.1 Mode multijoueur</t>
  </si>
  <si>
    <t>2.2 Clavarder</t>
  </si>
  <si>
    <t xml:space="preserve">-1 Impossible de scroller dans le chat.
</t>
  </si>
  <si>
    <t>2.3 Validation des mots sur le serveur</t>
  </si>
  <si>
    <t>2.4 Paramètres de partie (minuterie et mode aléatoire)</t>
  </si>
  <si>
    <t>-1 Le systeme ne tient pas compte du changement des cases bonus.</t>
  </si>
  <si>
    <t>2.5 Initialisation d'une nouvelle partie (mode multijoueur)</t>
  </si>
  <si>
    <t>---FONCTIONNALITÉS---
1. Paramètres de partie
-0 Le nom du joueur doit être demandé lors de la création de la partie
2. Changement multijoueur -&gt; solo:
-1 Non
3. Salle d'attente pour la personne qui a créé la partie
-0 problème si plusieurs salles ont le même nom, ça nous amène quand même au jeu
4. Possible de rejoindre une salle d'attente: Oui
5. Retirer la partie de l'affichage lorsqu'elle commence
-1 Non
6. Retirer la partie de l'affichage si j'annule
-1 Non, possible de rejoindre la partie et être seul dans la partie
---TESTS---
Client
- MultiPlayerInitPageComponent
- ParametresSelectionPageComponent 
- InfoClientService - vos descriptions de tests ne sont pas bien formmulées
- SocketService.socket
Serveur
- SocketManagerService.socket.on('listRoom')
- SocketManagerService.socket.on('joinRoom')
- SocketManagerService.createGameAndPlayer</t>
  </si>
  <si>
    <t>2.6 Placer des lettres</t>
  </si>
  <si>
    <t>---FONCTIONNALITÉS---
1. Placer des lettres: Oui
2. Sélection de la case vide:  Oui
3. Choisir une lettre avec le clavier: 
-0.5 les lettres avec accent ne fonctionnent pas
4. Retirer une lettre: Oui
5. Confirmer un placement:
-1 le système ne termine pas mon tour après un placement confirmé si la validation échoue
6. Annuler un placement: 
-0 Ne retire pas le marqueur après annulation
7. Affichage dans la boite de communication: Oui
---TESTS---
Client: 
- StandRpComponent.onLeftClick
- PlaceGraphicService
- SocketService.on('findTileToPlaceArrow')
Serveur:
- MouseEventService</t>
  </si>
  <si>
    <t>2.7 Échanger des lettres</t>
  </si>
  <si>
    <t>---FONCTIONNALITÉS---
1. Sélection bouton droit: Oui
2. Annuler la sélection lors du changement de récepteur: Oui
3. Affichage du bouton échanger: Oui
4. Affichage du bouton annuler: Oui
5. Piger dans la réserve: Oui
6. Affichage dans la boite de communucation: Oui
---TESTS---
Client: 
- StandRpComponent.onRightClick
Server:
- SocketManagerService.socket.on('rightClickExchange')
- MouseEventService.rightClickExchange</t>
  </si>
  <si>
    <t>2.8 Abandonner une partie</t>
  </si>
  <si>
    <t>---FONCTIONNALITÉS---
1. Bouton abandonner: Oui
2. Abandonner à tout moment: Oui
3. Message de confirmation: Oui 
4. Redirection à la page d'accueil: Oui
5. Annuler l'abandon: 
-0.5 Il y a plusieurs messages de confirmation quand on annule ce qui cause un problème. Utilisez un MatDialog, c'est plus facile et beau qu'un window.alert.
6. Abandonner déclare l'adversaire gagnant: Oui
-0 impssible de retourner à l'accueil si l'adversaire abandonne
7. Fermeture du site web: Oui
---TESTS---
Client: 
- SidebarComponent.onClickGiveUpButton
- SocketService.socket.on('displayChangeEndGame')
Server:
- SocketManagerService.socket.on('giveUpGame')</t>
  </si>
  <si>
    <t>2.9 Manipuler les lettres du chevalet</t>
  </si>
  <si>
    <t>---FONCTIONNALITÉS---
1. Manipulation en tout temps avec bouton gauche: Oui
2. Manipulation: 
-0 impossible de sélectionner avec le clavier
-0 mauvais sens avec la roulette 
3. Un seul type de sélection: Oui
4. Annuler si une touche ne représente pas une lettre du chevalet: 
-1 Non
-0.5 Le système n'annule pas tout autre sélectionne lorsqu'une lettre est sélectionnée pour manipulation
---TESTS---
Client: 
- StandRpComponent.handleArrowEvent
- StandRpComponent.onLeftClick
Server: 
- MouseEventService.keyboardAndMouseManipulation</t>
  </si>
  <si>
    <t>2.10 Commande réserve</t>
  </si>
  <si>
    <t>---FONCTIONNALITÉS---
1. Commande réserve: Oui
2. Affichage de la lettre blanche: Oui
3. Respect du format: Oui
4. Affichage seulement pour le joueur ayant envoyé la commande: Oui
5. Seulement accessible si débogage: Oui
---TESTS---
Client: 
- SocketService.on('gameUpdateClient')
Server: 
- SocketManagerService.manageNewMessageClient</t>
  </si>
  <si>
    <t>GR: Server crash durant une partie, Server:ValidationService:70</t>
  </si>
  <si>
    <t>Ne build pas</t>
  </si>
  <si>
    <t>Anciennes fonctionnalités brisées</t>
  </si>
  <si>
    <t>GR: taper n'importe ou sur la page place des lettres (même dans la boite de communication) donc c'est difficile d'utiliser la boite de communication pour des commandes</t>
  </si>
  <si>
    <t>3.1 Meilleurs scores</t>
  </si>
  <si>
    <t>-1 Aucun score definit pour les entrées fictives.</t>
  </si>
  <si>
    <t>3.2 Mode admin</t>
  </si>
  <si>
    <t>3.3. Joueur virtuel expert</t>
  </si>
  <si>
    <t>- Fonctionnalité -
1. Possible de sélectionner JV expert lors de l'initialisation: Oui
2. Nom du JV choisi dans une liste de 3: Oui
3. Liste différente pour chaque mode de jeu:  Oui
4. Le JV à un nom différent du joueur: Oui
5. JV expert fonctionnel: Oui
6. Le JV place, saute son tour et échange: Oui
7. Le JV choisit le placement qui rapporte le maximum de points: Oui
8. Le JV échange toutes ses lettres s'il ne peut pas faire un placement: Impossible à vérifier
9. Le JV échange le plus de lettres possible si la réserve contient moins que 7 lettres: Oui
10. Les points son bien calculés: Oui
11. Le JV joue après 3 secondes: Oui
12. Le JV passe son tour après 20 secondes: Non
13. Toutes les actions du JV sont affichées dans la boite de communication: Oui
14. Le système affiche 3 possibilités de placement lorsque l'affichage de débogage est activé seulement si le joueur fait un placement: Non
15. L'affichage des possibilités est en ordre décroissant: Non
16. Respect du format d'affichage (1er ligne:toutes les lettres XY:L, pointage à la fin, 2e ligne: tous les mots formés par ce placement): Non
- Test -
-- Client -- OK
-- Server --  OK</t>
  </si>
  <si>
    <t>3.4 Mode LOG2990 - Objectifs publics</t>
  </si>
  <si>
    <t>- Fonctionnalité -
1. LOG2990 en solo et multijoueur: Oui
2. 8 objectifs différents: Oui
3. Affichage des 2 objectifs publics: Oui
4. Sélection aléatoire des objectifs publics: Oui
5. Les objectifs privés sont différents: Oui
6. Seulement possible de compléter l'objectif 1 fois: Oui
7. Bon pointage: Oui
8. JV peut compléter un objectif: Oui
9. Les 2 joueurs peuvent compléter l'objectif: Oui
10. Affichage de l'objectif comme étant complété: Oui
- Test - 
-- Client -- OK
-- Server -- OK</t>
  </si>
  <si>
    <t>3.5 Mode LOG2990 - Objectifs privés</t>
  </si>
  <si>
    <t>- Fonctionnalité - 
1. LOG2990 en solo et multijoueur: Oui
2. 8 objectifs différents: Oui
3. Affichage de 1 objectif privé:Oui
4. Sélection aléatoire de l'objectif privé: Oui
5. Les objectifs privés sont différents: Oui
6. Seulement possible de compléter l'objectif 1 fois: Le JV complète mon objectif privé
7. Bon pointage: Oui
8. JV peut compléter un objectif: Oui
9. Affichage de l'objectif aux 2 joueurs lorsque l'objectif est complété: Oui
- Test - 
idem public</t>
  </si>
  <si>
    <t>3.6 Placement aléatoire dans une partie</t>
  </si>
  <si>
    <t>3.7 Téléverser un nouveau dictionnaire</t>
  </si>
  <si>
    <t>-1 Il est possible d'importer un dictionaire invalide.</t>
  </si>
  <si>
    <t>3.8 Paramètres de partie (dictionnaire)</t>
  </si>
  <si>
    <t>3.9 Abandonner une partie multijoueur</t>
  </si>
  <si>
    <t>3.10 Commande aide</t>
  </si>
  <si>
    <t>- Fonctionnalité -
1. !aide fonctionne: Oui
2. Affichage seulement pour le jouer qui a fait la commande: Oui
- Test -
-- Client -- N/A
-- Server -- OK</t>
  </si>
  <si>
    <t>commande !reserve ne fonctionne pas
impossible de jouer en multijoueur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</si>
</sst>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7">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FFE699"/>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2">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1" xfId="0" applyFill="1" applyBorder="1" applyAlignment="1">
      <alignment horizontal="left" vertical="center" wrapText="1"/>
    </xf>
    <xf numFmtId="0" fontId="0" fillId="9" borderId="41" xfId="0" applyFill="1" applyBorder="1" applyAlignment="1">
      <alignment horizontal="left"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0" fontId="0" fillId="19" borderId="38" xfId="0" applyFill="1" applyBorder="1" applyAlignment="1">
      <alignment horizontal="left" vertical="center" wrapText="1"/>
    </xf>
    <xf numFmtId="0" fontId="0" fillId="21" borderId="0" xfId="0" applyFill="1" applyAlignment="1">
      <alignment horizontal="left" wrapText="1"/>
    </xf>
    <xf numFmtId="2" fontId="0" fillId="8" borderId="16" xfId="0" applyNumberFormat="1" applyFill="1" applyBorder="1" applyAlignment="1">
      <alignment horizontal="center" vertical="center" wrapText="1"/>
    </xf>
    <xf numFmtId="2" fontId="13" fillId="8" borderId="16" xfId="0" applyNumberFormat="1" applyFont="1" applyFill="1" applyBorder="1" applyAlignment="1">
      <alignment horizontal="center" vertical="center" wrapText="1"/>
    </xf>
    <xf numFmtId="2" fontId="0" fillId="19" borderId="34" xfId="0" applyNumberFormat="1" applyFill="1" applyBorder="1" applyAlignment="1">
      <alignment horizontal="left" vertical="center"/>
    </xf>
    <xf numFmtId="2" fontId="0" fillId="9" borderId="16" xfId="0" applyNumberFormat="1" applyFill="1" applyBorder="1" applyAlignment="1">
      <alignment horizontal="center" vertical="center" wrapText="1"/>
    </xf>
    <xf numFmtId="2" fontId="0" fillId="9" borderId="40" xfId="0" applyNumberFormat="1" applyFill="1" applyBorder="1" applyAlignment="1">
      <alignment horizontal="center" vertical="center" wrapText="1"/>
    </xf>
    <xf numFmtId="2" fontId="13" fillId="9" borderId="16" xfId="0" applyNumberFormat="1" applyFont="1" applyFill="1" applyBorder="1" applyAlignment="1">
      <alignment horizontal="center" vertical="center" wrapText="1"/>
    </xf>
    <xf numFmtId="1" fontId="0" fillId="9" borderId="16" xfId="0" applyNumberFormat="1" applyFill="1" applyBorder="1" applyAlignment="1">
      <alignment horizontal="center" vertical="center" wrapText="1"/>
    </xf>
    <xf numFmtId="0" fontId="0" fillId="12" borderId="38" xfId="0" applyFill="1" applyBorder="1" applyAlignment="1">
      <alignment horizontal="left" vertical="center" wrapText="1"/>
    </xf>
    <xf numFmtId="0" fontId="0" fillId="26" borderId="16" xfId="0" applyFill="1" applyBorder="1" applyAlignment="1">
      <alignment horizontal="left" vertical="center" wrapText="1"/>
    </xf>
    <xf numFmtId="0" fontId="0" fillId="26" borderId="34" xfId="0" applyFill="1" applyBorder="1" applyAlignment="1">
      <alignment horizontal="left" vertical="center" wrapText="1"/>
    </xf>
    <xf numFmtId="0" fontId="0" fillId="20" borderId="38" xfId="0" applyFill="1" applyBorder="1" applyAlignment="1">
      <alignment horizontal="left" vertical="center" wrapText="1"/>
    </xf>
    <xf numFmtId="2" fontId="0" fillId="20" borderId="34" xfId="0" applyNumberFormat="1"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6" borderId="38" xfId="0" applyNumberFormat="1" applyFill="1" applyBorder="1" applyAlignment="1">
      <alignment horizontal="left" vertical="center" wrapText="1"/>
    </xf>
    <xf numFmtId="0" fontId="0" fillId="20" borderId="31" xfId="0" applyFill="1" applyBorder="1" applyAlignment="1">
      <alignment horizontal="left" wrapText="1"/>
    </xf>
    <xf numFmtId="0" fontId="0" fillId="26" borderId="0" xfId="0" applyFill="1" applyAlignment="1">
      <alignment horizontal="left"/>
    </xf>
    <xf numFmtId="0" fontId="0" fillId="20" borderId="31" xfId="0" applyFill="1" applyBorder="1" applyAlignment="1">
      <alignment horizontal="left" vertical="center"/>
    </xf>
    <xf numFmtId="2" fontId="0" fillId="13" borderId="16" xfId="0" applyNumberFormat="1" applyFill="1" applyBorder="1" applyAlignment="1">
      <alignment horizontal="center" vertical="center" wrapText="1"/>
    </xf>
    <xf numFmtId="2" fontId="0" fillId="13" borderId="40" xfId="0" applyNumberFormat="1" applyFill="1" applyBorder="1" applyAlignment="1">
      <alignment horizontal="center" vertical="center" wrapText="1"/>
    </xf>
    <xf numFmtId="2" fontId="13" fillId="13" borderId="16" xfId="0" applyNumberFormat="1" applyFont="1" applyFill="1" applyBorder="1" applyAlignment="1">
      <alignment horizontal="center" vertical="center" wrapText="1"/>
    </xf>
    <xf numFmtId="0" fontId="0" fillId="14" borderId="38" xfId="0" applyFill="1" applyBorder="1" applyAlignment="1">
      <alignment horizontal="left" vertical="center" wrapText="1"/>
    </xf>
    <xf numFmtId="0" fontId="0" fillId="18" borderId="38" xfId="0" applyFill="1" applyBorder="1" applyAlignment="1">
      <alignment horizontal="left" vertical="center" wrapText="1"/>
    </xf>
    <xf numFmtId="0" fontId="0" fillId="18" borderId="39" xfId="0" applyFill="1" applyBorder="1" applyAlignment="1">
      <alignment horizontal="left"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08"/>
      <c r="B3" s="9" t="s">
        <v>0</v>
      </c>
      <c r="C3" s="9" t="s">
        <v>1</v>
      </c>
      <c r="D3" s="9" t="s">
        <v>2</v>
      </c>
      <c r="E3" s="198" t="s">
        <v>3</v>
      </c>
      <c r="F3" s="2" t="s">
        <v>4</v>
      </c>
      <c r="G3" t="s">
        <v>5</v>
      </c>
    </row>
    <row r="4" spans="1:7">
      <c r="A4" s="199" t="s">
        <v>6</v>
      </c>
      <c r="B4" s="200">
        <f>(Fonctionnalités!E20)</f>
        <v>0.47625000000000001</v>
      </c>
      <c r="C4" s="201">
        <f>'Assurance Qualité'!C61</f>
        <v>0.66</v>
      </c>
      <c r="D4" s="201">
        <f>B4*0.6+C4*0.4 - 0.1*E4</f>
        <v>0.54974999999999996</v>
      </c>
      <c r="F4" s="13">
        <v>15</v>
      </c>
      <c r="G4" s="12">
        <f>D4*F4</f>
        <v>8.2462499999999999</v>
      </c>
    </row>
    <row r="5" spans="1:7">
      <c r="A5" s="202" t="s">
        <v>7</v>
      </c>
      <c r="B5" s="203">
        <f>(Fonctionnalités!E36)</f>
        <v>0.73749999999999993</v>
      </c>
      <c r="C5" s="204">
        <f>'Assurance Qualité'!F61</f>
        <v>0.68400000000000005</v>
      </c>
      <c r="D5" s="204">
        <f t="shared" ref="D5:D6" si="0">B5*0.6+C5*0.4 - 0.1*E5</f>
        <v>0.71609999999999996</v>
      </c>
      <c r="F5" s="13">
        <v>25</v>
      </c>
      <c r="G5" s="12">
        <f t="shared" ref="G5:G7" si="1">D5*F5</f>
        <v>17.9025</v>
      </c>
    </row>
    <row r="6" spans="1:7">
      <c r="A6" s="205" t="s">
        <v>8</v>
      </c>
      <c r="B6" s="206">
        <f>(Fonctionnalités!E53)</f>
        <v>0.89700000000000002</v>
      </c>
      <c r="C6" s="207">
        <f>'Assurance Qualité'!I61</f>
        <v>0.82250000000000001</v>
      </c>
      <c r="D6" s="207">
        <f t="shared" si="0"/>
        <v>0.86719999999999997</v>
      </c>
      <c r="F6" s="13">
        <v>20</v>
      </c>
      <c r="G6" s="12">
        <f t="shared" si="1"/>
        <v>17.344000000000001</v>
      </c>
    </row>
    <row r="7" spans="1:7">
      <c r="A7" s="10" t="s">
        <v>9</v>
      </c>
      <c r="B7" s="11"/>
      <c r="C7" s="11"/>
      <c r="D7" s="14">
        <v>0.88</v>
      </c>
      <c r="F7" s="2">
        <v>10</v>
      </c>
      <c r="G7" s="12">
        <f t="shared" si="1"/>
        <v>8.8000000000000007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54" zoomScaleNormal="100" workbookViewId="0">
      <selection activeCell="I32" sqref="I32"/>
    </sheetView>
  </sheetViews>
  <sheetFormatPr defaultColWidth="9.140625" defaultRowHeight="15"/>
  <cols>
    <col min="1" max="1" width="22.7109375" style="1" customWidth="1"/>
    <col min="2" max="2" width="48.140625" style="17" customWidth="1"/>
    <col min="3" max="4" width="10.7109375" style="1" customWidth="1"/>
    <col min="5" max="5" width="24.28515625" style="17" customWidth="1"/>
    <col min="6" max="7" width="10.7109375" customWidth="1"/>
    <col min="8" max="8" width="41.5703125" style="17" customWidth="1"/>
    <col min="9" max="10" width="10.7109375" customWidth="1"/>
    <col min="11" max="11" width="56.42578125" style="17" customWidth="1"/>
    <col min="12" max="13" width="12.7109375" customWidth="1"/>
    <col min="14" max="16" width="15.7109375" customWidth="1"/>
    <col min="17" max="1029" width="11.42578125"/>
  </cols>
  <sheetData>
    <row r="2" spans="1:17" ht="18.399999999999999" customHeight="1">
      <c r="A2" s="262" t="s">
        <v>10</v>
      </c>
      <c r="B2" s="262"/>
      <c r="C2" s="262"/>
      <c r="D2" s="262"/>
      <c r="E2" s="262"/>
      <c r="F2" s="262"/>
      <c r="G2" s="262"/>
      <c r="H2" s="262"/>
      <c r="I2" s="262"/>
      <c r="J2" s="262"/>
      <c r="K2" s="262"/>
      <c r="L2" s="8"/>
      <c r="M2" s="8"/>
    </row>
    <row r="4" spans="1:17" ht="18.399999999999999" customHeight="1">
      <c r="A4" s="263" t="s">
        <v>11</v>
      </c>
      <c r="B4" s="263"/>
      <c r="C4" s="263"/>
      <c r="D4" s="263"/>
      <c r="E4" s="263"/>
      <c r="F4" s="263"/>
      <c r="G4" s="263"/>
      <c r="H4" s="263"/>
      <c r="I4" s="263"/>
      <c r="J4" s="263"/>
      <c r="K4" s="263"/>
      <c r="L4" s="5"/>
      <c r="M4" s="5"/>
    </row>
    <row r="5" spans="1:17" ht="19.5" thickBot="1">
      <c r="A5" s="18"/>
      <c r="B5" s="209"/>
      <c r="C5" s="3"/>
      <c r="D5" s="3"/>
      <c r="E5" s="209"/>
      <c r="F5" s="3"/>
      <c r="G5" s="3"/>
      <c r="H5" s="209"/>
      <c r="I5" s="3"/>
      <c r="J5" s="3"/>
      <c r="K5" s="209"/>
      <c r="L5" s="3"/>
      <c r="M5" s="3"/>
    </row>
    <row r="6" spans="1:17" ht="18.399999999999999" customHeight="1">
      <c r="A6" s="255" t="s">
        <v>12</v>
      </c>
      <c r="B6" s="267" t="s">
        <v>13</v>
      </c>
      <c r="C6" s="257" t="s">
        <v>6</v>
      </c>
      <c r="D6" s="258"/>
      <c r="E6" s="258"/>
      <c r="F6" s="259" t="s">
        <v>7</v>
      </c>
      <c r="G6" s="260"/>
      <c r="H6" s="261"/>
      <c r="I6" s="264" t="s">
        <v>8</v>
      </c>
      <c r="J6" s="265"/>
      <c r="K6" s="266"/>
      <c r="L6" s="4"/>
      <c r="M6" s="4"/>
      <c r="N6" s="253"/>
      <c r="O6" s="254"/>
      <c r="P6" s="254"/>
    </row>
    <row r="7" spans="1:17" ht="19.5" thickBot="1">
      <c r="A7" s="256"/>
      <c r="B7" s="268"/>
      <c r="C7" s="22" t="s">
        <v>14</v>
      </c>
      <c r="D7" s="23" t="s">
        <v>4</v>
      </c>
      <c r="E7" s="29" t="s">
        <v>15</v>
      </c>
      <c r="F7" s="24" t="s">
        <v>14</v>
      </c>
      <c r="G7" s="25" t="s">
        <v>4</v>
      </c>
      <c r="H7" s="28" t="s">
        <v>15</v>
      </c>
      <c r="I7" s="26" t="s">
        <v>14</v>
      </c>
      <c r="J7" s="27" t="s">
        <v>4</v>
      </c>
      <c r="K7" s="30" t="s">
        <v>15</v>
      </c>
      <c r="L7" s="4"/>
      <c r="M7" s="4"/>
      <c r="N7" s="208"/>
      <c r="O7" s="208"/>
      <c r="P7" s="208"/>
      <c r="Q7" s="208"/>
    </row>
    <row r="8" spans="1:17" s="20" customFormat="1" ht="18.399999999999999" customHeight="1">
      <c r="A8" s="245" t="s">
        <v>16</v>
      </c>
      <c r="B8" s="246"/>
      <c r="C8" s="241" t="s">
        <v>17</v>
      </c>
      <c r="D8" s="242"/>
      <c r="E8" s="57" t="s">
        <v>18</v>
      </c>
      <c r="F8" s="241" t="s">
        <v>17</v>
      </c>
      <c r="G8" s="242"/>
      <c r="H8" s="57"/>
      <c r="I8" s="241" t="s">
        <v>17</v>
      </c>
      <c r="J8" s="242"/>
      <c r="K8" s="57"/>
      <c r="L8" s="19"/>
      <c r="M8" s="19"/>
    </row>
    <row r="9" spans="1:17" ht="60">
      <c r="A9" s="75" t="s">
        <v>19</v>
      </c>
      <c r="B9" s="76" t="s">
        <v>20</v>
      </c>
      <c r="C9" s="213">
        <f>(3-1)/3</f>
        <v>0.66666666666666663</v>
      </c>
      <c r="D9" s="47">
        <v>3</v>
      </c>
      <c r="E9" s="51" t="s">
        <v>21</v>
      </c>
      <c r="F9" s="222">
        <f>(3-2*0.5)/3</f>
        <v>0.66666666666666663</v>
      </c>
      <c r="G9" s="48">
        <v>3</v>
      </c>
      <c r="H9" s="52" t="s">
        <v>22</v>
      </c>
      <c r="I9" s="236">
        <f>(3-0.5-3*0.25)/3</f>
        <v>0.58333333333333337</v>
      </c>
      <c r="J9" s="49">
        <v>3</v>
      </c>
      <c r="K9" s="50" t="s">
        <v>23</v>
      </c>
      <c r="L9" s="6"/>
      <c r="M9" s="6"/>
    </row>
    <row r="10" spans="1:17" ht="60">
      <c r="A10" s="21" t="s">
        <v>24</v>
      </c>
      <c r="B10" s="31" t="s">
        <v>25</v>
      </c>
      <c r="C10" s="35">
        <v>1</v>
      </c>
      <c r="D10" s="32">
        <v>2</v>
      </c>
      <c r="E10" s="36"/>
      <c r="F10" s="37">
        <f>2/2</f>
        <v>1</v>
      </c>
      <c r="G10" s="33">
        <v>2</v>
      </c>
      <c r="H10" s="38"/>
      <c r="I10" s="235">
        <f>(2-0.25)/2</f>
        <v>0.875</v>
      </c>
      <c r="J10" s="34">
        <v>2</v>
      </c>
      <c r="K10" s="40" t="s">
        <v>26</v>
      </c>
      <c r="L10" s="6"/>
      <c r="M10" s="6"/>
    </row>
    <row r="11" spans="1:17" ht="45">
      <c r="A11" s="21" t="s">
        <v>27</v>
      </c>
      <c r="B11" s="31" t="s">
        <v>28</v>
      </c>
      <c r="C11" s="218">
        <f>(3-0.5)/3</f>
        <v>0.83333333333333337</v>
      </c>
      <c r="D11" s="32">
        <v>3</v>
      </c>
      <c r="E11" s="36" t="s">
        <v>29</v>
      </c>
      <c r="F11" s="224">
        <f>3/3</f>
        <v>1</v>
      </c>
      <c r="G11" s="33">
        <v>3</v>
      </c>
      <c r="H11" s="38" t="s">
        <v>30</v>
      </c>
      <c r="I11" s="39">
        <f>3/3</f>
        <v>1</v>
      </c>
      <c r="J11" s="34">
        <v>3</v>
      </c>
      <c r="K11" s="40"/>
      <c r="L11" s="6"/>
      <c r="M11" s="6"/>
    </row>
    <row r="12" spans="1:17" ht="291.75" customHeight="1">
      <c r="A12" s="21" t="s">
        <v>31</v>
      </c>
      <c r="B12" s="31" t="s">
        <v>32</v>
      </c>
      <c r="C12" s="35">
        <f>(2-4*0.25)/2</f>
        <v>0.5</v>
      </c>
      <c r="D12" s="32">
        <v>2</v>
      </c>
      <c r="E12" s="36" t="s">
        <v>33</v>
      </c>
      <c r="F12" s="37">
        <v>0.6</v>
      </c>
      <c r="G12" s="33">
        <v>2</v>
      </c>
      <c r="H12" s="38" t="s">
        <v>34</v>
      </c>
      <c r="I12" s="39">
        <f>2/2</f>
        <v>1</v>
      </c>
      <c r="J12" s="34">
        <v>2</v>
      </c>
      <c r="K12" s="40"/>
      <c r="L12" s="6"/>
      <c r="M12" s="6"/>
    </row>
    <row r="13" spans="1:17" ht="180">
      <c r="A13" s="21" t="s">
        <v>35</v>
      </c>
      <c r="B13" s="31" t="s">
        <v>36</v>
      </c>
      <c r="C13" s="35">
        <f>(4-4*0.5)/4</f>
        <v>0.5</v>
      </c>
      <c r="D13" s="32">
        <v>4</v>
      </c>
      <c r="E13" s="36" t="s">
        <v>37</v>
      </c>
      <c r="F13" s="221">
        <f>(4-0.2*9)/4</f>
        <v>0.55000000000000004</v>
      </c>
      <c r="G13" s="33">
        <v>4</v>
      </c>
      <c r="H13" s="38" t="s">
        <v>38</v>
      </c>
      <c r="I13" s="39">
        <f>4/4</f>
        <v>1</v>
      </c>
      <c r="J13" s="34">
        <v>4</v>
      </c>
      <c r="K13" s="40" t="s">
        <v>39</v>
      </c>
      <c r="L13" s="6"/>
      <c r="M13" s="6"/>
    </row>
    <row r="14" spans="1:17" s="94" customFormat="1" ht="16.5" thickBot="1">
      <c r="A14" s="243" t="s">
        <v>40</v>
      </c>
      <c r="B14" s="244"/>
      <c r="C14" s="84">
        <f>SUMPRODUCT(C9:C13,D9:D13)</f>
        <v>9.5</v>
      </c>
      <c r="D14" s="85">
        <f>SUM(D9:D13)</f>
        <v>14</v>
      </c>
      <c r="E14" s="86"/>
      <c r="F14" s="87">
        <f>SUMPRODUCT(F9:F13,G9:G13)</f>
        <v>10.399999999999999</v>
      </c>
      <c r="G14" s="88">
        <f>SUM(G9:G13)</f>
        <v>14</v>
      </c>
      <c r="H14" s="89"/>
      <c r="I14" s="90">
        <f>SUMPRODUCT(I9:I13,J9:J13)</f>
        <v>12.5</v>
      </c>
      <c r="J14" s="91">
        <f>SUM(J9:J13)</f>
        <v>14</v>
      </c>
      <c r="K14" s="92"/>
      <c r="L14" s="93"/>
      <c r="M14" s="93"/>
    </row>
    <row r="15" spans="1:17" s="20" customFormat="1" ht="18.399999999999999" customHeight="1">
      <c r="A15" s="250" t="s">
        <v>41</v>
      </c>
      <c r="B15" s="251"/>
      <c r="C15" s="241" t="s">
        <v>17</v>
      </c>
      <c r="D15" s="242"/>
      <c r="E15" s="57" t="s">
        <v>42</v>
      </c>
      <c r="F15" s="241" t="s">
        <v>17</v>
      </c>
      <c r="G15" s="242"/>
      <c r="H15" s="57"/>
      <c r="I15" s="241" t="s">
        <v>17</v>
      </c>
      <c r="J15" s="242"/>
      <c r="K15" s="57"/>
      <c r="L15" s="19"/>
      <c r="M15" s="19"/>
    </row>
    <row r="16" spans="1:17" ht="60">
      <c r="A16" s="75" t="s">
        <v>43</v>
      </c>
      <c r="B16" s="76" t="s">
        <v>44</v>
      </c>
      <c r="C16" s="59">
        <v>1</v>
      </c>
      <c r="D16" s="60">
        <v>2</v>
      </c>
      <c r="E16" s="61"/>
      <c r="F16" s="65">
        <v>0</v>
      </c>
      <c r="G16" s="66">
        <v>2</v>
      </c>
      <c r="H16" s="67" t="s">
        <v>45</v>
      </c>
      <c r="I16" s="71">
        <v>0.5</v>
      </c>
      <c r="J16" s="72">
        <v>2</v>
      </c>
      <c r="K16" s="73" t="s">
        <v>46</v>
      </c>
      <c r="L16" s="6"/>
      <c r="M16" s="6"/>
    </row>
    <row r="17" spans="1:13" ht="45">
      <c r="A17" s="21" t="s">
        <v>47</v>
      </c>
      <c r="B17" s="31" t="s">
        <v>48</v>
      </c>
      <c r="C17" s="219">
        <f>2/3</f>
        <v>0.66666666666666663</v>
      </c>
      <c r="D17" s="41">
        <v>3</v>
      </c>
      <c r="E17" s="62" t="s">
        <v>49</v>
      </c>
      <c r="F17" s="68">
        <v>1</v>
      </c>
      <c r="G17" s="42">
        <v>3</v>
      </c>
      <c r="H17" s="69"/>
      <c r="I17" s="74">
        <v>0.5</v>
      </c>
      <c r="J17" s="44">
        <v>3</v>
      </c>
      <c r="K17" s="46" t="s">
        <v>50</v>
      </c>
      <c r="L17" s="6"/>
      <c r="M17" s="6"/>
    </row>
    <row r="18" spans="1:13" ht="105">
      <c r="A18" s="21" t="s">
        <v>51</v>
      </c>
      <c r="B18" s="31" t="s">
        <v>52</v>
      </c>
      <c r="C18" s="219">
        <f>1/3</f>
        <v>0.33333333333333331</v>
      </c>
      <c r="D18" s="41">
        <v>3</v>
      </c>
      <c r="E18" s="62" t="s">
        <v>53</v>
      </c>
      <c r="F18" s="68">
        <v>0</v>
      </c>
      <c r="G18" s="42">
        <v>3</v>
      </c>
      <c r="H18" s="69" t="s">
        <v>54</v>
      </c>
      <c r="I18" s="74">
        <v>1</v>
      </c>
      <c r="J18" s="44">
        <v>3</v>
      </c>
      <c r="K18" s="46"/>
      <c r="L18" s="6"/>
      <c r="M18" s="6"/>
    </row>
    <row r="19" spans="1:13" ht="30">
      <c r="A19" s="21" t="s">
        <v>55</v>
      </c>
      <c r="B19" s="31" t="s">
        <v>56</v>
      </c>
      <c r="C19" s="45">
        <v>1</v>
      </c>
      <c r="D19" s="41">
        <v>3</v>
      </c>
      <c r="E19" s="62"/>
      <c r="F19" s="68">
        <v>1</v>
      </c>
      <c r="G19" s="42">
        <v>3</v>
      </c>
      <c r="H19" s="69"/>
      <c r="I19" s="74">
        <v>1</v>
      </c>
      <c r="J19" s="44">
        <v>3</v>
      </c>
      <c r="K19" s="46"/>
      <c r="L19" s="6"/>
      <c r="M19" s="6"/>
    </row>
    <row r="20" spans="1:13" ht="30">
      <c r="A20" s="21" t="s">
        <v>57</v>
      </c>
      <c r="B20" s="31" t="s">
        <v>58</v>
      </c>
      <c r="C20" s="45">
        <v>0.5</v>
      </c>
      <c r="D20" s="41">
        <v>2</v>
      </c>
      <c r="E20" s="62" t="s">
        <v>59</v>
      </c>
      <c r="F20" s="68">
        <f>1.5/2</f>
        <v>0.75</v>
      </c>
      <c r="G20" s="42">
        <v>2</v>
      </c>
      <c r="H20" s="69" t="s">
        <v>60</v>
      </c>
      <c r="I20" s="74">
        <v>1</v>
      </c>
      <c r="J20" s="44">
        <v>2</v>
      </c>
      <c r="K20" s="46"/>
      <c r="L20" s="6"/>
      <c r="M20" s="6"/>
    </row>
    <row r="21" spans="1:13" s="94" customFormat="1" ht="16.5" thickBot="1">
      <c r="A21" s="252" t="s">
        <v>40</v>
      </c>
      <c r="B21" s="249"/>
      <c r="C21" s="95">
        <f>SUMPRODUCT(C16:C20,D16:D20)</f>
        <v>9</v>
      </c>
      <c r="D21" s="96">
        <f>SUM(D16:D20)</f>
        <v>13</v>
      </c>
      <c r="E21" s="97"/>
      <c r="F21" s="98">
        <f>SUMPRODUCT(F16:F20,G16:G20)</f>
        <v>7.5</v>
      </c>
      <c r="G21" s="99">
        <f>SUM(G16:G20)</f>
        <v>13</v>
      </c>
      <c r="H21" s="100"/>
      <c r="I21" s="101">
        <f>SUMPRODUCT(I16:I20,J16:J20)</f>
        <v>10.5</v>
      </c>
      <c r="J21" s="102">
        <f>SUM(J16:J20)</f>
        <v>13</v>
      </c>
      <c r="K21" s="103"/>
      <c r="L21" s="93"/>
      <c r="M21" s="93"/>
    </row>
    <row r="22" spans="1:13" ht="18.399999999999999" customHeight="1" thickBot="1">
      <c r="A22" s="245" t="s">
        <v>61</v>
      </c>
      <c r="B22" s="246"/>
      <c r="C22" s="241" t="s">
        <v>17</v>
      </c>
      <c r="D22" s="242"/>
      <c r="E22" s="57" t="s">
        <v>18</v>
      </c>
      <c r="F22" s="241" t="s">
        <v>17</v>
      </c>
      <c r="G22" s="242"/>
      <c r="H22" s="57"/>
      <c r="I22" s="241" t="s">
        <v>17</v>
      </c>
      <c r="J22" s="242"/>
      <c r="K22" s="57"/>
      <c r="L22" s="5"/>
      <c r="M22" s="5"/>
    </row>
    <row r="23" spans="1:13" ht="60">
      <c r="A23" s="77" t="s">
        <v>62</v>
      </c>
      <c r="B23" s="78" t="s">
        <v>63</v>
      </c>
      <c r="C23" s="81">
        <v>1</v>
      </c>
      <c r="D23" s="82">
        <v>2</v>
      </c>
      <c r="E23" s="83"/>
      <c r="F23" s="106">
        <f>2/2</f>
        <v>1</v>
      </c>
      <c r="G23" s="107">
        <v>2</v>
      </c>
      <c r="H23" s="108"/>
      <c r="I23" s="111">
        <f>2/2</f>
        <v>1</v>
      </c>
      <c r="J23" s="112">
        <v>2</v>
      </c>
      <c r="K23" s="113"/>
      <c r="L23" s="6"/>
      <c r="M23" s="6"/>
    </row>
    <row r="24" spans="1:13" ht="135">
      <c r="A24" s="79" t="s">
        <v>64</v>
      </c>
      <c r="B24" s="80" t="s">
        <v>65</v>
      </c>
      <c r="C24" s="45">
        <f>(1-0.75)/1</f>
        <v>0.25</v>
      </c>
      <c r="D24" s="41">
        <v>1</v>
      </c>
      <c r="E24" s="62" t="s">
        <v>66</v>
      </c>
      <c r="F24" s="68">
        <f>1/1</f>
        <v>1</v>
      </c>
      <c r="G24" s="42">
        <v>1</v>
      </c>
      <c r="H24" s="69"/>
      <c r="I24" s="74">
        <f>1/1</f>
        <v>1</v>
      </c>
      <c r="J24" s="44">
        <v>1</v>
      </c>
      <c r="K24" s="46"/>
      <c r="L24" s="6"/>
      <c r="M24" s="6"/>
    </row>
    <row r="25" spans="1:13" ht="30">
      <c r="A25" s="79" t="s">
        <v>67</v>
      </c>
      <c r="B25" s="80" t="s">
        <v>68</v>
      </c>
      <c r="C25" s="45">
        <v>1</v>
      </c>
      <c r="D25" s="41">
        <v>1</v>
      </c>
      <c r="E25" s="62"/>
      <c r="F25" s="68">
        <f>1/1</f>
        <v>1</v>
      </c>
      <c r="G25" s="42">
        <v>1</v>
      </c>
      <c r="H25" s="69"/>
      <c r="I25" s="74">
        <f>(1-0.25)/1</f>
        <v>0.75</v>
      </c>
      <c r="J25" s="44">
        <v>1</v>
      </c>
      <c r="K25" s="46" t="s">
        <v>69</v>
      </c>
      <c r="L25" s="6"/>
      <c r="M25" s="6"/>
    </row>
    <row r="26" spans="1:13" s="94" customFormat="1" ht="16.5" thickBot="1">
      <c r="A26" s="248" t="s">
        <v>40</v>
      </c>
      <c r="B26" s="249"/>
      <c r="C26" s="84">
        <f>SUMPRODUCT(C23:C25,D23:D25)</f>
        <v>3.25</v>
      </c>
      <c r="D26" s="85">
        <f>SUM(D23:D25)</f>
        <v>4</v>
      </c>
      <c r="E26" s="86"/>
      <c r="F26" s="98">
        <f>SUMPRODUCT(F23:F25,G23:G25)</f>
        <v>4</v>
      </c>
      <c r="G26" s="99">
        <f>SUM(G23:G25)</f>
        <v>4</v>
      </c>
      <c r="H26" s="100"/>
      <c r="I26" s="101">
        <f>SUMPRODUCT(I23:I25,J23:J25)</f>
        <v>3.75</v>
      </c>
      <c r="J26" s="102">
        <f>SUM(J23:J25)</f>
        <v>4</v>
      </c>
      <c r="K26" s="103"/>
      <c r="L26" s="93"/>
      <c r="M26" s="93"/>
    </row>
    <row r="27" spans="1:13" ht="18.399999999999999" customHeight="1">
      <c r="A27" s="245" t="s">
        <v>70</v>
      </c>
      <c r="B27" s="246"/>
      <c r="C27" s="241" t="s">
        <v>17</v>
      </c>
      <c r="D27" s="242"/>
      <c r="E27" s="57" t="s">
        <v>42</v>
      </c>
      <c r="F27" s="241" t="s">
        <v>17</v>
      </c>
      <c r="G27" s="242"/>
      <c r="H27" s="56"/>
      <c r="I27" s="241" t="s">
        <v>17</v>
      </c>
      <c r="J27" s="242"/>
      <c r="K27" s="57"/>
      <c r="L27" s="16"/>
      <c r="M27" s="5"/>
    </row>
    <row r="28" spans="1:13" ht="75">
      <c r="A28" s="117" t="s">
        <v>71</v>
      </c>
      <c r="B28" s="118" t="s">
        <v>72</v>
      </c>
      <c r="C28" s="109">
        <v>1</v>
      </c>
      <c r="D28" s="58">
        <v>2</v>
      </c>
      <c r="E28" s="110"/>
      <c r="F28" s="104">
        <v>1</v>
      </c>
      <c r="G28" s="63">
        <v>2</v>
      </c>
      <c r="H28" s="64"/>
      <c r="I28" s="115">
        <v>1</v>
      </c>
      <c r="J28" s="70">
        <v>2</v>
      </c>
      <c r="K28" s="116"/>
      <c r="L28" s="6"/>
      <c r="M28" s="6"/>
    </row>
    <row r="29" spans="1:13" ht="60">
      <c r="A29" s="53" t="s">
        <v>73</v>
      </c>
      <c r="B29" s="54" t="s">
        <v>74</v>
      </c>
      <c r="C29" s="45">
        <f>1.5/2</f>
        <v>0.75</v>
      </c>
      <c r="D29" s="41">
        <v>2</v>
      </c>
      <c r="E29" s="62" t="s">
        <v>75</v>
      </c>
      <c r="F29" s="68">
        <v>1</v>
      </c>
      <c r="G29" s="42">
        <v>2</v>
      </c>
      <c r="H29" s="43"/>
      <c r="I29" s="74">
        <v>1</v>
      </c>
      <c r="J29" s="44">
        <v>2</v>
      </c>
      <c r="K29" s="46"/>
      <c r="L29" s="6"/>
      <c r="M29" s="6"/>
    </row>
    <row r="30" spans="1:13" ht="30">
      <c r="A30" s="21" t="s">
        <v>76</v>
      </c>
      <c r="B30" s="54" t="s">
        <v>77</v>
      </c>
      <c r="C30" s="45">
        <v>1</v>
      </c>
      <c r="D30" s="41">
        <v>2</v>
      </c>
      <c r="E30" s="62"/>
      <c r="F30" s="68">
        <v>1</v>
      </c>
      <c r="G30" s="42">
        <v>2</v>
      </c>
      <c r="H30" s="43"/>
      <c r="I30" s="74">
        <v>1</v>
      </c>
      <c r="J30" s="44">
        <v>2</v>
      </c>
      <c r="K30" s="46"/>
      <c r="L30" s="6"/>
      <c r="M30" s="6"/>
    </row>
    <row r="31" spans="1:13" ht="90">
      <c r="A31" s="21" t="s">
        <v>78</v>
      </c>
      <c r="B31" s="54" t="s">
        <v>79</v>
      </c>
      <c r="C31" s="45">
        <v>1</v>
      </c>
      <c r="D31" s="41">
        <v>3</v>
      </c>
      <c r="E31" s="62"/>
      <c r="F31" s="223">
        <f>2/3</f>
        <v>0.66666666666666663</v>
      </c>
      <c r="G31" s="42">
        <v>3</v>
      </c>
      <c r="H31" s="43" t="s">
        <v>80</v>
      </c>
      <c r="I31" s="74">
        <f>2/3</f>
        <v>0.66666666666666663</v>
      </c>
      <c r="J31" s="44">
        <v>3</v>
      </c>
      <c r="K31" s="46" t="s">
        <v>81</v>
      </c>
      <c r="L31" s="6"/>
      <c r="M31" s="6"/>
    </row>
    <row r="32" spans="1:13" s="94" customFormat="1" ht="16.5" thickBot="1">
      <c r="A32" s="243" t="s">
        <v>40</v>
      </c>
      <c r="B32" s="244"/>
      <c r="C32" s="84">
        <f>SUMPRODUCT(C28:C31,D28:D31)</f>
        <v>8.5</v>
      </c>
      <c r="D32" s="85">
        <f>SUM(D28:D31)</f>
        <v>9</v>
      </c>
      <c r="E32" s="86"/>
      <c r="F32" s="87">
        <f>SUMPRODUCT(F28:F31,G28:G31)</f>
        <v>8</v>
      </c>
      <c r="G32" s="88">
        <f>SUM(G28:G31)</f>
        <v>9</v>
      </c>
      <c r="H32" s="114"/>
      <c r="I32" s="101">
        <f>SUMPRODUCT(I28:I31,J28:J31)</f>
        <v>8</v>
      </c>
      <c r="J32" s="102">
        <f>SUM(J28:J31)</f>
        <v>9</v>
      </c>
      <c r="K32" s="103"/>
      <c r="L32" s="93"/>
      <c r="M32" s="93"/>
    </row>
    <row r="33" spans="1:13" ht="18.399999999999999" customHeight="1">
      <c r="A33" s="245" t="s">
        <v>82</v>
      </c>
      <c r="B33" s="247"/>
      <c r="C33" s="241" t="s">
        <v>17</v>
      </c>
      <c r="D33" s="242"/>
      <c r="E33" s="57" t="s">
        <v>18</v>
      </c>
      <c r="F33" s="241" t="s">
        <v>17</v>
      </c>
      <c r="G33" s="242"/>
      <c r="H33" s="57"/>
      <c r="I33" s="55" t="s">
        <v>17</v>
      </c>
      <c r="J33" s="56"/>
      <c r="K33" s="57"/>
      <c r="L33" s="15"/>
      <c r="M33" s="5"/>
    </row>
    <row r="34" spans="1:13" ht="75">
      <c r="A34" s="117" t="s">
        <v>83</v>
      </c>
      <c r="B34" s="76" t="s">
        <v>84</v>
      </c>
      <c r="C34" s="109">
        <v>0</v>
      </c>
      <c r="D34" s="58">
        <v>1</v>
      </c>
      <c r="E34" s="110" t="s">
        <v>85</v>
      </c>
      <c r="F34" s="104">
        <f>0/1</f>
        <v>0</v>
      </c>
      <c r="G34" s="63">
        <v>1</v>
      </c>
      <c r="H34" s="105" t="s">
        <v>86</v>
      </c>
      <c r="I34" s="115">
        <v>0</v>
      </c>
      <c r="J34" s="70">
        <v>1</v>
      </c>
      <c r="K34" s="116" t="s">
        <v>87</v>
      </c>
      <c r="L34" s="6"/>
      <c r="M34" s="6"/>
    </row>
    <row r="35" spans="1:13" ht="30">
      <c r="A35" s="53" t="s">
        <v>88</v>
      </c>
      <c r="B35" s="31" t="s">
        <v>89</v>
      </c>
      <c r="C35" s="45">
        <v>1</v>
      </c>
      <c r="D35" s="41">
        <v>1</v>
      </c>
      <c r="E35" s="62"/>
      <c r="F35" s="68">
        <f>1/1</f>
        <v>1</v>
      </c>
      <c r="G35" s="42">
        <v>1</v>
      </c>
      <c r="H35" s="69" t="s">
        <v>90</v>
      </c>
      <c r="I35" s="74">
        <f>(1-2*0.25)/1</f>
        <v>0.5</v>
      </c>
      <c r="J35" s="44">
        <v>1</v>
      </c>
      <c r="K35" s="46" t="s">
        <v>91</v>
      </c>
      <c r="L35" s="6"/>
      <c r="M35" s="6"/>
    </row>
    <row r="36" spans="1:13" ht="90">
      <c r="A36" s="21" t="s">
        <v>92</v>
      </c>
      <c r="B36" s="31" t="s">
        <v>93</v>
      </c>
      <c r="C36" s="45">
        <v>0</v>
      </c>
      <c r="D36" s="41">
        <v>3</v>
      </c>
      <c r="E36" s="62" t="s">
        <v>94</v>
      </c>
      <c r="F36" s="223">
        <f>(3-0.25*5)/3</f>
        <v>0.58333333333333337</v>
      </c>
      <c r="G36" s="42">
        <v>3</v>
      </c>
      <c r="H36" s="69" t="s">
        <v>95</v>
      </c>
      <c r="I36" s="74">
        <f>3/3</f>
        <v>1</v>
      </c>
      <c r="J36" s="44">
        <v>3</v>
      </c>
      <c r="K36" s="46"/>
      <c r="L36" s="6"/>
      <c r="M36" s="6"/>
    </row>
    <row r="37" spans="1:13" ht="90">
      <c r="A37" s="21" t="s">
        <v>96</v>
      </c>
      <c r="B37" s="31" t="s">
        <v>97</v>
      </c>
      <c r="C37" s="45">
        <f>(3-3*0.25)/3</f>
        <v>0.75</v>
      </c>
      <c r="D37" s="41">
        <v>3</v>
      </c>
      <c r="E37" s="62" t="s">
        <v>98</v>
      </c>
      <c r="F37" s="223">
        <f>(3-0.25*5)/3</f>
        <v>0.58333333333333337</v>
      </c>
      <c r="G37" s="42">
        <v>3</v>
      </c>
      <c r="H37" s="69" t="s">
        <v>99</v>
      </c>
      <c r="I37" s="237">
        <f>(3-4*0.25)/3</f>
        <v>0.66666666666666663</v>
      </c>
      <c r="J37" s="44">
        <v>3</v>
      </c>
      <c r="K37" s="46" t="s">
        <v>100</v>
      </c>
      <c r="L37" s="6"/>
      <c r="M37" s="6"/>
    </row>
    <row r="38" spans="1:13" s="94" customFormat="1" ht="16.5" thickBot="1">
      <c r="A38" s="243" t="s">
        <v>40</v>
      </c>
      <c r="B38" s="244"/>
      <c r="C38" s="119">
        <f>SUMPRODUCT(C34:C37,D34:D37)</f>
        <v>3.25</v>
      </c>
      <c r="D38" s="85">
        <f>SUM(D34:D37)</f>
        <v>8</v>
      </c>
      <c r="E38" s="86"/>
      <c r="F38" s="120">
        <f>SUMPRODUCT(F34:F37,G34:G37)</f>
        <v>4.5</v>
      </c>
      <c r="G38" s="88">
        <f>SUM(G34:G37)</f>
        <v>8</v>
      </c>
      <c r="H38" s="89"/>
      <c r="I38" s="101">
        <f>SUMPRODUCT(I34:I37,J34:J37)</f>
        <v>5.5</v>
      </c>
      <c r="J38" s="102">
        <f>SUM(J34:J37)</f>
        <v>8</v>
      </c>
      <c r="K38" s="103"/>
      <c r="L38" s="93"/>
      <c r="M38" s="93"/>
    </row>
    <row r="39" spans="1:13" ht="18.399999999999999" customHeight="1" thickBot="1">
      <c r="A39" s="245" t="s">
        <v>101</v>
      </c>
      <c r="B39" s="246"/>
      <c r="C39" s="241" t="s">
        <v>17</v>
      </c>
      <c r="D39" s="242"/>
      <c r="E39" s="56" t="s">
        <v>42</v>
      </c>
      <c r="F39" s="241" t="s">
        <v>17</v>
      </c>
      <c r="G39" s="242"/>
      <c r="H39" s="57"/>
      <c r="I39" s="241" t="s">
        <v>17</v>
      </c>
      <c r="J39" s="242"/>
      <c r="K39" s="57"/>
      <c r="L39" s="5"/>
      <c r="M39" s="5"/>
    </row>
    <row r="40" spans="1:13" ht="60">
      <c r="A40" s="75" t="s">
        <v>102</v>
      </c>
      <c r="B40" s="76" t="s">
        <v>103</v>
      </c>
      <c r="C40" s="81">
        <v>1</v>
      </c>
      <c r="D40" s="82">
        <v>1</v>
      </c>
      <c r="E40" s="83"/>
      <c r="F40" s="106">
        <v>1</v>
      </c>
      <c r="G40" s="107">
        <v>1</v>
      </c>
      <c r="H40" s="108"/>
      <c r="I40" s="111">
        <v>1</v>
      </c>
      <c r="J40" s="112">
        <v>1</v>
      </c>
      <c r="K40" s="113"/>
      <c r="L40" s="6"/>
      <c r="M40" s="6"/>
    </row>
    <row r="41" spans="1:13" ht="30">
      <c r="A41" s="21" t="s">
        <v>104</v>
      </c>
      <c r="B41" s="31" t="s">
        <v>105</v>
      </c>
      <c r="C41" s="45">
        <v>1</v>
      </c>
      <c r="D41" s="41">
        <v>4</v>
      </c>
      <c r="E41" s="62"/>
      <c r="F41" s="68">
        <v>1</v>
      </c>
      <c r="G41" s="42">
        <v>4</v>
      </c>
      <c r="H41" s="69"/>
      <c r="I41" s="74">
        <v>1</v>
      </c>
      <c r="J41" s="44">
        <v>4</v>
      </c>
      <c r="K41" s="46"/>
      <c r="L41" s="6"/>
      <c r="M41" s="6"/>
    </row>
    <row r="42" spans="1:13" ht="120">
      <c r="A42" s="21" t="s">
        <v>106</v>
      </c>
      <c r="B42" s="31" t="s">
        <v>107</v>
      </c>
      <c r="C42" s="45">
        <v>0</v>
      </c>
      <c r="D42" s="41">
        <v>3</v>
      </c>
      <c r="E42" s="62" t="s">
        <v>108</v>
      </c>
      <c r="F42" s="68">
        <v>0</v>
      </c>
      <c r="G42" s="42">
        <v>3</v>
      </c>
      <c r="H42" s="69" t="s">
        <v>109</v>
      </c>
      <c r="I42" s="74">
        <v>1</v>
      </c>
      <c r="J42" s="44">
        <v>3</v>
      </c>
      <c r="K42" s="46"/>
      <c r="L42" s="6"/>
      <c r="M42" s="6"/>
    </row>
    <row r="43" spans="1:13" ht="90">
      <c r="A43" s="21" t="s">
        <v>110</v>
      </c>
      <c r="B43" s="31" t="s">
        <v>111</v>
      </c>
      <c r="C43" s="45">
        <v>0</v>
      </c>
      <c r="D43" s="41">
        <v>2</v>
      </c>
      <c r="E43" s="62" t="s">
        <v>112</v>
      </c>
      <c r="F43" s="68">
        <v>0</v>
      </c>
      <c r="G43" s="42">
        <v>2</v>
      </c>
      <c r="H43" s="69" t="s">
        <v>113</v>
      </c>
      <c r="I43" s="74">
        <v>1</v>
      </c>
      <c r="J43" s="44">
        <v>2</v>
      </c>
      <c r="K43" s="46"/>
      <c r="L43" s="6"/>
    </row>
    <row r="44" spans="1:13" ht="90">
      <c r="A44" s="21" t="s">
        <v>114</v>
      </c>
      <c r="B44" s="31" t="s">
        <v>115</v>
      </c>
      <c r="C44" s="35">
        <v>0</v>
      </c>
      <c r="D44" s="32">
        <v>2</v>
      </c>
      <c r="E44" s="36" t="s">
        <v>116</v>
      </c>
      <c r="F44" s="37">
        <v>0</v>
      </c>
      <c r="G44" s="33">
        <v>2</v>
      </c>
      <c r="H44" s="38" t="s">
        <v>117</v>
      </c>
      <c r="I44" s="39">
        <v>1</v>
      </c>
      <c r="J44" s="34">
        <v>2</v>
      </c>
      <c r="K44" s="40"/>
      <c r="L44" s="6"/>
      <c r="M44" s="6"/>
    </row>
    <row r="45" spans="1:13" ht="75">
      <c r="A45" s="21" t="s">
        <v>118</v>
      </c>
      <c r="B45" s="31" t="s">
        <v>119</v>
      </c>
      <c r="C45" s="35">
        <v>1</v>
      </c>
      <c r="D45" s="32">
        <v>3</v>
      </c>
      <c r="E45" s="36"/>
      <c r="F45" s="37">
        <v>1</v>
      </c>
      <c r="G45" s="33">
        <v>3</v>
      </c>
      <c r="H45" s="38" t="s">
        <v>120</v>
      </c>
      <c r="I45" s="39">
        <v>1</v>
      </c>
      <c r="J45" s="34">
        <v>3</v>
      </c>
      <c r="K45" s="40"/>
      <c r="L45" s="6"/>
      <c r="M45" s="6"/>
    </row>
    <row r="46" spans="1:13" ht="30">
      <c r="A46" s="21" t="s">
        <v>121</v>
      </c>
      <c r="B46" s="31" t="s">
        <v>122</v>
      </c>
      <c r="C46" s="45">
        <v>1</v>
      </c>
      <c r="D46" s="41">
        <v>3</v>
      </c>
      <c r="E46" s="62"/>
      <c r="F46" s="68"/>
      <c r="G46" s="42">
        <v>3</v>
      </c>
      <c r="H46" s="69"/>
      <c r="I46" s="74">
        <v>1</v>
      </c>
      <c r="J46" s="44">
        <v>3</v>
      </c>
      <c r="K46" s="46"/>
      <c r="L46" s="6"/>
      <c r="M46" s="6"/>
    </row>
    <row r="47" spans="1:13" ht="105">
      <c r="A47" s="21" t="s">
        <v>123</v>
      </c>
      <c r="B47" s="31" t="s">
        <v>124</v>
      </c>
      <c r="C47" s="45">
        <v>0.5</v>
      </c>
      <c r="D47" s="41">
        <v>6</v>
      </c>
      <c r="E47" s="62" t="s">
        <v>125</v>
      </c>
      <c r="F47" s="68">
        <v>1</v>
      </c>
      <c r="G47" s="42">
        <v>6</v>
      </c>
      <c r="H47" s="69" t="s">
        <v>126</v>
      </c>
      <c r="I47" s="74">
        <v>0.5</v>
      </c>
      <c r="J47" s="44">
        <v>6</v>
      </c>
      <c r="K47" s="46" t="s">
        <v>127</v>
      </c>
      <c r="L47" s="6"/>
      <c r="M47" s="6"/>
    </row>
    <row r="48" spans="1:13" ht="75">
      <c r="A48" s="21" t="s">
        <v>128</v>
      </c>
      <c r="B48" s="31" t="s">
        <v>129</v>
      </c>
      <c r="C48" s="45">
        <v>1</v>
      </c>
      <c r="D48" s="41">
        <v>8</v>
      </c>
      <c r="E48" s="62"/>
      <c r="F48" s="68">
        <v>1</v>
      </c>
      <c r="G48" s="42">
        <v>8</v>
      </c>
      <c r="H48" s="69" t="s">
        <v>130</v>
      </c>
      <c r="I48" s="74">
        <f>6/8</f>
        <v>0.75</v>
      </c>
      <c r="J48" s="44">
        <v>8</v>
      </c>
      <c r="K48" s="46" t="s">
        <v>131</v>
      </c>
      <c r="L48" s="6"/>
      <c r="M48" s="6"/>
    </row>
    <row r="49" spans="1:13" ht="195">
      <c r="A49" s="21" t="s">
        <v>132</v>
      </c>
      <c r="B49" s="31" t="s">
        <v>133</v>
      </c>
      <c r="C49" s="45">
        <v>0</v>
      </c>
      <c r="D49" s="41">
        <v>6</v>
      </c>
      <c r="E49" s="62" t="s">
        <v>134</v>
      </c>
      <c r="F49" s="223">
        <f>1/6</f>
        <v>0.16666666666666666</v>
      </c>
      <c r="G49" s="42">
        <v>6</v>
      </c>
      <c r="H49" s="69" t="s">
        <v>135</v>
      </c>
      <c r="I49" s="74">
        <f>1/6</f>
        <v>0.16666666666666666</v>
      </c>
      <c r="J49" s="44">
        <v>6</v>
      </c>
      <c r="K49" s="46" t="s">
        <v>136</v>
      </c>
      <c r="L49" s="6"/>
      <c r="M49" s="6"/>
    </row>
    <row r="50" spans="1:13">
      <c r="A50" s="21" t="s">
        <v>137</v>
      </c>
      <c r="B50" s="31" t="s">
        <v>138</v>
      </c>
      <c r="C50" s="45">
        <v>1</v>
      </c>
      <c r="D50" s="41">
        <v>3</v>
      </c>
      <c r="E50" s="62"/>
      <c r="F50" s="68">
        <v>1</v>
      </c>
      <c r="G50" s="42">
        <v>3</v>
      </c>
      <c r="H50" s="69"/>
      <c r="I50" s="74">
        <v>1</v>
      </c>
      <c r="J50" s="44">
        <v>3</v>
      </c>
      <c r="K50" s="46"/>
      <c r="L50" s="6"/>
      <c r="M50" s="6"/>
    </row>
    <row r="51" spans="1:13" s="94" customFormat="1" ht="16.5" thickBot="1">
      <c r="A51" s="243" t="s">
        <v>40</v>
      </c>
      <c r="B51" s="244"/>
      <c r="C51" s="123">
        <f>SUMPRODUCT(C40:C50,D40:D50)</f>
        <v>25</v>
      </c>
      <c r="D51" s="96">
        <f>SUM(D40:D50)</f>
        <v>41</v>
      </c>
      <c r="E51" s="97"/>
      <c r="F51" s="120">
        <f>SUMPRODUCT(F40:F50,G40:G50)</f>
        <v>26</v>
      </c>
      <c r="G51" s="88">
        <f>SUM(G40:G50)</f>
        <v>41</v>
      </c>
      <c r="H51" s="89"/>
      <c r="I51" s="90">
        <f>SUMPRODUCT(I40:I50,J40:J50)</f>
        <v>31</v>
      </c>
      <c r="J51" s="91">
        <f>SUM(J40:J50)</f>
        <v>41</v>
      </c>
      <c r="K51" s="92"/>
      <c r="L51" s="93"/>
      <c r="M51" s="93"/>
    </row>
    <row r="52" spans="1:13" ht="18.399999999999999" customHeight="1">
      <c r="A52" s="245" t="s">
        <v>139</v>
      </c>
      <c r="B52" s="247"/>
      <c r="C52" s="241" t="s">
        <v>17</v>
      </c>
      <c r="D52" s="242"/>
      <c r="E52" s="57" t="s">
        <v>18</v>
      </c>
      <c r="F52" s="241" t="s">
        <v>17</v>
      </c>
      <c r="G52" s="242"/>
      <c r="H52" s="57"/>
      <c r="I52" s="241" t="s">
        <v>17</v>
      </c>
      <c r="J52" s="242"/>
      <c r="K52" s="57"/>
      <c r="L52" s="15"/>
      <c r="M52" s="5"/>
    </row>
    <row r="53" spans="1:13" ht="45">
      <c r="A53" s="75" t="s">
        <v>140</v>
      </c>
      <c r="B53" s="76" t="s">
        <v>141</v>
      </c>
      <c r="C53" s="109">
        <v>1</v>
      </c>
      <c r="D53" s="58">
        <v>2</v>
      </c>
      <c r="E53" s="110"/>
      <c r="F53" s="106">
        <f>2/2</f>
        <v>1</v>
      </c>
      <c r="G53" s="107">
        <v>2</v>
      </c>
      <c r="H53" s="108" t="s">
        <v>142</v>
      </c>
      <c r="I53" s="111">
        <f>1/1</f>
        <v>1</v>
      </c>
      <c r="J53" s="112">
        <v>2</v>
      </c>
      <c r="K53" s="113"/>
      <c r="L53" s="6"/>
      <c r="M53" s="6"/>
    </row>
    <row r="54" spans="1:13" ht="300">
      <c r="A54" s="21" t="s">
        <v>143</v>
      </c>
      <c r="B54" s="31" t="s">
        <v>144</v>
      </c>
      <c r="C54" s="45">
        <f>(2-1.5)/2</f>
        <v>0.25</v>
      </c>
      <c r="D54" s="41">
        <v>2</v>
      </c>
      <c r="E54" s="62" t="s">
        <v>145</v>
      </c>
      <c r="F54" s="68">
        <f>(2-1)/2</f>
        <v>0.5</v>
      </c>
      <c r="G54" s="42">
        <v>2</v>
      </c>
      <c r="H54" s="69" t="s">
        <v>146</v>
      </c>
      <c r="I54" s="74">
        <f>2/2</f>
        <v>1</v>
      </c>
      <c r="J54" s="44">
        <v>2</v>
      </c>
      <c r="K54" s="46"/>
      <c r="L54" s="6"/>
      <c r="M54" s="6"/>
    </row>
    <row r="55" spans="1:13">
      <c r="A55" s="53" t="s">
        <v>147</v>
      </c>
      <c r="B55" s="31" t="s">
        <v>148</v>
      </c>
      <c r="C55" s="45">
        <v>1</v>
      </c>
      <c r="D55" s="41">
        <v>1</v>
      </c>
      <c r="E55" s="62"/>
      <c r="F55" s="68">
        <v>1</v>
      </c>
      <c r="G55" s="42">
        <v>1</v>
      </c>
      <c r="H55" s="69"/>
      <c r="I55" s="74">
        <f>1/1</f>
        <v>1</v>
      </c>
      <c r="J55" s="44">
        <v>1</v>
      </c>
      <c r="K55" s="46"/>
      <c r="L55" s="6"/>
      <c r="M55" s="6"/>
    </row>
    <row r="56" spans="1:13" ht="120">
      <c r="A56" s="53" t="s">
        <v>149</v>
      </c>
      <c r="B56" s="31" t="s">
        <v>150</v>
      </c>
      <c r="C56" s="45">
        <f>(4-2)/4</f>
        <v>0.5</v>
      </c>
      <c r="D56" s="41">
        <v>4</v>
      </c>
      <c r="E56" s="62" t="s">
        <v>151</v>
      </c>
      <c r="F56" s="68">
        <f>(4-2)/4</f>
        <v>0.5</v>
      </c>
      <c r="G56" s="42">
        <v>4</v>
      </c>
      <c r="H56" s="69" t="s">
        <v>152</v>
      </c>
      <c r="I56" s="74">
        <f>4/4</f>
        <v>1</v>
      </c>
      <c r="J56" s="44">
        <v>4</v>
      </c>
      <c r="K56" s="46"/>
      <c r="L56" s="6"/>
      <c r="M56" s="6"/>
    </row>
    <row r="57" spans="1:13" ht="45">
      <c r="A57" s="21" t="s">
        <v>153</v>
      </c>
      <c r="B57" s="31" t="s">
        <v>154</v>
      </c>
      <c r="C57" s="45">
        <v>1</v>
      </c>
      <c r="D57" s="41">
        <v>2</v>
      </c>
      <c r="E57" s="62"/>
      <c r="F57" s="68">
        <f>2/2</f>
        <v>1</v>
      </c>
      <c r="G57" s="42">
        <v>2</v>
      </c>
      <c r="H57" s="69"/>
      <c r="I57" s="74">
        <f>2/2</f>
        <v>1</v>
      </c>
      <c r="J57" s="44">
        <v>2</v>
      </c>
      <c r="K57" s="46"/>
      <c r="L57" s="7"/>
      <c r="M57" s="6"/>
    </row>
    <row r="58" spans="1:13" s="94" customFormat="1" ht="16.5" thickBot="1">
      <c r="A58" s="243" t="s">
        <v>40</v>
      </c>
      <c r="B58" s="244"/>
      <c r="C58" s="95">
        <f>SUMPRODUCT(C53:C57,D53:D57)</f>
        <v>7.5</v>
      </c>
      <c r="D58" s="96">
        <f>SUM(D53:D57)</f>
        <v>11</v>
      </c>
      <c r="E58" s="97"/>
      <c r="F58" s="98">
        <f>SUMPRODUCT(F53:F57,G53:G57)</f>
        <v>8</v>
      </c>
      <c r="G58" s="99">
        <f>SUM(G53:G57)</f>
        <v>11</v>
      </c>
      <c r="H58" s="100"/>
      <c r="I58" s="90">
        <f>SUMPRODUCT(I53:I57,J53:J57)</f>
        <v>11</v>
      </c>
      <c r="J58" s="91">
        <f>SUM(J53:J57)</f>
        <v>11</v>
      </c>
      <c r="K58" s="92"/>
      <c r="L58" s="93"/>
      <c r="M58" s="93"/>
    </row>
    <row r="59" spans="1:13" ht="18.399999999999999" customHeight="1" thickBot="1">
      <c r="A59" s="269" t="s">
        <v>2</v>
      </c>
      <c r="B59" s="270"/>
      <c r="C59" s="270"/>
      <c r="D59" s="270"/>
      <c r="E59" s="270"/>
      <c r="F59" s="270"/>
      <c r="G59" s="270"/>
      <c r="H59" s="270"/>
      <c r="I59" s="270"/>
      <c r="J59" s="270"/>
      <c r="K59" s="271"/>
      <c r="L59" s="5"/>
      <c r="M59" s="5"/>
    </row>
    <row r="60" spans="1:13">
      <c r="A60" s="272" t="s">
        <v>155</v>
      </c>
      <c r="B60" s="273"/>
      <c r="C60" s="124">
        <f t="shared" ref="C60:J60" si="0">C14+C21+C26+C32+C38+C51+C58</f>
        <v>66</v>
      </c>
      <c r="D60" s="60">
        <f t="shared" si="0"/>
        <v>100</v>
      </c>
      <c r="E60" s="61"/>
      <c r="F60" s="125">
        <f t="shared" si="0"/>
        <v>68.400000000000006</v>
      </c>
      <c r="G60" s="66">
        <f t="shared" si="0"/>
        <v>100</v>
      </c>
      <c r="H60" s="67"/>
      <c r="I60" s="126">
        <f t="shared" si="0"/>
        <v>82.25</v>
      </c>
      <c r="J60" s="121">
        <f t="shared" si="0"/>
        <v>100</v>
      </c>
      <c r="K60" s="122"/>
      <c r="L60" s="7"/>
      <c r="M60" s="6"/>
    </row>
    <row r="61" spans="1:13" s="94" customFormat="1" ht="16.5" thickBot="1">
      <c r="A61" s="274" t="s">
        <v>156</v>
      </c>
      <c r="B61" s="275"/>
      <c r="C61" s="276">
        <f>C60/D60</f>
        <v>0.66</v>
      </c>
      <c r="D61" s="277"/>
      <c r="E61" s="278"/>
      <c r="F61" s="279">
        <f>F60/G60</f>
        <v>0.68400000000000005</v>
      </c>
      <c r="G61" s="280"/>
      <c r="H61" s="281"/>
      <c r="I61" s="282">
        <f>I60/J60</f>
        <v>0.82250000000000001</v>
      </c>
      <c r="J61" s="283"/>
      <c r="K61" s="284"/>
      <c r="L61" s="127"/>
      <c r="M61" s="127"/>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47" workbookViewId="0">
      <selection activeCell="C49" sqref="C49"/>
    </sheetView>
  </sheetViews>
  <sheetFormatPr defaultColWidth="9.140625" defaultRowHeight="15"/>
  <cols>
    <col min="1" max="1" width="50.5703125" style="129" customWidth="1"/>
    <col min="2" max="2" width="9.28515625" style="129" bestFit="1" customWidth="1"/>
    <col min="3" max="4" width="9.140625" style="129"/>
    <col min="5" max="5" width="11" style="129" bestFit="1" customWidth="1"/>
    <col min="6" max="6" width="11" style="129" customWidth="1"/>
    <col min="7" max="7" width="128.85546875" style="129" customWidth="1"/>
    <col min="8" max="16384" width="9.140625" style="129"/>
  </cols>
  <sheetData>
    <row r="2" spans="1:7" ht="18.75">
      <c r="A2" s="285" t="s">
        <v>10</v>
      </c>
      <c r="B2" s="285"/>
      <c r="C2" s="285"/>
      <c r="D2" s="285"/>
      <c r="E2" s="285"/>
      <c r="F2" s="285"/>
      <c r="G2" s="285"/>
    </row>
    <row r="3" spans="1:7">
      <c r="A3" s="130"/>
      <c r="B3" s="130"/>
      <c r="C3" s="131"/>
      <c r="D3" s="131"/>
      <c r="E3" s="130"/>
      <c r="F3" s="130"/>
      <c r="G3" s="131"/>
    </row>
    <row r="4" spans="1:7" ht="18.75">
      <c r="A4" s="128" t="s">
        <v>157</v>
      </c>
      <c r="B4" s="128"/>
      <c r="C4" s="128"/>
      <c r="D4" s="128"/>
      <c r="E4" s="128"/>
      <c r="F4" s="128"/>
      <c r="G4" s="128"/>
    </row>
    <row r="5" spans="1:7" ht="15.75" thickBot="1"/>
    <row r="6" spans="1:7" ht="24" thickBot="1">
      <c r="A6" s="293" t="s">
        <v>6</v>
      </c>
      <c r="B6" s="294"/>
      <c r="C6" s="294"/>
      <c r="D6" s="294"/>
      <c r="E6" s="294"/>
      <c r="F6" s="294"/>
      <c r="G6" s="295"/>
    </row>
    <row r="7" spans="1:7">
      <c r="A7" s="151" t="s">
        <v>158</v>
      </c>
      <c r="B7" s="296"/>
      <c r="C7" s="296"/>
      <c r="D7" s="296"/>
      <c r="E7" s="296"/>
      <c r="F7" s="296"/>
      <c r="G7" s="297"/>
    </row>
    <row r="8" spans="1:7">
      <c r="A8" s="197" t="s">
        <v>159</v>
      </c>
      <c r="B8" s="178" t="s">
        <v>14</v>
      </c>
      <c r="C8" s="178" t="s">
        <v>160</v>
      </c>
      <c r="D8" s="178" t="s">
        <v>4</v>
      </c>
      <c r="E8" s="178" t="s">
        <v>161</v>
      </c>
      <c r="F8" s="178" t="s">
        <v>17</v>
      </c>
      <c r="G8" s="179" t="s">
        <v>15</v>
      </c>
    </row>
    <row r="9" spans="1:7" ht="30">
      <c r="A9" s="139" t="s">
        <v>162</v>
      </c>
      <c r="B9" s="132">
        <v>1</v>
      </c>
      <c r="C9" s="132">
        <v>0.75</v>
      </c>
      <c r="D9" s="132">
        <v>5</v>
      </c>
      <c r="E9" s="132">
        <f t="shared" ref="E9:E19" si="0">B9*C9*D9</f>
        <v>3.75</v>
      </c>
      <c r="F9" s="211" t="s">
        <v>18</v>
      </c>
      <c r="G9" s="214" t="s">
        <v>163</v>
      </c>
    </row>
    <row r="10" spans="1:7">
      <c r="A10" s="180" t="s">
        <v>164</v>
      </c>
      <c r="B10" s="181">
        <v>1</v>
      </c>
      <c r="C10" s="181">
        <v>0.5</v>
      </c>
      <c r="D10" s="181">
        <v>5</v>
      </c>
      <c r="E10" s="181">
        <f t="shared" si="0"/>
        <v>2.5</v>
      </c>
      <c r="F10" s="212" t="s">
        <v>42</v>
      </c>
      <c r="G10" s="182" t="s">
        <v>165</v>
      </c>
    </row>
    <row r="11" spans="1:7" ht="180">
      <c r="A11" s="139" t="s">
        <v>166</v>
      </c>
      <c r="B11" s="215">
        <f>(18-5)/18</f>
        <v>0.72222222222222221</v>
      </c>
      <c r="C11" s="132">
        <v>0</v>
      </c>
      <c r="D11" s="132">
        <v>18</v>
      </c>
      <c r="E11" s="132">
        <f t="shared" si="0"/>
        <v>0</v>
      </c>
      <c r="F11" s="211" t="s">
        <v>18</v>
      </c>
      <c r="G11" s="214" t="s">
        <v>167</v>
      </c>
    </row>
    <row r="12" spans="1:7" ht="60">
      <c r="A12" s="180" t="s">
        <v>168</v>
      </c>
      <c r="B12" s="220">
        <f>6/16</f>
        <v>0.375</v>
      </c>
      <c r="C12" s="181">
        <v>0.75</v>
      </c>
      <c r="D12" s="181">
        <v>16</v>
      </c>
      <c r="E12" s="181">
        <f t="shared" si="0"/>
        <v>4.5</v>
      </c>
      <c r="F12" s="212" t="s">
        <v>42</v>
      </c>
      <c r="G12" s="216" t="s">
        <v>169</v>
      </c>
    </row>
    <row r="13" spans="1:7" ht="120">
      <c r="A13" s="139" t="s">
        <v>170</v>
      </c>
      <c r="B13" s="215">
        <f>(10-1.25)/10</f>
        <v>0.875</v>
      </c>
      <c r="C13" s="132">
        <v>0.75</v>
      </c>
      <c r="D13" s="132">
        <v>10</v>
      </c>
      <c r="E13" s="132">
        <f>B13*C13*D13</f>
        <v>6.5625</v>
      </c>
      <c r="F13" s="211" t="s">
        <v>18</v>
      </c>
      <c r="G13" s="214" t="s">
        <v>171</v>
      </c>
    </row>
    <row r="14" spans="1:7" ht="45">
      <c r="A14" s="139" t="s">
        <v>172</v>
      </c>
      <c r="B14" s="215">
        <f>6.75/8</f>
        <v>0.84375</v>
      </c>
      <c r="C14" s="132">
        <v>0.75</v>
      </c>
      <c r="D14" s="132">
        <v>8</v>
      </c>
      <c r="E14" s="132">
        <f>B14*C14*D14</f>
        <v>5.0625</v>
      </c>
      <c r="F14" s="211" t="s">
        <v>42</v>
      </c>
      <c r="G14" s="217" t="s">
        <v>173</v>
      </c>
    </row>
    <row r="15" spans="1:7" ht="60">
      <c r="A15" s="180" t="s">
        <v>174</v>
      </c>
      <c r="B15" s="220">
        <f>(12-1)/12</f>
        <v>0.91666666666666663</v>
      </c>
      <c r="C15" s="181">
        <v>0.75</v>
      </c>
      <c r="D15" s="181">
        <v>12</v>
      </c>
      <c r="E15" s="181">
        <f t="shared" si="0"/>
        <v>8.25</v>
      </c>
      <c r="F15" s="212" t="s">
        <v>18</v>
      </c>
      <c r="G15" s="216" t="s">
        <v>175</v>
      </c>
    </row>
    <row r="16" spans="1:7" ht="75">
      <c r="A16" s="139" t="s">
        <v>176</v>
      </c>
      <c r="B16" s="132">
        <f>8/10</f>
        <v>0.8</v>
      </c>
      <c r="C16" s="132">
        <v>0.75</v>
      </c>
      <c r="D16" s="132">
        <v>10</v>
      </c>
      <c r="E16" s="132">
        <f t="shared" si="0"/>
        <v>6.0000000000000009</v>
      </c>
      <c r="F16" s="211" t="s">
        <v>42</v>
      </c>
      <c r="G16" s="214" t="s">
        <v>177</v>
      </c>
    </row>
    <row r="17" spans="1:7" ht="30">
      <c r="A17" s="180" t="s">
        <v>178</v>
      </c>
      <c r="B17" s="181">
        <f>4/4</f>
        <v>1</v>
      </c>
      <c r="C17" s="181">
        <v>0.75</v>
      </c>
      <c r="D17" s="181">
        <v>4</v>
      </c>
      <c r="E17" s="181">
        <f t="shared" si="0"/>
        <v>3</v>
      </c>
      <c r="F17" s="212" t="s">
        <v>18</v>
      </c>
      <c r="G17" s="216" t="s">
        <v>179</v>
      </c>
    </row>
    <row r="18" spans="1:7" ht="60">
      <c r="A18" s="139" t="s">
        <v>180</v>
      </c>
      <c r="B18" s="215">
        <f>2/6</f>
        <v>0.33333333333333331</v>
      </c>
      <c r="C18" s="132">
        <v>1</v>
      </c>
      <c r="D18" s="132">
        <v>6</v>
      </c>
      <c r="E18" s="132">
        <f t="shared" si="0"/>
        <v>2</v>
      </c>
      <c r="F18" s="211" t="s">
        <v>42</v>
      </c>
      <c r="G18" s="214" t="s">
        <v>181</v>
      </c>
    </row>
    <row r="19" spans="1:7">
      <c r="A19" s="180" t="s">
        <v>182</v>
      </c>
      <c r="B19" s="181">
        <f>6/6</f>
        <v>1</v>
      </c>
      <c r="C19" s="181">
        <f>1/1</f>
        <v>1</v>
      </c>
      <c r="D19" s="181">
        <v>6</v>
      </c>
      <c r="E19" s="181">
        <f t="shared" si="0"/>
        <v>6</v>
      </c>
      <c r="F19" s="212" t="s">
        <v>18</v>
      </c>
      <c r="G19" s="182"/>
    </row>
    <row r="20" spans="1:7">
      <c r="A20" s="161" t="s">
        <v>183</v>
      </c>
      <c r="B20" s="298"/>
      <c r="C20" s="298"/>
      <c r="D20" s="210">
        <f>SUM(D9:D19)</f>
        <v>100</v>
      </c>
      <c r="E20" s="162">
        <f>SUM(E9:E19)/D20 + E22*D22 + E21*D21</f>
        <v>0.47625000000000001</v>
      </c>
      <c r="F20" s="164"/>
      <c r="G20" s="163"/>
    </row>
    <row r="21" spans="1:7">
      <c r="A21" s="180" t="s">
        <v>184</v>
      </c>
      <c r="B21" s="183"/>
      <c r="C21" s="183"/>
      <c r="D21" s="184">
        <v>-0.15</v>
      </c>
      <c r="E21" s="183"/>
      <c r="F21" s="183"/>
      <c r="G21" s="185"/>
    </row>
    <row r="22" spans="1:7" ht="15.75" thickBot="1">
      <c r="A22" s="140" t="s">
        <v>185</v>
      </c>
      <c r="B22" s="141"/>
      <c r="C22" s="141"/>
      <c r="D22" s="142">
        <v>-0.2</v>
      </c>
      <c r="E22" s="141"/>
      <c r="F22" s="141"/>
      <c r="G22" s="143"/>
    </row>
    <row r="23" spans="1:7" ht="24" thickBot="1">
      <c r="A23" s="299" t="s">
        <v>7</v>
      </c>
      <c r="B23" s="300"/>
      <c r="C23" s="300"/>
      <c r="D23" s="300"/>
      <c r="E23" s="300"/>
      <c r="F23" s="300"/>
      <c r="G23" s="301"/>
    </row>
    <row r="24" spans="1:7" ht="15.75" customHeight="1">
      <c r="A24" s="150" t="s">
        <v>158</v>
      </c>
      <c r="B24" s="286"/>
      <c r="C24" s="286"/>
      <c r="D24" s="286"/>
      <c r="E24" s="286"/>
      <c r="F24" s="286"/>
      <c r="G24" s="287"/>
    </row>
    <row r="25" spans="1:7">
      <c r="A25" s="196" t="s">
        <v>159</v>
      </c>
      <c r="B25" s="186" t="s">
        <v>14</v>
      </c>
      <c r="C25" s="186" t="s">
        <v>160</v>
      </c>
      <c r="D25" s="186" t="s">
        <v>4</v>
      </c>
      <c r="E25" s="186" t="s">
        <v>161</v>
      </c>
      <c r="F25" s="186" t="s">
        <v>17</v>
      </c>
      <c r="G25" s="187" t="s">
        <v>15</v>
      </c>
    </row>
    <row r="26" spans="1:7">
      <c r="A26" s="144" t="s">
        <v>186</v>
      </c>
      <c r="B26" s="133">
        <v>1</v>
      </c>
      <c r="C26" s="133">
        <v>0.75</v>
      </c>
      <c r="D26" s="133">
        <v>24</v>
      </c>
      <c r="E26" s="133">
        <f>B26*C26*D26</f>
        <v>18</v>
      </c>
      <c r="F26" s="133" t="s">
        <v>42</v>
      </c>
      <c r="G26" s="152"/>
    </row>
    <row r="27" spans="1:7" ht="30">
      <c r="A27" s="188" t="s">
        <v>187</v>
      </c>
      <c r="B27" s="189">
        <f>7/8</f>
        <v>0.875</v>
      </c>
      <c r="C27" s="189">
        <v>0.75</v>
      </c>
      <c r="D27" s="189">
        <v>8</v>
      </c>
      <c r="E27" s="189">
        <f t="shared" ref="E27:E35" si="1">B27*C27*D27</f>
        <v>5.25</v>
      </c>
      <c r="F27" s="189" t="s">
        <v>42</v>
      </c>
      <c r="G27" s="228" t="s">
        <v>188</v>
      </c>
    </row>
    <row r="28" spans="1:7">
      <c r="A28" s="144" t="s">
        <v>189</v>
      </c>
      <c r="B28" s="133">
        <v>1</v>
      </c>
      <c r="C28" s="133">
        <v>1</v>
      </c>
      <c r="D28" s="133">
        <v>10</v>
      </c>
      <c r="E28" s="133">
        <f t="shared" si="1"/>
        <v>10</v>
      </c>
      <c r="F28" s="133" t="s">
        <v>42</v>
      </c>
      <c r="G28" s="152"/>
    </row>
    <row r="29" spans="1:7">
      <c r="A29" s="188" t="s">
        <v>190</v>
      </c>
      <c r="B29" s="189">
        <f>7/8</f>
        <v>0.875</v>
      </c>
      <c r="C29" s="189">
        <v>1</v>
      </c>
      <c r="D29" s="189">
        <v>8</v>
      </c>
      <c r="E29" s="189">
        <f t="shared" si="1"/>
        <v>7</v>
      </c>
      <c r="F29" s="189" t="s">
        <v>42</v>
      </c>
      <c r="G29" s="190" t="s">
        <v>191</v>
      </c>
    </row>
    <row r="30" spans="1:7" ht="360">
      <c r="A30" s="144" t="s">
        <v>192</v>
      </c>
      <c r="B30" s="133">
        <f>(10-3)/10</f>
        <v>0.7</v>
      </c>
      <c r="C30" s="133">
        <v>1</v>
      </c>
      <c r="D30" s="133">
        <v>10</v>
      </c>
      <c r="E30" s="133">
        <f t="shared" si="1"/>
        <v>7</v>
      </c>
      <c r="F30" s="133" t="s">
        <v>18</v>
      </c>
      <c r="G30" s="225" t="s">
        <v>193</v>
      </c>
    </row>
    <row r="31" spans="1:7" ht="285">
      <c r="A31" s="188" t="s">
        <v>194</v>
      </c>
      <c r="B31" s="189">
        <f>(12-1.5)/12</f>
        <v>0.875</v>
      </c>
      <c r="C31" s="189">
        <v>0.75</v>
      </c>
      <c r="D31" s="189">
        <v>12</v>
      </c>
      <c r="E31" s="229">
        <f t="shared" si="1"/>
        <v>7.875</v>
      </c>
      <c r="F31" s="189" t="s">
        <v>18</v>
      </c>
      <c r="G31" s="228" t="s">
        <v>195</v>
      </c>
    </row>
    <row r="32" spans="1:7" ht="210">
      <c r="A32" s="144" t="s">
        <v>196</v>
      </c>
      <c r="B32" s="133">
        <f>1/1</f>
        <v>1</v>
      </c>
      <c r="C32" s="133">
        <v>0.75</v>
      </c>
      <c r="D32" s="133">
        <v>10</v>
      </c>
      <c r="E32" s="133">
        <f t="shared" si="1"/>
        <v>7.5</v>
      </c>
      <c r="F32" s="133" t="s">
        <v>18</v>
      </c>
      <c r="G32" s="225" t="s">
        <v>197</v>
      </c>
    </row>
    <row r="33" spans="1:7" ht="270">
      <c r="A33" s="188" t="s">
        <v>198</v>
      </c>
      <c r="B33" s="189">
        <f>(4-0.5)/4</f>
        <v>0.875</v>
      </c>
      <c r="C33" s="189">
        <v>0.75</v>
      </c>
      <c r="D33" s="189">
        <v>4</v>
      </c>
      <c r="E33" s="189">
        <f t="shared" si="1"/>
        <v>2.625</v>
      </c>
      <c r="F33" s="189" t="s">
        <v>18</v>
      </c>
      <c r="G33" s="228" t="s">
        <v>199</v>
      </c>
    </row>
    <row r="34" spans="1:7" ht="240">
      <c r="A34" s="144" t="s">
        <v>200</v>
      </c>
      <c r="B34" s="133">
        <f>(10-1.5)/10</f>
        <v>0.85</v>
      </c>
      <c r="C34" s="133">
        <v>1</v>
      </c>
      <c r="D34" s="133">
        <v>10</v>
      </c>
      <c r="E34" s="133">
        <f t="shared" si="1"/>
        <v>8.5</v>
      </c>
      <c r="F34" s="133" t="s">
        <v>18</v>
      </c>
      <c r="G34" s="230" t="s">
        <v>201</v>
      </c>
    </row>
    <row r="35" spans="1:7" ht="165">
      <c r="A35" s="226" t="s">
        <v>202</v>
      </c>
      <c r="B35" s="227">
        <v>1</v>
      </c>
      <c r="C35" s="227">
        <v>0.75</v>
      </c>
      <c r="D35" s="227">
        <v>4</v>
      </c>
      <c r="E35" s="227">
        <f t="shared" si="1"/>
        <v>3</v>
      </c>
      <c r="F35" s="227" t="s">
        <v>18</v>
      </c>
      <c r="G35" s="231" t="s">
        <v>203</v>
      </c>
    </row>
    <row r="36" spans="1:7">
      <c r="A36" s="157" t="s">
        <v>183</v>
      </c>
      <c r="B36" s="158"/>
      <c r="C36" s="158"/>
      <c r="D36" s="158">
        <f>SUM(D26:D35)</f>
        <v>100</v>
      </c>
      <c r="E36" s="159">
        <f>SUM(E26:E35)/D36 + E37*D37 + E38*D38 + E39*D39</f>
        <v>0.73749999999999993</v>
      </c>
      <c r="F36" s="159"/>
      <c r="G36" s="160"/>
    </row>
    <row r="37" spans="1:7">
      <c r="A37" s="188" t="s">
        <v>184</v>
      </c>
      <c r="B37" s="191"/>
      <c r="C37" s="191"/>
      <c r="D37" s="192">
        <v>-0.15</v>
      </c>
      <c r="E37" s="191">
        <v>0.1</v>
      </c>
      <c r="F37" s="191"/>
      <c r="G37" s="191" t="s">
        <v>204</v>
      </c>
    </row>
    <row r="38" spans="1:7">
      <c r="A38" s="144" t="s">
        <v>205</v>
      </c>
      <c r="B38" s="134"/>
      <c r="C38" s="134"/>
      <c r="D38" s="135">
        <v>-0.2</v>
      </c>
      <c r="E38" s="134"/>
      <c r="F38" s="134"/>
      <c r="G38" s="145"/>
    </row>
    <row r="39" spans="1:7" ht="45">
      <c r="A39" s="193" t="s">
        <v>206</v>
      </c>
      <c r="B39" s="194"/>
      <c r="C39" s="194"/>
      <c r="D39" s="195">
        <v>-0.05</v>
      </c>
      <c r="E39" s="234">
        <v>0.3</v>
      </c>
      <c r="F39" s="233"/>
      <c r="G39" s="232" t="s">
        <v>207</v>
      </c>
    </row>
    <row r="40" spans="1:7" ht="24" thickBot="1">
      <c r="A40" s="288" t="s">
        <v>8</v>
      </c>
      <c r="B40" s="289"/>
      <c r="C40" s="289"/>
      <c r="D40" s="289"/>
      <c r="E40" s="289"/>
      <c r="F40" s="289"/>
      <c r="G40" s="290"/>
    </row>
    <row r="41" spans="1:7">
      <c r="A41" s="149" t="s">
        <v>158</v>
      </c>
      <c r="B41" s="291"/>
      <c r="C41" s="291"/>
      <c r="D41" s="291"/>
      <c r="E41" s="291"/>
      <c r="F41" s="291"/>
      <c r="G41" s="292"/>
    </row>
    <row r="42" spans="1:7">
      <c r="A42" s="168" t="s">
        <v>159</v>
      </c>
      <c r="B42" s="169" t="s">
        <v>14</v>
      </c>
      <c r="C42" s="169" t="s">
        <v>160</v>
      </c>
      <c r="D42" s="169" t="s">
        <v>4</v>
      </c>
      <c r="E42" s="169" t="s">
        <v>161</v>
      </c>
      <c r="F42" s="170" t="s">
        <v>17</v>
      </c>
      <c r="G42" s="171" t="s">
        <v>15</v>
      </c>
    </row>
    <row r="43" spans="1:7">
      <c r="A43" s="146" t="s">
        <v>208</v>
      </c>
      <c r="B43" s="136">
        <f>13/14</f>
        <v>0.9285714285714286</v>
      </c>
      <c r="C43" s="136">
        <v>0.75</v>
      </c>
      <c r="D43" s="136">
        <v>14</v>
      </c>
      <c r="E43" s="136">
        <f t="shared" ref="E43:E52" si="2">B43*C43*D43</f>
        <v>9.75</v>
      </c>
      <c r="F43" s="136" t="s">
        <v>42</v>
      </c>
      <c r="G43" s="147" t="s">
        <v>209</v>
      </c>
    </row>
    <row r="44" spans="1:7">
      <c r="A44" s="165" t="s">
        <v>210</v>
      </c>
      <c r="B44" s="166">
        <v>1</v>
      </c>
      <c r="C44" s="166">
        <v>1</v>
      </c>
      <c r="D44" s="166">
        <v>10</v>
      </c>
      <c r="E44" s="166">
        <f t="shared" si="2"/>
        <v>10</v>
      </c>
      <c r="F44" s="166" t="s">
        <v>42</v>
      </c>
      <c r="G44" s="167"/>
    </row>
    <row r="45" spans="1:7" ht="300">
      <c r="A45" s="146" t="s">
        <v>211</v>
      </c>
      <c r="B45" s="136">
        <v>0.85</v>
      </c>
      <c r="C45" s="136">
        <v>1</v>
      </c>
      <c r="D45" s="136">
        <v>12</v>
      </c>
      <c r="E45" s="136">
        <f t="shared" si="2"/>
        <v>10.199999999999999</v>
      </c>
      <c r="F45" s="136" t="s">
        <v>18</v>
      </c>
      <c r="G45" s="238" t="s">
        <v>212</v>
      </c>
    </row>
    <row r="46" spans="1:7" ht="210">
      <c r="A46" s="165" t="s">
        <v>213</v>
      </c>
      <c r="B46" s="166">
        <v>1</v>
      </c>
      <c r="C46" s="166">
        <v>1</v>
      </c>
      <c r="D46" s="166">
        <v>18</v>
      </c>
      <c r="E46" s="166">
        <f t="shared" si="2"/>
        <v>18</v>
      </c>
      <c r="F46" s="166" t="s">
        <v>18</v>
      </c>
      <c r="G46" s="239" t="s">
        <v>214</v>
      </c>
    </row>
    <row r="47" spans="1:7" ht="180">
      <c r="A47" s="146" t="s">
        <v>215</v>
      </c>
      <c r="B47" s="136">
        <f>14/16</f>
        <v>0.875</v>
      </c>
      <c r="C47" s="136">
        <v>1</v>
      </c>
      <c r="D47" s="136">
        <v>16</v>
      </c>
      <c r="E47" s="136">
        <f t="shared" si="2"/>
        <v>14</v>
      </c>
      <c r="F47" s="136" t="s">
        <v>18</v>
      </c>
      <c r="G47" s="238" t="s">
        <v>216</v>
      </c>
    </row>
    <row r="48" spans="1:7">
      <c r="A48" s="165" t="s">
        <v>217</v>
      </c>
      <c r="B48" s="166">
        <v>1</v>
      </c>
      <c r="C48" s="166">
        <v>1</v>
      </c>
      <c r="D48" s="166">
        <v>6</v>
      </c>
      <c r="E48" s="166">
        <f t="shared" si="2"/>
        <v>6</v>
      </c>
      <c r="F48" s="166" t="s">
        <v>42</v>
      </c>
      <c r="G48" s="167"/>
    </row>
    <row r="49" spans="1:7">
      <c r="A49" s="146" t="s">
        <v>218</v>
      </c>
      <c r="B49" s="136">
        <f>5/6</f>
        <v>0.83333333333333337</v>
      </c>
      <c r="C49" s="136">
        <v>0.75</v>
      </c>
      <c r="D49" s="136">
        <v>6</v>
      </c>
      <c r="E49" s="136">
        <f t="shared" si="2"/>
        <v>3.75</v>
      </c>
      <c r="F49" s="136" t="s">
        <v>42</v>
      </c>
      <c r="G49" s="147" t="s">
        <v>219</v>
      </c>
    </row>
    <row r="50" spans="1:7">
      <c r="A50" s="165" t="s">
        <v>220</v>
      </c>
      <c r="B50" s="166">
        <v>1</v>
      </c>
      <c r="C50" s="166">
        <v>1</v>
      </c>
      <c r="D50" s="166">
        <v>6</v>
      </c>
      <c r="E50" s="166">
        <f t="shared" si="2"/>
        <v>6</v>
      </c>
      <c r="F50" s="166" t="s">
        <v>42</v>
      </c>
      <c r="G50" s="167"/>
    </row>
    <row r="51" spans="1:7">
      <c r="A51" s="146" t="s">
        <v>221</v>
      </c>
      <c r="B51" s="136">
        <v>1</v>
      </c>
      <c r="C51" s="136">
        <v>1</v>
      </c>
      <c r="D51" s="136">
        <v>8</v>
      </c>
      <c r="E51" s="136">
        <f t="shared" si="2"/>
        <v>8</v>
      </c>
      <c r="F51" s="136" t="s">
        <v>42</v>
      </c>
      <c r="G51" s="147"/>
    </row>
    <row r="52" spans="1:7" ht="90">
      <c r="A52" s="165" t="s">
        <v>222</v>
      </c>
      <c r="B52" s="166">
        <v>1</v>
      </c>
      <c r="C52" s="166">
        <v>1</v>
      </c>
      <c r="D52" s="166">
        <v>4</v>
      </c>
      <c r="E52" s="166">
        <f t="shared" si="2"/>
        <v>4</v>
      </c>
      <c r="F52" s="166" t="s">
        <v>18</v>
      </c>
      <c r="G52" s="239" t="s">
        <v>223</v>
      </c>
    </row>
    <row r="53" spans="1:7">
      <c r="A53" s="153" t="s">
        <v>183</v>
      </c>
      <c r="B53" s="154"/>
      <c r="C53" s="154"/>
      <c r="D53" s="154">
        <f>SUM(D43:D52)</f>
        <v>100</v>
      </c>
      <c r="E53" s="155">
        <f>SUM(E43:E52)/D53 + D54*E54  + D55*E55 + D56*E56</f>
        <v>0.89700000000000002</v>
      </c>
      <c r="F53" s="155"/>
      <c r="G53" s="156"/>
    </row>
    <row r="54" spans="1:7">
      <c r="A54" s="165" t="s">
        <v>184</v>
      </c>
      <c r="B54" s="172"/>
      <c r="C54" s="172"/>
      <c r="D54" s="173">
        <v>-0.15</v>
      </c>
      <c r="E54" s="172"/>
      <c r="F54" s="172"/>
      <c r="G54" s="174"/>
    </row>
    <row r="55" spans="1:7">
      <c r="A55" s="146" t="s">
        <v>205</v>
      </c>
      <c r="B55" s="137"/>
      <c r="C55" s="137"/>
      <c r="D55" s="138">
        <v>-0.2</v>
      </c>
      <c r="E55" s="137"/>
      <c r="F55" s="137"/>
      <c r="G55" s="148"/>
    </row>
    <row r="56" spans="1:7" ht="30">
      <c r="A56" s="175" t="s">
        <v>206</v>
      </c>
      <c r="B56" s="176"/>
      <c r="C56" s="176"/>
      <c r="D56" s="177">
        <v>-0.05</v>
      </c>
      <c r="E56" s="176"/>
      <c r="F56" s="176"/>
      <c r="G56" s="240" t="s">
        <v>224</v>
      </c>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2021-12-24T23:20:29Z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