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322"/>
  <workbookPr autoCompressPictures="0"/>
  <bookViews>
    <workbookView xWindow="5700" yWindow="0" windowWidth="22120" windowHeight="16580" tabRatio="795" firstSheet="6" activeTab="15"/>
  </bookViews>
  <sheets>
    <sheet name="Consolidated by company" sheetId="15" r:id="rId1"/>
    <sheet name="Totals" sheetId="8" r:id="rId2"/>
    <sheet name="All" sheetId="12" r:id="rId3"/>
    <sheet name="Major companies" sheetId="7" r:id="rId4"/>
    <sheet name="Fulton Development Authority" sheetId="2" r:id="rId5"/>
    <sheet name="Invest Atlanta" sheetId="3" r:id="rId6"/>
    <sheet name="DeKalb" sheetId="13" r:id="rId7"/>
    <sheet name="Cobb" sheetId="11" r:id="rId8"/>
    <sheet name="Gwinnett" sheetId="5" r:id="rId9"/>
    <sheet name="Atlanta example" sheetId="4" r:id="rId10"/>
    <sheet name="Scratch-All" sheetId="6" r:id="rId11"/>
    <sheet name="Scratch-DeKalb" sheetId="1" r:id="rId12"/>
    <sheet name="Scratch-Fulton" sheetId="14" r:id="rId13"/>
    <sheet name="Scratch-Cobb" sheetId="10" r:id="rId14"/>
    <sheet name="Scratch-Gwinnett" sheetId="9" r:id="rId15"/>
    <sheet name="SRL-Combinations" sheetId="16" r:id="rId1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5" i="16" l="1"/>
  <c r="M185" i="16"/>
  <c r="L185" i="16"/>
  <c r="K185" i="16"/>
  <c r="J185" i="16"/>
  <c r="I185" i="16"/>
  <c r="H185" i="16"/>
  <c r="L43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3" i="13"/>
  <c r="K47" i="13"/>
  <c r="L44" i="13"/>
  <c r="K44" i="13"/>
  <c r="K45" i="13"/>
  <c r="I95" i="7"/>
  <c r="H95" i="7"/>
  <c r="E123" i="15"/>
  <c r="F123" i="15"/>
  <c r="G123" i="15"/>
  <c r="D123" i="15"/>
  <c r="F185" i="12"/>
  <c r="G185" i="12"/>
  <c r="H185" i="12"/>
  <c r="I185" i="12"/>
  <c r="J185" i="12"/>
  <c r="K185" i="12"/>
  <c r="E185" i="12"/>
  <c r="G16" i="15"/>
  <c r="G40" i="15"/>
  <c r="G120" i="15"/>
  <c r="G116" i="15"/>
  <c r="G28" i="15"/>
  <c r="G20" i="15"/>
  <c r="G104" i="15"/>
  <c r="G56" i="15"/>
  <c r="G11" i="15"/>
  <c r="G87" i="15"/>
  <c r="G49" i="15"/>
  <c r="G72" i="15"/>
  <c r="G117" i="15"/>
  <c r="G103" i="15"/>
  <c r="G7" i="15"/>
  <c r="G108" i="15"/>
  <c r="G107" i="15"/>
  <c r="G85" i="15"/>
  <c r="G32" i="15"/>
  <c r="G36" i="15"/>
  <c r="G42" i="15"/>
  <c r="G118" i="15"/>
  <c r="G30" i="15"/>
  <c r="G2" i="15"/>
  <c r="G4" i="15"/>
  <c r="G119" i="15"/>
  <c r="G88" i="15"/>
  <c r="G70" i="15"/>
  <c r="G43" i="15"/>
  <c r="G9" i="15"/>
  <c r="G38" i="15"/>
  <c r="G92" i="15"/>
  <c r="G96" i="15"/>
  <c r="G67" i="15"/>
  <c r="G75" i="15"/>
  <c r="G5" i="15"/>
  <c r="G55" i="15"/>
  <c r="G37" i="15"/>
  <c r="G68" i="15"/>
  <c r="G31" i="15"/>
  <c r="G64" i="15"/>
  <c r="G77" i="15"/>
  <c r="G50" i="15"/>
  <c r="G15" i="15"/>
  <c r="G101" i="15"/>
  <c r="G79" i="15"/>
  <c r="G93" i="15"/>
  <c r="G89" i="15"/>
  <c r="G34" i="15"/>
  <c r="G48" i="15"/>
  <c r="G59" i="15"/>
  <c r="G54" i="15"/>
  <c r="G111" i="15"/>
  <c r="G83" i="15"/>
  <c r="G45" i="15"/>
  <c r="G99" i="15"/>
  <c r="G90" i="15"/>
  <c r="G46" i="15"/>
  <c r="G33" i="15"/>
  <c r="G113" i="15"/>
  <c r="G115" i="15"/>
  <c r="G110" i="15"/>
  <c r="G73" i="15"/>
  <c r="G74" i="15"/>
  <c r="G94" i="15"/>
  <c r="G82" i="15"/>
  <c r="G76" i="15"/>
  <c r="G112" i="15"/>
  <c r="G44" i="15"/>
  <c r="G35" i="15"/>
  <c r="G109" i="15"/>
  <c r="G60" i="15"/>
  <c r="G47" i="15"/>
  <c r="G98" i="15"/>
  <c r="G53" i="15"/>
  <c r="G69" i="15"/>
  <c r="G39" i="15"/>
  <c r="G114" i="15"/>
  <c r="G18" i="15"/>
  <c r="G81" i="15"/>
  <c r="G100" i="15"/>
  <c r="G78" i="15"/>
  <c r="G63" i="15"/>
  <c r="G105" i="15"/>
  <c r="G102" i="15"/>
  <c r="G86" i="15"/>
  <c r="G80" i="15"/>
  <c r="G41" i="15"/>
  <c r="G13" i="15"/>
  <c r="G95" i="15"/>
  <c r="G19" i="15"/>
  <c r="G27" i="15"/>
  <c r="G23" i="15"/>
  <c r="G66" i="15"/>
  <c r="G8" i="15"/>
  <c r="G91" i="15"/>
  <c r="G52" i="15"/>
  <c r="G51" i="15"/>
  <c r="G58" i="15"/>
  <c r="G10" i="15"/>
  <c r="G17" i="15"/>
  <c r="G24" i="15"/>
  <c r="G97" i="15"/>
  <c r="G57" i="15"/>
  <c r="G22" i="15"/>
  <c r="G21" i="15"/>
  <c r="G84" i="15"/>
  <c r="G26" i="15"/>
  <c r="G65" i="15"/>
  <c r="G61" i="15"/>
  <c r="G29" i="15"/>
  <c r="G12" i="15"/>
  <c r="G106" i="15"/>
  <c r="G62" i="15"/>
  <c r="G6" i="15"/>
  <c r="G14" i="15"/>
  <c r="G71" i="15"/>
  <c r="G3" i="15"/>
  <c r="D41" i="7"/>
  <c r="G6" i="8"/>
  <c r="G8" i="8"/>
  <c r="G11" i="8"/>
  <c r="H2" i="8"/>
  <c r="H4" i="8"/>
  <c r="H7" i="8"/>
  <c r="F6" i="8"/>
  <c r="H6" i="8"/>
  <c r="H8" i="8"/>
  <c r="H9" i="8"/>
  <c r="H11" i="8"/>
  <c r="F8" i="8"/>
  <c r="F11" i="8"/>
  <c r="C6" i="8"/>
  <c r="C8" i="8"/>
  <c r="C11" i="8"/>
  <c r="B6" i="8"/>
  <c r="B8" i="8"/>
  <c r="B11" i="8"/>
  <c r="G10" i="8"/>
  <c r="H3" i="8"/>
  <c r="H5" i="8"/>
  <c r="H10" i="8"/>
  <c r="F10" i="8"/>
  <c r="C10" i="8"/>
  <c r="B10" i="8"/>
  <c r="E7" i="3"/>
  <c r="F36" i="5"/>
  <c r="G36" i="5"/>
  <c r="H36" i="5"/>
  <c r="I36" i="5"/>
  <c r="J36" i="5"/>
  <c r="E36" i="5"/>
  <c r="E117" i="2"/>
  <c r="F44" i="13"/>
  <c r="I44" i="13"/>
  <c r="F45" i="13"/>
  <c r="I45" i="13"/>
  <c r="I43" i="13"/>
  <c r="P43" i="13"/>
  <c r="H5" i="5"/>
  <c r="H6" i="5"/>
  <c r="H7" i="5"/>
  <c r="G5" i="5"/>
  <c r="G7" i="5"/>
  <c r="R7" i="5"/>
  <c r="M7" i="5"/>
  <c r="K6" i="5"/>
  <c r="K7" i="5"/>
  <c r="J7" i="5"/>
  <c r="P7" i="5"/>
  <c r="O44" i="13"/>
  <c r="L45" i="13"/>
  <c r="K48" i="13"/>
  <c r="O45" i="13"/>
  <c r="N44" i="13"/>
  <c r="N45" i="13"/>
  <c r="E8" i="8"/>
  <c r="D6" i="8"/>
  <c r="D7" i="8"/>
  <c r="D8" i="8"/>
  <c r="I7" i="8"/>
  <c r="E7" i="8"/>
  <c r="L80" i="14"/>
  <c r="I80" i="14"/>
  <c r="H80" i="14"/>
  <c r="G80" i="14"/>
  <c r="L79" i="14"/>
  <c r="I79" i="14"/>
  <c r="H79" i="14"/>
  <c r="G79" i="14"/>
  <c r="K79" i="14"/>
  <c r="J79" i="14"/>
  <c r="L78" i="14"/>
  <c r="I78" i="14"/>
  <c r="H78" i="14"/>
  <c r="G78" i="14"/>
  <c r="F78" i="14"/>
  <c r="L77" i="14"/>
  <c r="I77" i="14"/>
  <c r="H77" i="14"/>
  <c r="G77" i="14"/>
  <c r="K77" i="14"/>
  <c r="J77" i="14"/>
  <c r="M12" i="14"/>
  <c r="I12" i="14"/>
  <c r="H12" i="14"/>
  <c r="G12" i="14"/>
  <c r="M76" i="14"/>
  <c r="I76" i="14"/>
  <c r="H76" i="14"/>
  <c r="G76" i="14"/>
  <c r="M11" i="14"/>
  <c r="I11" i="14"/>
  <c r="H11" i="14"/>
  <c r="G11" i="14"/>
  <c r="M119" i="14"/>
  <c r="I119" i="14"/>
  <c r="H119" i="14"/>
  <c r="G119" i="14"/>
  <c r="M75" i="14"/>
  <c r="I75" i="14"/>
  <c r="H75" i="14"/>
  <c r="G75" i="14"/>
  <c r="M74" i="14"/>
  <c r="I74" i="14"/>
  <c r="H74" i="14"/>
  <c r="G74" i="14"/>
  <c r="M106" i="14"/>
  <c r="I106" i="14"/>
  <c r="H106" i="14"/>
  <c r="G106" i="14"/>
  <c r="F106" i="14"/>
  <c r="M73" i="14"/>
  <c r="I73" i="14"/>
  <c r="H73" i="14"/>
  <c r="G73" i="14"/>
  <c r="M110" i="14"/>
  <c r="I110" i="14"/>
  <c r="H110" i="14"/>
  <c r="G110" i="14"/>
  <c r="M94" i="14"/>
  <c r="I94" i="14"/>
  <c r="H94" i="14"/>
  <c r="G94" i="14"/>
  <c r="M105" i="14"/>
  <c r="I105" i="14"/>
  <c r="H105" i="14"/>
  <c r="G105" i="14"/>
  <c r="F105" i="14"/>
  <c r="M93" i="14"/>
  <c r="I93" i="14"/>
  <c r="H93" i="14"/>
  <c r="G93" i="14"/>
  <c r="M109" i="14"/>
  <c r="I109" i="14"/>
  <c r="H109" i="14"/>
  <c r="G109" i="14"/>
  <c r="M10" i="14"/>
  <c r="I10" i="14"/>
  <c r="H10" i="14"/>
  <c r="G10" i="14"/>
  <c r="M118" i="14"/>
  <c r="I118" i="14"/>
  <c r="H118" i="14"/>
  <c r="G118" i="14"/>
  <c r="M72" i="14"/>
  <c r="I72" i="14"/>
  <c r="H72" i="14"/>
  <c r="G72" i="14"/>
  <c r="F72" i="14"/>
  <c r="M108" i="14"/>
  <c r="I108" i="14"/>
  <c r="H108" i="14"/>
  <c r="G108" i="14"/>
  <c r="M71" i="14"/>
  <c r="I71" i="14"/>
  <c r="H71" i="14"/>
  <c r="G71" i="14"/>
  <c r="M104" i="14"/>
  <c r="I104" i="14"/>
  <c r="H104" i="14"/>
  <c r="G104" i="14"/>
  <c r="F104" i="14"/>
  <c r="M9" i="14"/>
  <c r="I9" i="14"/>
  <c r="H9" i="14"/>
  <c r="G9" i="14"/>
  <c r="M8" i="14"/>
  <c r="I8" i="14"/>
  <c r="H8" i="14"/>
  <c r="G8" i="14"/>
  <c r="M70" i="14"/>
  <c r="I70" i="14"/>
  <c r="H70" i="14"/>
  <c r="G70" i="14"/>
  <c r="M69" i="14"/>
  <c r="I69" i="14"/>
  <c r="H69" i="14"/>
  <c r="G69" i="14"/>
  <c r="M68" i="14"/>
  <c r="I68" i="14"/>
  <c r="H68" i="14"/>
  <c r="G68" i="14"/>
  <c r="F68" i="14"/>
  <c r="M103" i="14"/>
  <c r="I103" i="14"/>
  <c r="H103" i="14"/>
  <c r="G103" i="14"/>
  <c r="M67" i="14"/>
  <c r="I67" i="14"/>
  <c r="H67" i="14"/>
  <c r="G67" i="14"/>
  <c r="M66" i="14"/>
  <c r="I66" i="14"/>
  <c r="H66" i="14"/>
  <c r="G66" i="14"/>
  <c r="F66" i="14"/>
  <c r="M102" i="14"/>
  <c r="I102" i="14"/>
  <c r="H102" i="14"/>
  <c r="G102" i="14"/>
  <c r="M92" i="14"/>
  <c r="I92" i="14"/>
  <c r="H92" i="14"/>
  <c r="G92" i="14"/>
  <c r="M117" i="14"/>
  <c r="I117" i="14"/>
  <c r="H117" i="14"/>
  <c r="G117" i="14"/>
  <c r="M7" i="14"/>
  <c r="I7" i="14"/>
  <c r="H7" i="14"/>
  <c r="G7" i="14"/>
  <c r="M86" i="14"/>
  <c r="I86" i="14"/>
  <c r="H86" i="14"/>
  <c r="G86" i="14"/>
  <c r="F86" i="14"/>
  <c r="M65" i="14"/>
  <c r="I65" i="14"/>
  <c r="H65" i="14"/>
  <c r="G65" i="14"/>
  <c r="M64" i="14"/>
  <c r="I64" i="14"/>
  <c r="H64" i="14"/>
  <c r="G64" i="14"/>
  <c r="M107" i="14"/>
  <c r="I107" i="14"/>
  <c r="H107" i="14"/>
  <c r="G107" i="14"/>
  <c r="F107" i="14"/>
  <c r="M6" i="14"/>
  <c r="I6" i="14"/>
  <c r="H6" i="14"/>
  <c r="G6" i="14"/>
  <c r="K6" i="14"/>
  <c r="L5" i="14"/>
  <c r="I5" i="14"/>
  <c r="H5" i="14"/>
  <c r="G5" i="14"/>
  <c r="L63" i="14"/>
  <c r="I63" i="14"/>
  <c r="H63" i="14"/>
  <c r="G63" i="14"/>
  <c r="L4" i="14"/>
  <c r="I4" i="14"/>
  <c r="H4" i="14"/>
  <c r="G4" i="14"/>
  <c r="K4" i="14"/>
  <c r="L3" i="14"/>
  <c r="I3" i="14"/>
  <c r="H3" i="14"/>
  <c r="G3" i="14"/>
  <c r="F3" i="14"/>
  <c r="L62" i="14"/>
  <c r="I62" i="14"/>
  <c r="H62" i="14"/>
  <c r="G62" i="14"/>
  <c r="L101" i="14"/>
  <c r="I101" i="14"/>
  <c r="H101" i="14"/>
  <c r="G101" i="14"/>
  <c r="L61" i="14"/>
  <c r="I61" i="14"/>
  <c r="H61" i="14"/>
  <c r="G61" i="14"/>
  <c r="L60" i="14"/>
  <c r="I60" i="14"/>
  <c r="H60" i="14"/>
  <c r="G60" i="14"/>
  <c r="L59" i="14"/>
  <c r="I59" i="14"/>
  <c r="H59" i="14"/>
  <c r="G59" i="14"/>
  <c r="L58" i="14"/>
  <c r="I58" i="14"/>
  <c r="H58" i="14"/>
  <c r="G58" i="14"/>
  <c r="L57" i="14"/>
  <c r="I57" i="14"/>
  <c r="H57" i="14"/>
  <c r="G57" i="14"/>
  <c r="L56" i="14"/>
  <c r="I56" i="14"/>
  <c r="H56" i="14"/>
  <c r="G56" i="14"/>
  <c r="L55" i="14"/>
  <c r="I55" i="14"/>
  <c r="H55" i="14"/>
  <c r="G55" i="14"/>
  <c r="L54" i="14"/>
  <c r="I54" i="14"/>
  <c r="H54" i="14"/>
  <c r="G54" i="14"/>
  <c r="L53" i="14"/>
  <c r="I53" i="14"/>
  <c r="H53" i="14"/>
  <c r="G53" i="14"/>
  <c r="J53" i="14"/>
  <c r="L52" i="14"/>
  <c r="I52" i="14"/>
  <c r="H52" i="14"/>
  <c r="G52" i="14"/>
  <c r="L51" i="14"/>
  <c r="I51" i="14"/>
  <c r="H51" i="14"/>
  <c r="G51" i="14"/>
  <c r="L100" i="14"/>
  <c r="I100" i="14"/>
  <c r="H100" i="14"/>
  <c r="G100" i="14"/>
  <c r="L99" i="14"/>
  <c r="I99" i="14"/>
  <c r="H99" i="14"/>
  <c r="G99" i="14"/>
  <c r="L98" i="14"/>
  <c r="I98" i="14"/>
  <c r="H98" i="14"/>
  <c r="G98" i="14"/>
  <c r="F98" i="14"/>
  <c r="L50" i="14"/>
  <c r="I50" i="14"/>
  <c r="H50" i="14"/>
  <c r="G50" i="14"/>
  <c r="L49" i="14"/>
  <c r="I49" i="14"/>
  <c r="H49" i="14"/>
  <c r="G49" i="14"/>
  <c r="L48" i="14"/>
  <c r="G48" i="14"/>
  <c r="F48" i="14"/>
  <c r="I48" i="14"/>
  <c r="H48" i="14"/>
  <c r="L47" i="14"/>
  <c r="I47" i="14"/>
  <c r="H47" i="14"/>
  <c r="G47" i="14"/>
  <c r="L46" i="14"/>
  <c r="I46" i="14"/>
  <c r="H46" i="14"/>
  <c r="G46" i="14"/>
  <c r="L45" i="14"/>
  <c r="I45" i="14"/>
  <c r="H45" i="14"/>
  <c r="G45" i="14"/>
  <c r="L44" i="14"/>
  <c r="I44" i="14"/>
  <c r="H44" i="14"/>
  <c r="G44" i="14"/>
  <c r="L43" i="14"/>
  <c r="I43" i="14"/>
  <c r="H43" i="14"/>
  <c r="G43" i="14"/>
  <c r="L42" i="14"/>
  <c r="I42" i="14"/>
  <c r="H42" i="14"/>
  <c r="G42" i="14"/>
  <c r="L41" i="14"/>
  <c r="I41" i="14"/>
  <c r="H41" i="14"/>
  <c r="G41" i="14"/>
  <c r="L40" i="14"/>
  <c r="I40" i="14"/>
  <c r="G40" i="14"/>
  <c r="H40" i="14"/>
  <c r="J40" i="14"/>
  <c r="F40" i="14"/>
  <c r="L39" i="14"/>
  <c r="I39" i="14"/>
  <c r="H39" i="14"/>
  <c r="G39" i="14"/>
  <c r="K39" i="14"/>
  <c r="L38" i="14"/>
  <c r="G38" i="14"/>
  <c r="F38" i="14"/>
  <c r="I38" i="14"/>
  <c r="H38" i="14"/>
  <c r="L97" i="14"/>
  <c r="G97" i="14"/>
  <c r="F97" i="14"/>
  <c r="I97" i="14"/>
  <c r="H97" i="14"/>
  <c r="L96" i="14"/>
  <c r="G96" i="14"/>
  <c r="F96" i="14"/>
  <c r="I96" i="14"/>
  <c r="H96" i="14"/>
  <c r="L95" i="14"/>
  <c r="G95" i="14"/>
  <c r="F95" i="14"/>
  <c r="I95" i="14"/>
  <c r="H95" i="14"/>
  <c r="L85" i="14"/>
  <c r="I85" i="14"/>
  <c r="H85" i="14"/>
  <c r="G85" i="14"/>
  <c r="K85" i="14"/>
  <c r="L37" i="14"/>
  <c r="I37" i="14"/>
  <c r="H37" i="14"/>
  <c r="G37" i="14"/>
  <c r="K37" i="14"/>
  <c r="L36" i="14"/>
  <c r="I36" i="14"/>
  <c r="H36" i="14"/>
  <c r="G36" i="14"/>
  <c r="L84" i="14"/>
  <c r="I84" i="14"/>
  <c r="H84" i="14"/>
  <c r="G84" i="14"/>
  <c r="L83" i="14"/>
  <c r="I83" i="14"/>
  <c r="H83" i="14"/>
  <c r="G83" i="14"/>
  <c r="L35" i="14"/>
  <c r="I35" i="14"/>
  <c r="H35" i="14"/>
  <c r="G35" i="14"/>
  <c r="L34" i="14"/>
  <c r="I34" i="14"/>
  <c r="H34" i="14"/>
  <c r="G34" i="14"/>
  <c r="L33" i="14"/>
  <c r="I33" i="14"/>
  <c r="H33" i="14"/>
  <c r="G33" i="14"/>
  <c r="L32" i="14"/>
  <c r="I32" i="14"/>
  <c r="H32" i="14"/>
  <c r="G32" i="14"/>
  <c r="L31" i="14"/>
  <c r="I31" i="14"/>
  <c r="H31" i="14"/>
  <c r="G31" i="14"/>
  <c r="L30" i="14"/>
  <c r="G30" i="14"/>
  <c r="F30" i="14"/>
  <c r="I30" i="14"/>
  <c r="H30" i="14"/>
  <c r="J30" i="14"/>
  <c r="L29" i="14"/>
  <c r="I29" i="14"/>
  <c r="H29" i="14"/>
  <c r="G29" i="14"/>
  <c r="L28" i="14"/>
  <c r="I28" i="14"/>
  <c r="H28" i="14"/>
  <c r="G28" i="14"/>
  <c r="L27" i="14"/>
  <c r="I27" i="14"/>
  <c r="H27" i="14"/>
  <c r="G27" i="14"/>
  <c r="L26" i="14"/>
  <c r="I26" i="14"/>
  <c r="H26" i="14"/>
  <c r="G26" i="14"/>
  <c r="L25" i="14"/>
  <c r="I25" i="14"/>
  <c r="H25" i="14"/>
  <c r="G25" i="14"/>
  <c r="L24" i="14"/>
  <c r="I24" i="14"/>
  <c r="H24" i="14"/>
  <c r="G24" i="14"/>
  <c r="L23" i="14"/>
  <c r="I23" i="14"/>
  <c r="H23" i="14"/>
  <c r="G23" i="14"/>
  <c r="L22" i="14"/>
  <c r="I22" i="14"/>
  <c r="H22" i="14"/>
  <c r="G22" i="14"/>
  <c r="J22" i="14"/>
  <c r="F22" i="14"/>
  <c r="L21" i="14"/>
  <c r="I21" i="14"/>
  <c r="G21" i="14"/>
  <c r="H21" i="14"/>
  <c r="J21" i="14"/>
  <c r="L20" i="14"/>
  <c r="G20" i="14"/>
  <c r="F20" i="14"/>
  <c r="I20" i="14"/>
  <c r="H20" i="14"/>
  <c r="L19" i="14"/>
  <c r="G19" i="14"/>
  <c r="F19" i="14"/>
  <c r="I19" i="14"/>
  <c r="H19" i="14"/>
  <c r="L18" i="14"/>
  <c r="G18" i="14"/>
  <c r="F18" i="14"/>
  <c r="I18" i="14"/>
  <c r="H18" i="14"/>
  <c r="L17" i="14"/>
  <c r="I17" i="14"/>
  <c r="H17" i="14"/>
  <c r="G17" i="14"/>
  <c r="F17" i="14"/>
  <c r="L16" i="14"/>
  <c r="I16" i="14"/>
  <c r="H16" i="14"/>
  <c r="G16" i="14"/>
  <c r="L15" i="14"/>
  <c r="I15" i="14"/>
  <c r="H15" i="14"/>
  <c r="G15" i="14"/>
  <c r="L14" i="14"/>
  <c r="I14" i="14"/>
  <c r="H14" i="14"/>
  <c r="G14" i="14"/>
  <c r="L13" i="14"/>
  <c r="I13" i="14"/>
  <c r="H13" i="14"/>
  <c r="G13" i="14"/>
  <c r="L82" i="14"/>
  <c r="G82" i="14"/>
  <c r="F82" i="14"/>
  <c r="I82" i="14"/>
  <c r="H82" i="14"/>
  <c r="L81" i="14"/>
  <c r="I81" i="14"/>
  <c r="H81" i="14"/>
  <c r="G81" i="14"/>
  <c r="L2" i="14"/>
  <c r="I2" i="14"/>
  <c r="H2" i="14"/>
  <c r="G2" i="14"/>
  <c r="L91" i="14"/>
  <c r="I91" i="14"/>
  <c r="H91" i="14"/>
  <c r="G91" i="14"/>
  <c r="F91" i="14"/>
  <c r="L90" i="14"/>
  <c r="I90" i="14"/>
  <c r="H90" i="14"/>
  <c r="G90" i="14"/>
  <c r="L116" i="14"/>
  <c r="I116" i="14"/>
  <c r="H116" i="14"/>
  <c r="G116" i="14"/>
  <c r="J116" i="14"/>
  <c r="L115" i="14"/>
  <c r="I115" i="14"/>
  <c r="H115" i="14"/>
  <c r="G115" i="14"/>
  <c r="K115" i="14"/>
  <c r="L114" i="14"/>
  <c r="I114" i="14"/>
  <c r="H114" i="14"/>
  <c r="G114" i="14"/>
  <c r="F114" i="14"/>
  <c r="L113" i="14"/>
  <c r="I113" i="14"/>
  <c r="H113" i="14"/>
  <c r="G113" i="14"/>
  <c r="L112" i="14"/>
  <c r="I112" i="14"/>
  <c r="H112" i="14"/>
  <c r="G112" i="14"/>
  <c r="L111" i="14"/>
  <c r="I111" i="14"/>
  <c r="H111" i="14"/>
  <c r="G111" i="14"/>
  <c r="L89" i="14"/>
  <c r="I89" i="14"/>
  <c r="H89" i="14"/>
  <c r="G89" i="14"/>
  <c r="F89" i="14"/>
  <c r="L88" i="14"/>
  <c r="I88" i="14"/>
  <c r="H88" i="14"/>
  <c r="G88" i="14"/>
  <c r="L87" i="14"/>
  <c r="I87" i="14"/>
  <c r="H87" i="14"/>
  <c r="G87" i="14"/>
  <c r="I9" i="8"/>
  <c r="F22" i="11"/>
  <c r="E9" i="8"/>
  <c r="D9" i="8"/>
  <c r="G22" i="11"/>
  <c r="H22" i="11"/>
  <c r="I22" i="11"/>
  <c r="J22" i="11"/>
  <c r="K22" i="11"/>
  <c r="E22" i="11"/>
  <c r="N4" i="10"/>
  <c r="M5" i="10"/>
  <c r="O4" i="10"/>
  <c r="P5" i="10"/>
  <c r="N6" i="10"/>
  <c r="M7" i="10"/>
  <c r="O6" i="10"/>
  <c r="P7" i="10"/>
  <c r="N8" i="10"/>
  <c r="M9" i="10"/>
  <c r="O8" i="10"/>
  <c r="P9" i="10"/>
  <c r="N10" i="10"/>
  <c r="M11" i="10"/>
  <c r="O10" i="10"/>
  <c r="P11" i="10"/>
  <c r="N12" i="10"/>
  <c r="M13" i="10"/>
  <c r="O12" i="10"/>
  <c r="P13" i="10"/>
  <c r="N14" i="10"/>
  <c r="M15" i="10"/>
  <c r="O14" i="10"/>
  <c r="P15" i="10"/>
  <c r="N16" i="10"/>
  <c r="M17" i="10"/>
  <c r="O16" i="10"/>
  <c r="P17" i="10"/>
  <c r="N18" i="10"/>
  <c r="M19" i="10"/>
  <c r="O18" i="10"/>
  <c r="P19" i="10"/>
  <c r="N20" i="10"/>
  <c r="M21" i="10"/>
  <c r="O20" i="10"/>
  <c r="P21" i="10"/>
  <c r="N22" i="10"/>
  <c r="M23" i="10"/>
  <c r="O22" i="10"/>
  <c r="P23" i="10"/>
  <c r="N24" i="10"/>
  <c r="M25" i="10"/>
  <c r="O24" i="10"/>
  <c r="P25" i="10"/>
  <c r="N26" i="10"/>
  <c r="M27" i="10"/>
  <c r="O26" i="10"/>
  <c r="P27" i="10"/>
  <c r="N28" i="10"/>
  <c r="M29" i="10"/>
  <c r="O28" i="10"/>
  <c r="P29" i="10"/>
  <c r="N30" i="10"/>
  <c r="M31" i="10"/>
  <c r="O30" i="10"/>
  <c r="P31" i="10"/>
  <c r="N32" i="10"/>
  <c r="M33" i="10"/>
  <c r="O32" i="10"/>
  <c r="P33" i="10"/>
  <c r="N34" i="10"/>
  <c r="M35" i="10"/>
  <c r="O34" i="10"/>
  <c r="P35" i="10"/>
  <c r="N36" i="10"/>
  <c r="M37" i="10"/>
  <c r="O36" i="10"/>
  <c r="P37" i="10"/>
  <c r="N38" i="10"/>
  <c r="M39" i="10"/>
  <c r="O38" i="10"/>
  <c r="P39" i="10"/>
  <c r="N40" i="10"/>
  <c r="M41" i="10"/>
  <c r="O40" i="10"/>
  <c r="P41" i="10"/>
  <c r="N2" i="10"/>
  <c r="M3" i="10"/>
  <c r="O2" i="10"/>
  <c r="P3" i="10"/>
  <c r="G35" i="10"/>
  <c r="G33" i="10"/>
  <c r="G31" i="10"/>
  <c r="G29" i="10"/>
  <c r="H34" i="10"/>
  <c r="H32" i="10"/>
  <c r="H30" i="10"/>
  <c r="H28" i="10"/>
  <c r="G41" i="10"/>
  <c r="G39" i="10"/>
  <c r="G27" i="10"/>
  <c r="G25" i="10"/>
  <c r="G19" i="10"/>
  <c r="H40" i="10"/>
  <c r="H38" i="10"/>
  <c r="H24" i="10"/>
  <c r="H18" i="10"/>
  <c r="G17" i="10"/>
  <c r="G11" i="10"/>
  <c r="H16" i="10"/>
  <c r="H26" i="10"/>
  <c r="H17" i="10"/>
  <c r="H10" i="10"/>
  <c r="G15" i="10"/>
  <c r="G13" i="10"/>
  <c r="G5" i="10"/>
  <c r="H14" i="10"/>
  <c r="H12" i="10"/>
  <c r="H4" i="10"/>
  <c r="G23" i="10"/>
  <c r="G21" i="10"/>
  <c r="G9" i="10"/>
  <c r="G7" i="10"/>
  <c r="G3" i="10"/>
  <c r="H22" i="10"/>
  <c r="H20" i="10"/>
  <c r="H8" i="10"/>
  <c r="H6" i="10"/>
  <c r="H2" i="10"/>
  <c r="G37" i="10"/>
  <c r="H36" i="10"/>
  <c r="I37" i="10"/>
  <c r="J36" i="10"/>
  <c r="K37" i="10"/>
  <c r="L36" i="10"/>
  <c r="J40" i="10"/>
  <c r="J38" i="10"/>
  <c r="J34" i="10"/>
  <c r="J32" i="10"/>
  <c r="J30" i="10"/>
  <c r="J28" i="10"/>
  <c r="J26" i="10"/>
  <c r="J24" i="10"/>
  <c r="J22" i="10"/>
  <c r="J20" i="10"/>
  <c r="J18" i="10"/>
  <c r="J16" i="10"/>
  <c r="J14" i="10"/>
  <c r="J12" i="10"/>
  <c r="J10" i="10"/>
  <c r="J8" i="10"/>
  <c r="J6" i="10"/>
  <c r="J4" i="10"/>
  <c r="J2" i="10"/>
  <c r="I33" i="10"/>
  <c r="I27" i="10"/>
  <c r="I23" i="10"/>
  <c r="I21" i="10"/>
  <c r="I9" i="10"/>
  <c r="I7" i="10"/>
  <c r="P45" i="13"/>
  <c r="P44" i="13"/>
  <c r="F36" i="14"/>
  <c r="F43" i="14"/>
  <c r="F33" i="14"/>
  <c r="J106" i="14"/>
  <c r="K44" i="14"/>
  <c r="K9" i="14"/>
  <c r="F87" i="14"/>
  <c r="F25" i="14"/>
  <c r="K29" i="14"/>
  <c r="K49" i="14"/>
  <c r="K50" i="14"/>
  <c r="F99" i="14"/>
  <c r="F53" i="14"/>
  <c r="F57" i="14"/>
  <c r="F58" i="14"/>
  <c r="J102" i="14"/>
  <c r="J66" i="14"/>
  <c r="K18" i="14"/>
  <c r="F34" i="14"/>
  <c r="F35" i="14"/>
  <c r="F83" i="14"/>
  <c r="J47" i="14"/>
  <c r="K52" i="14"/>
  <c r="K71" i="14"/>
  <c r="K108" i="14"/>
  <c r="K80" i="14"/>
  <c r="J80" i="14"/>
  <c r="J84" i="14"/>
  <c r="F88" i="14"/>
  <c r="F113" i="14"/>
  <c r="J13" i="14"/>
  <c r="K23" i="14"/>
  <c r="K24" i="14"/>
  <c r="F26" i="14"/>
  <c r="F27" i="14"/>
  <c r="F28" i="14"/>
  <c r="K34" i="14"/>
  <c r="F44" i="14"/>
  <c r="F45" i="14"/>
  <c r="F46" i="14"/>
  <c r="F59" i="14"/>
  <c r="J107" i="14"/>
  <c r="K7" i="14"/>
  <c r="K102" i="14"/>
  <c r="J104" i="14"/>
  <c r="K118" i="14"/>
  <c r="K93" i="14"/>
  <c r="F56" i="14"/>
  <c r="K57" i="14"/>
  <c r="K61" i="14"/>
  <c r="K101" i="14"/>
  <c r="F4" i="14"/>
  <c r="F63" i="14"/>
  <c r="F5" i="14"/>
  <c r="K103" i="14"/>
  <c r="F13" i="14"/>
  <c r="J36" i="14"/>
  <c r="J48" i="14"/>
  <c r="J105" i="14"/>
  <c r="K74" i="14"/>
  <c r="K75" i="14"/>
  <c r="K119" i="14"/>
  <c r="J11" i="14"/>
  <c r="K76" i="14"/>
  <c r="K12" i="14"/>
  <c r="F77" i="14"/>
  <c r="K78" i="14"/>
  <c r="J78" i="14"/>
  <c r="F80" i="14"/>
  <c r="F79" i="14"/>
  <c r="J114" i="14"/>
  <c r="K14" i="14"/>
  <c r="J15" i="14"/>
  <c r="K21" i="14"/>
  <c r="K26" i="14"/>
  <c r="J29" i="14"/>
  <c r="K31" i="14"/>
  <c r="K32" i="14"/>
  <c r="K84" i="14"/>
  <c r="K96" i="14"/>
  <c r="J39" i="14"/>
  <c r="K41" i="14"/>
  <c r="K42" i="14"/>
  <c r="J46" i="14"/>
  <c r="K47" i="14"/>
  <c r="K99" i="14"/>
  <c r="F100" i="14"/>
  <c r="F51" i="14"/>
  <c r="J52" i="14"/>
  <c r="K54" i="14"/>
  <c r="K55" i="14"/>
  <c r="K60" i="14"/>
  <c r="F61" i="14"/>
  <c r="J61" i="14"/>
  <c r="J6" i="14"/>
  <c r="K64" i="14"/>
  <c r="K65" i="14"/>
  <c r="K69" i="14"/>
  <c r="J9" i="14"/>
  <c r="K89" i="14"/>
  <c r="K111" i="14"/>
  <c r="J112" i="14"/>
  <c r="F90" i="14"/>
  <c r="J91" i="14"/>
  <c r="K17" i="14"/>
  <c r="J18" i="14"/>
  <c r="K22" i="14"/>
  <c r="F23" i="14"/>
  <c r="F24" i="14"/>
  <c r="J25" i="14"/>
  <c r="K27" i="14"/>
  <c r="K28" i="14"/>
  <c r="F29" i="14"/>
  <c r="J32" i="14"/>
  <c r="K33" i="14"/>
  <c r="J34" i="14"/>
  <c r="K36" i="14"/>
  <c r="F37" i="14"/>
  <c r="F85" i="14"/>
  <c r="J95" i="14"/>
  <c r="K97" i="14"/>
  <c r="K38" i="14"/>
  <c r="F39" i="14"/>
  <c r="J42" i="14"/>
  <c r="K43" i="14"/>
  <c r="J44" i="14"/>
  <c r="K48" i="14"/>
  <c r="F49" i="14"/>
  <c r="F50" i="14"/>
  <c r="J98" i="14"/>
  <c r="K100" i="14"/>
  <c r="K51" i="14"/>
  <c r="F52" i="14"/>
  <c r="K56" i="14"/>
  <c r="J57" i="14"/>
  <c r="F101" i="14"/>
  <c r="F62" i="14"/>
  <c r="J3" i="14"/>
  <c r="K63" i="14"/>
  <c r="K5" i="14"/>
  <c r="F6" i="14"/>
  <c r="K86" i="14"/>
  <c r="F7" i="14"/>
  <c r="J7" i="14"/>
  <c r="K66" i="14"/>
  <c r="J68" i="14"/>
  <c r="K70" i="14"/>
  <c r="K8" i="14"/>
  <c r="F9" i="14"/>
  <c r="K72" i="14"/>
  <c r="F118" i="14"/>
  <c r="J118" i="14"/>
  <c r="K105" i="14"/>
  <c r="J60" i="14"/>
  <c r="K62" i="14"/>
  <c r="K67" i="14"/>
  <c r="K94" i="14"/>
  <c r="K110" i="14"/>
  <c r="K73" i="14"/>
  <c r="K87" i="14"/>
  <c r="J89" i="14"/>
  <c r="K91" i="14"/>
  <c r="K2" i="14"/>
  <c r="J81" i="14"/>
  <c r="F16" i="14"/>
  <c r="J17" i="14"/>
  <c r="K19" i="14"/>
  <c r="K20" i="14"/>
  <c r="F21" i="14"/>
  <c r="K25" i="14"/>
  <c r="J26" i="14"/>
  <c r="K30" i="14"/>
  <c r="F31" i="14"/>
  <c r="F32" i="14"/>
  <c r="J33" i="14"/>
  <c r="K35" i="14"/>
  <c r="K83" i="14"/>
  <c r="F84" i="14"/>
  <c r="K95" i="14"/>
  <c r="J96" i="14"/>
  <c r="K40" i="14"/>
  <c r="F41" i="14"/>
  <c r="F42" i="14"/>
  <c r="J43" i="14"/>
  <c r="K45" i="14"/>
  <c r="K46" i="14"/>
  <c r="F47" i="14"/>
  <c r="K98" i="14"/>
  <c r="J99" i="14"/>
  <c r="K53" i="14"/>
  <c r="F54" i="14"/>
  <c r="F55" i="14"/>
  <c r="J56" i="14"/>
  <c r="K58" i="14"/>
  <c r="K59" i="14"/>
  <c r="F60" i="14"/>
  <c r="K3" i="14"/>
  <c r="J4" i="14"/>
  <c r="K107" i="14"/>
  <c r="J86" i="14"/>
  <c r="K117" i="14"/>
  <c r="K92" i="14"/>
  <c r="F102" i="14"/>
  <c r="K68" i="14"/>
  <c r="F69" i="14"/>
  <c r="J69" i="14"/>
  <c r="K104" i="14"/>
  <c r="J72" i="14"/>
  <c r="K10" i="14"/>
  <c r="K109" i="14"/>
  <c r="F93" i="14"/>
  <c r="K106" i="14"/>
  <c r="J87" i="14"/>
  <c r="K88" i="14"/>
  <c r="J88" i="14"/>
  <c r="K112" i="14"/>
  <c r="F115" i="14"/>
  <c r="J115" i="14"/>
  <c r="K90" i="14"/>
  <c r="K81" i="14"/>
  <c r="F14" i="14"/>
  <c r="J14" i="14"/>
  <c r="K16" i="14"/>
  <c r="F112" i="14"/>
  <c r="F81" i="14"/>
  <c r="F111" i="14"/>
  <c r="J111" i="14"/>
  <c r="K113" i="14"/>
  <c r="K116" i="14"/>
  <c r="F2" i="14"/>
  <c r="J2" i="14"/>
  <c r="K82" i="14"/>
  <c r="K15" i="14"/>
  <c r="K114" i="14"/>
  <c r="F116" i="14"/>
  <c r="K13" i="14"/>
  <c r="F15" i="14"/>
  <c r="J93" i="14"/>
  <c r="F73" i="14"/>
  <c r="J73" i="14"/>
  <c r="F119" i="14"/>
  <c r="J119" i="14"/>
  <c r="K11" i="14"/>
  <c r="J113" i="14"/>
  <c r="J90" i="14"/>
  <c r="J82" i="14"/>
  <c r="J16" i="14"/>
  <c r="J20" i="14"/>
  <c r="J24" i="14"/>
  <c r="J28" i="14"/>
  <c r="J83" i="14"/>
  <c r="J85" i="14"/>
  <c r="J38" i="14"/>
  <c r="J50" i="14"/>
  <c r="J51" i="14"/>
  <c r="J55" i="14"/>
  <c r="J59" i="14"/>
  <c r="J62" i="14"/>
  <c r="J5" i="14"/>
  <c r="F65" i="14"/>
  <c r="J65" i="14"/>
  <c r="F92" i="14"/>
  <c r="J92" i="14"/>
  <c r="F103" i="14"/>
  <c r="J103" i="14"/>
  <c r="F8" i="14"/>
  <c r="J8" i="14"/>
  <c r="F108" i="14"/>
  <c r="J108" i="14"/>
  <c r="F109" i="14"/>
  <c r="J109" i="14"/>
  <c r="F110" i="14"/>
  <c r="J110" i="14"/>
  <c r="F75" i="14"/>
  <c r="J75" i="14"/>
  <c r="F12" i="14"/>
  <c r="J12" i="14"/>
  <c r="J19" i="14"/>
  <c r="J23" i="14"/>
  <c r="J27" i="14"/>
  <c r="J31" i="14"/>
  <c r="J35" i="14"/>
  <c r="J37" i="14"/>
  <c r="J97" i="14"/>
  <c r="J41" i="14"/>
  <c r="J45" i="14"/>
  <c r="J49" i="14"/>
  <c r="J100" i="14"/>
  <c r="J54" i="14"/>
  <c r="J58" i="14"/>
  <c r="J101" i="14"/>
  <c r="J63" i="14"/>
  <c r="F64" i="14"/>
  <c r="J64" i="14"/>
  <c r="F117" i="14"/>
  <c r="J117" i="14"/>
  <c r="F67" i="14"/>
  <c r="J67" i="14"/>
  <c r="F70" i="14"/>
  <c r="J70" i="14"/>
  <c r="F71" i="14"/>
  <c r="J71" i="14"/>
  <c r="F10" i="14"/>
  <c r="J10" i="14"/>
  <c r="F94" i="14"/>
  <c r="J94" i="14"/>
  <c r="F74" i="14"/>
  <c r="J74" i="14"/>
  <c r="F76" i="14"/>
  <c r="J76" i="14"/>
  <c r="F11" i="14"/>
  <c r="K118" i="6"/>
  <c r="L118" i="6"/>
  <c r="K34" i="5"/>
  <c r="L34" i="5"/>
  <c r="K117" i="6"/>
  <c r="L117" i="6"/>
  <c r="K33" i="5"/>
  <c r="L33" i="5"/>
  <c r="K147" i="6"/>
  <c r="L147" i="6"/>
  <c r="K31" i="5"/>
  <c r="L31" i="5"/>
  <c r="F23" i="5"/>
  <c r="E23" i="5"/>
  <c r="I27" i="5"/>
  <c r="I28" i="5"/>
  <c r="S19" i="5"/>
  <c r="S20" i="5"/>
  <c r="S21" i="5"/>
  <c r="S18" i="5"/>
  <c r="R19" i="5"/>
  <c r="R20" i="5"/>
  <c r="R21" i="5"/>
  <c r="R18" i="5"/>
  <c r="L19" i="5"/>
  <c r="L20" i="5"/>
  <c r="L21" i="5"/>
  <c r="L18" i="5"/>
  <c r="O19" i="5"/>
  <c r="O20" i="5"/>
  <c r="O21" i="5"/>
  <c r="O18" i="5"/>
  <c r="I20" i="5"/>
  <c r="I21" i="5"/>
  <c r="I19" i="5"/>
  <c r="G23" i="5"/>
  <c r="H23" i="5"/>
  <c r="K23" i="5"/>
  <c r="N23" i="5"/>
  <c r="J23" i="5"/>
  <c r="M23" i="5"/>
  <c r="S24" i="5"/>
  <c r="L23" i="5"/>
  <c r="P24" i="5"/>
  <c r="P23" i="5"/>
  <c r="Q23" i="5"/>
  <c r="S23" i="5"/>
  <c r="J4" i="5"/>
  <c r="F15" i="5"/>
  <c r="N15" i="5"/>
  <c r="E15" i="5"/>
  <c r="F12" i="5"/>
  <c r="N12" i="5"/>
  <c r="E12" i="5"/>
  <c r="F7" i="5"/>
  <c r="E7" i="5"/>
  <c r="E4" i="5"/>
  <c r="Q4" i="5"/>
  <c r="K14" i="5"/>
  <c r="K15" i="5"/>
  <c r="P13" i="5"/>
  <c r="P15" i="5"/>
  <c r="G13" i="5"/>
  <c r="G15" i="5"/>
  <c r="K11" i="5"/>
  <c r="G10" i="5"/>
  <c r="K9" i="5"/>
  <c r="G8" i="5"/>
  <c r="Q2" i="5"/>
  <c r="H3" i="5"/>
  <c r="H9" i="5"/>
  <c r="H10" i="5"/>
  <c r="Q10" i="5"/>
  <c r="H11" i="5"/>
  <c r="Q11" i="5"/>
  <c r="H14" i="5"/>
  <c r="K3" i="5"/>
  <c r="F45" i="9"/>
  <c r="G45" i="9"/>
  <c r="H45" i="9"/>
  <c r="K45" i="9"/>
  <c r="Q24" i="5"/>
  <c r="R23" i="5"/>
  <c r="I26" i="5"/>
  <c r="I23" i="5"/>
  <c r="O23" i="5"/>
  <c r="G12" i="5"/>
  <c r="K12" i="5"/>
  <c r="Q14" i="5"/>
  <c r="Q6" i="5"/>
  <c r="Q3" i="5"/>
  <c r="Q9" i="5"/>
  <c r="K16" i="9"/>
  <c r="G16" i="9"/>
  <c r="F16" i="9"/>
  <c r="H16" i="9"/>
  <c r="M14" i="9"/>
  <c r="K14" i="9"/>
  <c r="N14" i="9"/>
  <c r="L14" i="9"/>
  <c r="M13" i="9"/>
  <c r="K13" i="9"/>
  <c r="N13" i="9"/>
  <c r="L13" i="9"/>
  <c r="M12" i="9"/>
  <c r="K12" i="9"/>
  <c r="N12" i="9"/>
  <c r="L12" i="9"/>
  <c r="M11" i="9"/>
  <c r="K11" i="9"/>
  <c r="N11" i="9"/>
  <c r="L11" i="9"/>
  <c r="M5" i="9"/>
  <c r="K5" i="9"/>
  <c r="N5" i="9"/>
  <c r="O5" i="9"/>
  <c r="L5" i="9"/>
  <c r="F5" i="9"/>
  <c r="D5" i="9"/>
  <c r="M4" i="9"/>
  <c r="K4" i="9"/>
  <c r="N4" i="9"/>
  <c r="O4" i="9"/>
  <c r="L4" i="9"/>
  <c r="F4" i="9"/>
  <c r="D4" i="9"/>
  <c r="M3" i="9"/>
  <c r="K3" i="9"/>
  <c r="N3" i="9"/>
  <c r="O3" i="9"/>
  <c r="L3" i="9"/>
  <c r="F3" i="9"/>
  <c r="D3" i="9"/>
  <c r="M2" i="9"/>
  <c r="K2" i="9"/>
  <c r="N2" i="9"/>
  <c r="O2" i="9"/>
  <c r="L2" i="9"/>
  <c r="F2" i="9"/>
  <c r="D2" i="9"/>
  <c r="H6" i="7"/>
  <c r="I6" i="7"/>
  <c r="I101" i="7"/>
  <c r="H101" i="7"/>
  <c r="I10" i="8"/>
  <c r="C18" i="8"/>
  <c r="I5" i="8"/>
  <c r="C17" i="8"/>
  <c r="I8" i="8"/>
  <c r="E10" i="8"/>
  <c r="E6" i="8"/>
  <c r="I6" i="8"/>
  <c r="C16" i="8"/>
  <c r="B16" i="8"/>
  <c r="B18" i="8"/>
  <c r="B19" i="8"/>
  <c r="I3" i="8"/>
  <c r="I4" i="8"/>
  <c r="I2" i="8"/>
  <c r="E3" i="8"/>
  <c r="E4" i="8"/>
  <c r="E5" i="8"/>
  <c r="D3" i="8"/>
  <c r="D4" i="8"/>
  <c r="D5" i="8"/>
  <c r="E2" i="8"/>
  <c r="D2" i="8"/>
  <c r="D10" i="8"/>
  <c r="D11" i="8"/>
  <c r="G43" i="1"/>
  <c r="G46" i="1"/>
  <c r="G47" i="1"/>
  <c r="I89" i="7"/>
  <c r="H89" i="7"/>
  <c r="I70" i="7"/>
  <c r="H70" i="7"/>
  <c r="I60" i="7"/>
  <c r="H60" i="7"/>
  <c r="I55" i="7"/>
  <c r="H55" i="7"/>
  <c r="I48" i="7"/>
  <c r="H48" i="7"/>
  <c r="I41" i="7"/>
  <c r="H41" i="7"/>
  <c r="I28" i="7"/>
  <c r="H28" i="7"/>
  <c r="I18" i="7"/>
  <c r="H18" i="7"/>
  <c r="I12" i="7"/>
  <c r="H12" i="7"/>
  <c r="H13" i="5"/>
  <c r="H8" i="5"/>
  <c r="G3" i="3"/>
  <c r="H3" i="3"/>
  <c r="I3" i="3"/>
  <c r="K3" i="3"/>
  <c r="L3" i="3"/>
  <c r="J3" i="3"/>
  <c r="O2" i="1"/>
  <c r="J2" i="1"/>
  <c r="L2" i="1"/>
  <c r="O3" i="1"/>
  <c r="J3" i="1"/>
  <c r="L3" i="1"/>
  <c r="O4" i="1"/>
  <c r="J4" i="1"/>
  <c r="L4" i="1"/>
  <c r="O5" i="1"/>
  <c r="J5" i="1"/>
  <c r="L5" i="1"/>
  <c r="O6" i="1"/>
  <c r="J6" i="1"/>
  <c r="L6" i="1"/>
  <c r="O7" i="1"/>
  <c r="J7" i="1"/>
  <c r="L7" i="1"/>
  <c r="O8" i="1"/>
  <c r="J8" i="1"/>
  <c r="L8" i="1"/>
  <c r="O9" i="1"/>
  <c r="J9" i="1"/>
  <c r="L9" i="1"/>
  <c r="O10" i="1"/>
  <c r="J10" i="1"/>
  <c r="L10" i="1"/>
  <c r="O11" i="1"/>
  <c r="J11" i="1"/>
  <c r="L11" i="1"/>
  <c r="O12" i="1"/>
  <c r="J12" i="1"/>
  <c r="K12" i="1"/>
  <c r="L12" i="1"/>
  <c r="O13" i="1"/>
  <c r="J13" i="1"/>
  <c r="K13" i="1"/>
  <c r="L13" i="1"/>
  <c r="O14" i="1"/>
  <c r="J14" i="1"/>
  <c r="K14" i="1"/>
  <c r="L14" i="1"/>
  <c r="O15" i="1"/>
  <c r="J15" i="1"/>
  <c r="K15" i="1"/>
  <c r="L15" i="1"/>
  <c r="O16" i="1"/>
  <c r="J16" i="1"/>
  <c r="K16" i="1"/>
  <c r="L16" i="1"/>
  <c r="O17" i="1"/>
  <c r="J17" i="1"/>
  <c r="K17" i="1"/>
  <c r="L17" i="1"/>
  <c r="O18" i="1"/>
  <c r="J18" i="1"/>
  <c r="K18" i="1"/>
  <c r="L18" i="1"/>
  <c r="O19" i="1"/>
  <c r="J19" i="1"/>
  <c r="K19" i="1"/>
  <c r="L19" i="1"/>
  <c r="O20" i="1"/>
  <c r="J20" i="1"/>
  <c r="K20" i="1"/>
  <c r="L20" i="1"/>
  <c r="O21" i="1"/>
  <c r="J21" i="1"/>
  <c r="K21" i="1"/>
  <c r="L21" i="1"/>
  <c r="O22" i="1"/>
  <c r="J22" i="1"/>
  <c r="K22" i="1"/>
  <c r="L22" i="1"/>
  <c r="O23" i="1"/>
  <c r="J23" i="1"/>
  <c r="K23" i="1"/>
  <c r="L23" i="1"/>
  <c r="O24" i="1"/>
  <c r="J24" i="1"/>
  <c r="K24" i="1"/>
  <c r="L24" i="1"/>
  <c r="O26" i="1"/>
  <c r="J26" i="1"/>
  <c r="K26" i="1"/>
  <c r="L26" i="1"/>
  <c r="O27" i="1"/>
  <c r="J27" i="1"/>
  <c r="L27" i="1"/>
  <c r="O28" i="1"/>
  <c r="J28" i="1"/>
  <c r="L28" i="1"/>
  <c r="O29" i="1"/>
  <c r="J29" i="1"/>
  <c r="K29" i="1"/>
  <c r="L29" i="1"/>
  <c r="O30" i="1"/>
  <c r="J30" i="1"/>
  <c r="L30" i="1"/>
  <c r="O31" i="1"/>
  <c r="J31" i="1"/>
  <c r="K31" i="1"/>
  <c r="L31" i="1"/>
  <c r="O32" i="1"/>
  <c r="J32" i="1"/>
  <c r="K32" i="1"/>
  <c r="L32" i="1"/>
  <c r="O33" i="1"/>
  <c r="J33" i="1"/>
  <c r="K33" i="1"/>
  <c r="L33" i="1"/>
  <c r="O34" i="1"/>
  <c r="J34" i="1"/>
  <c r="K34" i="1"/>
  <c r="L34" i="1"/>
  <c r="O35" i="1"/>
  <c r="J35" i="1"/>
  <c r="K35" i="1"/>
  <c r="L35" i="1"/>
  <c r="O36" i="1"/>
  <c r="J36" i="1"/>
  <c r="K36" i="1"/>
  <c r="L36" i="1"/>
  <c r="O37" i="1"/>
  <c r="J37" i="1"/>
  <c r="L37" i="1"/>
  <c r="O38" i="1"/>
  <c r="J38" i="1"/>
  <c r="L38" i="1"/>
  <c r="O39" i="1"/>
  <c r="J39" i="1"/>
  <c r="L39" i="1"/>
  <c r="O40" i="1"/>
  <c r="J40" i="1"/>
  <c r="L40" i="1"/>
  <c r="L43" i="1"/>
  <c r="M33" i="1"/>
  <c r="M31" i="1"/>
  <c r="M26" i="1"/>
  <c r="M29" i="1"/>
  <c r="M11" i="1"/>
  <c r="M27" i="1"/>
  <c r="J41" i="1"/>
  <c r="H43" i="1"/>
  <c r="J43" i="1"/>
  <c r="M43" i="1"/>
  <c r="M5" i="1"/>
  <c r="M6" i="1"/>
  <c r="M9" i="1"/>
  <c r="M10" i="1"/>
  <c r="M13" i="1"/>
  <c r="M14" i="1"/>
  <c r="M15" i="1"/>
  <c r="M17" i="1"/>
  <c r="M18" i="1"/>
  <c r="M21" i="1"/>
  <c r="M25" i="1"/>
  <c r="M30" i="1"/>
  <c r="M34" i="1"/>
  <c r="M37" i="1"/>
  <c r="M38" i="1"/>
  <c r="M41" i="1"/>
  <c r="O25" i="1"/>
  <c r="O41" i="1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80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G80" i="2"/>
  <c r="H80" i="2"/>
  <c r="K80" i="2"/>
  <c r="G81" i="2"/>
  <c r="H81" i="2"/>
  <c r="K81" i="2"/>
  <c r="G82" i="2"/>
  <c r="F82" i="2"/>
  <c r="G83" i="2"/>
  <c r="F83" i="2"/>
  <c r="G84" i="2"/>
  <c r="H84" i="2"/>
  <c r="K84" i="2"/>
  <c r="G85" i="2"/>
  <c r="H85" i="2"/>
  <c r="K85" i="2"/>
  <c r="G86" i="2"/>
  <c r="F86" i="2"/>
  <c r="G87" i="2"/>
  <c r="F87" i="2"/>
  <c r="G88" i="2"/>
  <c r="H88" i="2"/>
  <c r="K88" i="2"/>
  <c r="G89" i="2"/>
  <c r="H89" i="2"/>
  <c r="K89" i="2"/>
  <c r="G90" i="2"/>
  <c r="F90" i="2"/>
  <c r="G91" i="2"/>
  <c r="F91" i="2"/>
  <c r="G92" i="2"/>
  <c r="H92" i="2"/>
  <c r="K92" i="2"/>
  <c r="G93" i="2"/>
  <c r="H93" i="2"/>
  <c r="K93" i="2"/>
  <c r="G94" i="2"/>
  <c r="F94" i="2"/>
  <c r="G95" i="2"/>
  <c r="F95" i="2"/>
  <c r="G96" i="2"/>
  <c r="H96" i="2"/>
  <c r="K96" i="2"/>
  <c r="G97" i="2"/>
  <c r="H97" i="2"/>
  <c r="K97" i="2"/>
  <c r="G98" i="2"/>
  <c r="F98" i="2"/>
  <c r="G99" i="2"/>
  <c r="F99" i="2"/>
  <c r="G100" i="2"/>
  <c r="H100" i="2"/>
  <c r="K100" i="2"/>
  <c r="G101" i="2"/>
  <c r="H101" i="2"/>
  <c r="K101" i="2"/>
  <c r="G102" i="2"/>
  <c r="F102" i="2"/>
  <c r="G103" i="2"/>
  <c r="F103" i="2"/>
  <c r="G104" i="2"/>
  <c r="H104" i="2"/>
  <c r="K104" i="2"/>
  <c r="G105" i="2"/>
  <c r="H105" i="2"/>
  <c r="K105" i="2"/>
  <c r="G106" i="2"/>
  <c r="F106" i="2"/>
  <c r="G107" i="2"/>
  <c r="F107" i="2"/>
  <c r="G108" i="2"/>
  <c r="H108" i="2"/>
  <c r="K108" i="2"/>
  <c r="G109" i="2"/>
  <c r="H109" i="2"/>
  <c r="K109" i="2"/>
  <c r="G110" i="2"/>
  <c r="F110" i="2"/>
  <c r="G111" i="2"/>
  <c r="F111" i="2"/>
  <c r="G112" i="2"/>
  <c r="H112" i="2"/>
  <c r="K112" i="2"/>
  <c r="G113" i="2"/>
  <c r="H113" i="2"/>
  <c r="K113" i="2"/>
  <c r="G114" i="2"/>
  <c r="F114" i="2"/>
  <c r="G115" i="2"/>
  <c r="F11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2" i="2"/>
  <c r="K82" i="2"/>
  <c r="H83" i="2"/>
  <c r="H86" i="2"/>
  <c r="K86" i="2"/>
  <c r="H87" i="2"/>
  <c r="H90" i="2"/>
  <c r="K90" i="2"/>
  <c r="H91" i="2"/>
  <c r="H94" i="2"/>
  <c r="K94" i="2"/>
  <c r="H95" i="2"/>
  <c r="H98" i="2"/>
  <c r="K98" i="2"/>
  <c r="H99" i="2"/>
  <c r="H102" i="2"/>
  <c r="K102" i="2"/>
  <c r="H103" i="2"/>
  <c r="H106" i="2"/>
  <c r="K106" i="2"/>
  <c r="H107" i="2"/>
  <c r="H110" i="2"/>
  <c r="K110" i="2"/>
  <c r="H111" i="2"/>
  <c r="H114" i="2"/>
  <c r="K114" i="2"/>
  <c r="H115" i="2"/>
  <c r="H2" i="2"/>
  <c r="I4" i="3"/>
  <c r="I5" i="3"/>
  <c r="H4" i="3"/>
  <c r="H5" i="3"/>
  <c r="G4" i="3"/>
  <c r="G5" i="3"/>
  <c r="I2" i="3"/>
  <c r="I7" i="3"/>
  <c r="H2" i="3"/>
  <c r="G2" i="3"/>
  <c r="K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2" i="2"/>
  <c r="I117" i="2"/>
  <c r="L4" i="3"/>
  <c r="L5" i="3"/>
  <c r="L2" i="3"/>
  <c r="J2" i="3"/>
  <c r="F5" i="3"/>
  <c r="G7" i="3"/>
  <c r="F2" i="3"/>
  <c r="F4" i="3"/>
  <c r="K5" i="3"/>
  <c r="J5" i="3"/>
  <c r="H7" i="3"/>
  <c r="F3" i="3"/>
  <c r="K4" i="3"/>
  <c r="J4" i="3"/>
  <c r="J115" i="2"/>
  <c r="J99" i="2"/>
  <c r="J83" i="2"/>
  <c r="J114" i="2"/>
  <c r="J106" i="2"/>
  <c r="J98" i="2"/>
  <c r="J90" i="2"/>
  <c r="J82" i="2"/>
  <c r="H117" i="2"/>
  <c r="J113" i="2"/>
  <c r="F113" i="2"/>
  <c r="J109" i="2"/>
  <c r="F109" i="2"/>
  <c r="J105" i="2"/>
  <c r="F105" i="2"/>
  <c r="J101" i="2"/>
  <c r="F101" i="2"/>
  <c r="J97" i="2"/>
  <c r="F97" i="2"/>
  <c r="J93" i="2"/>
  <c r="F93" i="2"/>
  <c r="J89" i="2"/>
  <c r="F89" i="2"/>
  <c r="J85" i="2"/>
  <c r="F85" i="2"/>
  <c r="J81" i="2"/>
  <c r="F81" i="2"/>
  <c r="J111" i="2"/>
  <c r="J103" i="2"/>
  <c r="J95" i="2"/>
  <c r="J87" i="2"/>
  <c r="J107" i="2"/>
  <c r="J91" i="2"/>
  <c r="J112" i="2"/>
  <c r="F112" i="2"/>
  <c r="J108" i="2"/>
  <c r="F108" i="2"/>
  <c r="J104" i="2"/>
  <c r="F104" i="2"/>
  <c r="J100" i="2"/>
  <c r="F100" i="2"/>
  <c r="J96" i="2"/>
  <c r="F96" i="2"/>
  <c r="J92" i="2"/>
  <c r="F92" i="2"/>
  <c r="J88" i="2"/>
  <c r="F88" i="2"/>
  <c r="J84" i="2"/>
  <c r="F84" i="2"/>
  <c r="J80" i="2"/>
  <c r="F80" i="2"/>
  <c r="J110" i="2"/>
  <c r="J102" i="2"/>
  <c r="J94" i="2"/>
  <c r="J86" i="2"/>
  <c r="K115" i="2"/>
  <c r="K111" i="2"/>
  <c r="K107" i="2"/>
  <c r="K103" i="2"/>
  <c r="K99" i="2"/>
  <c r="K95" i="2"/>
  <c r="K91" i="2"/>
  <c r="K87" i="2"/>
  <c r="K83" i="2"/>
  <c r="Q8" i="5"/>
  <c r="H12" i="5"/>
  <c r="Q13" i="5"/>
  <c r="Q15" i="5"/>
  <c r="S15" i="5"/>
  <c r="H15" i="5"/>
  <c r="Q5" i="5"/>
  <c r="Q7" i="5"/>
  <c r="M22" i="1"/>
  <c r="M35" i="1"/>
  <c r="M19" i="1"/>
  <c r="M3" i="1"/>
  <c r="M39" i="1"/>
  <c r="M23" i="1"/>
  <c r="M7" i="1"/>
  <c r="M2" i="1"/>
  <c r="M40" i="1"/>
  <c r="M36" i="1"/>
  <c r="M32" i="1"/>
  <c r="M28" i="1"/>
  <c r="M24" i="1"/>
  <c r="M20" i="1"/>
  <c r="M16" i="1"/>
  <c r="M12" i="1"/>
  <c r="M8" i="1"/>
  <c r="M4" i="1"/>
  <c r="C16" i="4"/>
  <c r="D8" i="4"/>
  <c r="D9" i="4"/>
  <c r="D10" i="4"/>
  <c r="D11" i="4"/>
  <c r="D12" i="4"/>
  <c r="D13" i="4"/>
  <c r="D14" i="4"/>
  <c r="D7" i="4"/>
  <c r="B16" i="4"/>
  <c r="J7" i="3"/>
  <c r="F7" i="3"/>
  <c r="K7" i="3"/>
  <c r="R12" i="5"/>
  <c r="Q12" i="5"/>
  <c r="R15" i="5"/>
  <c r="J15" i="5"/>
  <c r="M12" i="5"/>
  <c r="P12" i="5"/>
  <c r="J12" i="5"/>
  <c r="S7" i="5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2" i="2"/>
  <c r="L3" i="2"/>
  <c r="F3" i="2"/>
  <c r="L4" i="2"/>
  <c r="F4" i="2"/>
  <c r="L5" i="2"/>
  <c r="F5" i="2"/>
  <c r="L6" i="2"/>
  <c r="F6" i="2"/>
  <c r="L7" i="2"/>
  <c r="F7" i="2"/>
  <c r="L8" i="2"/>
  <c r="F8" i="2"/>
  <c r="L9" i="2"/>
  <c r="F9" i="2"/>
  <c r="L10" i="2"/>
  <c r="F10" i="2"/>
  <c r="L11" i="2"/>
  <c r="F11" i="2"/>
  <c r="L12" i="2"/>
  <c r="F12" i="2"/>
  <c r="L13" i="2"/>
  <c r="F13" i="2"/>
  <c r="L14" i="2"/>
  <c r="F14" i="2"/>
  <c r="L15" i="2"/>
  <c r="F15" i="2"/>
  <c r="L16" i="2"/>
  <c r="F16" i="2"/>
  <c r="L17" i="2"/>
  <c r="F17" i="2"/>
  <c r="L18" i="2"/>
  <c r="F18" i="2"/>
  <c r="L19" i="2"/>
  <c r="F19" i="2"/>
  <c r="L20" i="2"/>
  <c r="F20" i="2"/>
  <c r="L21" i="2"/>
  <c r="F21" i="2"/>
  <c r="L22" i="2"/>
  <c r="F22" i="2"/>
  <c r="L23" i="2"/>
  <c r="F23" i="2"/>
  <c r="L24" i="2"/>
  <c r="F24" i="2"/>
  <c r="L25" i="2"/>
  <c r="F25" i="2"/>
  <c r="L26" i="2"/>
  <c r="F26" i="2"/>
  <c r="L27" i="2"/>
  <c r="F27" i="2"/>
  <c r="L28" i="2"/>
  <c r="F28" i="2"/>
  <c r="L29" i="2"/>
  <c r="F29" i="2"/>
  <c r="L30" i="2"/>
  <c r="F30" i="2"/>
  <c r="L31" i="2"/>
  <c r="F31" i="2"/>
  <c r="L32" i="2"/>
  <c r="F32" i="2"/>
  <c r="L33" i="2"/>
  <c r="F33" i="2"/>
  <c r="L34" i="2"/>
  <c r="F34" i="2"/>
  <c r="L35" i="2"/>
  <c r="F35" i="2"/>
  <c r="L36" i="2"/>
  <c r="F36" i="2"/>
  <c r="L37" i="2"/>
  <c r="F37" i="2"/>
  <c r="L38" i="2"/>
  <c r="F38" i="2"/>
  <c r="L39" i="2"/>
  <c r="F39" i="2"/>
  <c r="L40" i="2"/>
  <c r="F40" i="2"/>
  <c r="L41" i="2"/>
  <c r="F41" i="2"/>
  <c r="L42" i="2"/>
  <c r="F42" i="2"/>
  <c r="L43" i="2"/>
  <c r="F43" i="2"/>
  <c r="L44" i="2"/>
  <c r="F44" i="2"/>
  <c r="L45" i="2"/>
  <c r="F45" i="2"/>
  <c r="L46" i="2"/>
  <c r="F46" i="2"/>
  <c r="L47" i="2"/>
  <c r="F47" i="2"/>
  <c r="L48" i="2"/>
  <c r="F48" i="2"/>
  <c r="L49" i="2"/>
  <c r="F49" i="2"/>
  <c r="L50" i="2"/>
  <c r="F50" i="2"/>
  <c r="L51" i="2"/>
  <c r="F51" i="2"/>
  <c r="L52" i="2"/>
  <c r="F52" i="2"/>
  <c r="L53" i="2"/>
  <c r="F53" i="2"/>
  <c r="L54" i="2"/>
  <c r="F54" i="2"/>
  <c r="L55" i="2"/>
  <c r="F55" i="2"/>
  <c r="L56" i="2"/>
  <c r="F56" i="2"/>
  <c r="L57" i="2"/>
  <c r="F57" i="2"/>
  <c r="L58" i="2"/>
  <c r="F58" i="2"/>
  <c r="L59" i="2"/>
  <c r="F59" i="2"/>
  <c r="L60" i="2"/>
  <c r="F60" i="2"/>
  <c r="L61" i="2"/>
  <c r="F61" i="2"/>
  <c r="L62" i="2"/>
  <c r="F62" i="2"/>
  <c r="L63" i="2"/>
  <c r="F63" i="2"/>
  <c r="L64" i="2"/>
  <c r="F64" i="2"/>
  <c r="L65" i="2"/>
  <c r="F65" i="2"/>
  <c r="L66" i="2"/>
  <c r="F66" i="2"/>
  <c r="L67" i="2"/>
  <c r="F67" i="2"/>
  <c r="L68" i="2"/>
  <c r="F68" i="2"/>
  <c r="L69" i="2"/>
  <c r="F69" i="2"/>
  <c r="L70" i="2"/>
  <c r="F70" i="2"/>
  <c r="L71" i="2"/>
  <c r="F71" i="2"/>
  <c r="L72" i="2"/>
  <c r="F72" i="2"/>
  <c r="L73" i="2"/>
  <c r="F73" i="2"/>
  <c r="L74" i="2"/>
  <c r="F74" i="2"/>
  <c r="L75" i="2"/>
  <c r="F75" i="2"/>
  <c r="L76" i="2"/>
  <c r="F76" i="2"/>
  <c r="L77" i="2"/>
  <c r="F77" i="2"/>
  <c r="L78" i="2"/>
  <c r="F78" i="2"/>
  <c r="L79" i="2"/>
  <c r="F79" i="2"/>
  <c r="L2" i="2"/>
  <c r="F2" i="2"/>
  <c r="J79" i="2"/>
  <c r="K79" i="2"/>
  <c r="J75" i="2"/>
  <c r="K75" i="2"/>
  <c r="J71" i="2"/>
  <c r="K71" i="2"/>
  <c r="J67" i="2"/>
  <c r="K67" i="2"/>
  <c r="K63" i="2"/>
  <c r="J63" i="2"/>
  <c r="K59" i="2"/>
  <c r="J59" i="2"/>
  <c r="K55" i="2"/>
  <c r="J55" i="2"/>
  <c r="K51" i="2"/>
  <c r="J51" i="2"/>
  <c r="K47" i="2"/>
  <c r="J47" i="2"/>
  <c r="K43" i="2"/>
  <c r="J43" i="2"/>
  <c r="K39" i="2"/>
  <c r="J39" i="2"/>
  <c r="K35" i="2"/>
  <c r="J35" i="2"/>
  <c r="K31" i="2"/>
  <c r="J31" i="2"/>
  <c r="K27" i="2"/>
  <c r="J27" i="2"/>
  <c r="K23" i="2"/>
  <c r="J23" i="2"/>
  <c r="K19" i="2"/>
  <c r="J19" i="2"/>
  <c r="K15" i="2"/>
  <c r="J15" i="2"/>
  <c r="K11" i="2"/>
  <c r="J11" i="2"/>
  <c r="K7" i="2"/>
  <c r="J7" i="2"/>
  <c r="K3" i="2"/>
  <c r="J3" i="2"/>
  <c r="F117" i="2"/>
  <c r="J78" i="2"/>
  <c r="K78" i="2"/>
  <c r="J74" i="2"/>
  <c r="K74" i="2"/>
  <c r="J70" i="2"/>
  <c r="K70" i="2"/>
  <c r="J66" i="2"/>
  <c r="K66" i="2"/>
  <c r="K62" i="2"/>
  <c r="J62" i="2"/>
  <c r="K58" i="2"/>
  <c r="J58" i="2"/>
  <c r="K54" i="2"/>
  <c r="J54" i="2"/>
  <c r="J50" i="2"/>
  <c r="K50" i="2"/>
  <c r="K46" i="2"/>
  <c r="J46" i="2"/>
  <c r="J42" i="2"/>
  <c r="K42" i="2"/>
  <c r="K38" i="2"/>
  <c r="J38" i="2"/>
  <c r="K34" i="2"/>
  <c r="J34" i="2"/>
  <c r="K30" i="2"/>
  <c r="J30" i="2"/>
  <c r="K26" i="2"/>
  <c r="J26" i="2"/>
  <c r="K22" i="2"/>
  <c r="J22" i="2"/>
  <c r="J18" i="2"/>
  <c r="K18" i="2"/>
  <c r="K14" i="2"/>
  <c r="J14" i="2"/>
  <c r="K10" i="2"/>
  <c r="J10" i="2"/>
  <c r="J6" i="2"/>
  <c r="K6" i="2"/>
  <c r="J77" i="2"/>
  <c r="K77" i="2"/>
  <c r="J73" i="2"/>
  <c r="K73" i="2"/>
  <c r="J69" i="2"/>
  <c r="K69" i="2"/>
  <c r="K65" i="2"/>
  <c r="J65" i="2"/>
  <c r="K61" i="2"/>
  <c r="J61" i="2"/>
  <c r="K57" i="2"/>
  <c r="J57" i="2"/>
  <c r="K53" i="2"/>
  <c r="J53" i="2"/>
  <c r="K49" i="2"/>
  <c r="J49" i="2"/>
  <c r="K45" i="2"/>
  <c r="J45" i="2"/>
  <c r="K41" i="2"/>
  <c r="J41" i="2"/>
  <c r="K37" i="2"/>
  <c r="J37" i="2"/>
  <c r="K33" i="2"/>
  <c r="J33" i="2"/>
  <c r="K29" i="2"/>
  <c r="J29" i="2"/>
  <c r="K25" i="2"/>
  <c r="J25" i="2"/>
  <c r="K21" i="2"/>
  <c r="J21" i="2"/>
  <c r="K17" i="2"/>
  <c r="J17" i="2"/>
  <c r="K13" i="2"/>
  <c r="J13" i="2"/>
  <c r="K9" i="2"/>
  <c r="J9" i="2"/>
  <c r="K5" i="2"/>
  <c r="J5" i="2"/>
  <c r="G117" i="2"/>
  <c r="J2" i="2"/>
  <c r="K2" i="2"/>
  <c r="J76" i="2"/>
  <c r="K76" i="2"/>
  <c r="J72" i="2"/>
  <c r="K72" i="2"/>
  <c r="J68" i="2"/>
  <c r="K68" i="2"/>
  <c r="K64" i="2"/>
  <c r="J64" i="2"/>
  <c r="K60" i="2"/>
  <c r="J60" i="2"/>
  <c r="K56" i="2"/>
  <c r="J56" i="2"/>
  <c r="K52" i="2"/>
  <c r="J52" i="2"/>
  <c r="K48" i="2"/>
  <c r="J48" i="2"/>
  <c r="K44" i="2"/>
  <c r="J44" i="2"/>
  <c r="K40" i="2"/>
  <c r="J40" i="2"/>
  <c r="K36" i="2"/>
  <c r="J36" i="2"/>
  <c r="K32" i="2"/>
  <c r="J32" i="2"/>
  <c r="K28" i="2"/>
  <c r="J28" i="2"/>
  <c r="K24" i="2"/>
  <c r="J24" i="2"/>
  <c r="K20" i="2"/>
  <c r="J20" i="2"/>
  <c r="K16" i="2"/>
  <c r="J16" i="2"/>
  <c r="K12" i="2"/>
  <c r="J12" i="2"/>
  <c r="K8" i="2"/>
  <c r="J8" i="2"/>
  <c r="K4" i="2"/>
  <c r="J4" i="2"/>
  <c r="S12" i="5"/>
  <c r="I43" i="1"/>
  <c r="E43" i="1"/>
  <c r="F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6" i="1"/>
  <c r="F27" i="1"/>
  <c r="F28" i="1"/>
  <c r="F29" i="1"/>
  <c r="F30" i="1"/>
  <c r="F31" i="1"/>
  <c r="F32" i="1"/>
  <c r="F33" i="1"/>
  <c r="F34" i="1"/>
  <c r="F35" i="1"/>
  <c r="F36" i="1"/>
  <c r="F38" i="1"/>
  <c r="F39" i="1"/>
  <c r="F40" i="1"/>
  <c r="F41" i="1"/>
  <c r="F2" i="1"/>
  <c r="K117" i="2"/>
  <c r="J117" i="2"/>
  <c r="H45" i="1"/>
  <c r="F43" i="1"/>
  <c r="N43" i="1"/>
</calcChain>
</file>

<file path=xl/sharedStrings.xml><?xml version="1.0" encoding="utf-8"?>
<sst xmlns="http://schemas.openxmlformats.org/spreadsheetml/2006/main" count="7355" uniqueCount="721">
  <si>
    <t>Parcel</t>
  </si>
  <si>
    <t>Property</t>
  </si>
  <si>
    <t>16 170 01 002</t>
  </si>
  <si>
    <t>16 170 01 033</t>
  </si>
  <si>
    <t>16 170 01 034</t>
  </si>
  <si>
    <t>16 170 01 035</t>
  </si>
  <si>
    <t>16 170 01 036</t>
  </si>
  <si>
    <t>16 170 01 037</t>
  </si>
  <si>
    <t>16 170 01 038</t>
  </si>
  <si>
    <t>18 138 02 026</t>
  </si>
  <si>
    <t>18 184 07 044</t>
  </si>
  <si>
    <t>18 210 07 003</t>
  </si>
  <si>
    <t>18 273 02 016</t>
  </si>
  <si>
    <t>18 273 02 020</t>
  </si>
  <si>
    <t>18 273 02 021</t>
  </si>
  <si>
    <t>18 273 02 022</t>
  </si>
  <si>
    <t>18 273 02 023</t>
  </si>
  <si>
    <t>18 273 02 024</t>
  </si>
  <si>
    <t>18 273 02 025</t>
  </si>
  <si>
    <t>18 273 02 026</t>
  </si>
  <si>
    <t>18 273 02 027</t>
  </si>
  <si>
    <t>18 273 02 028</t>
  </si>
  <si>
    <t>18 318 03 003</t>
  </si>
  <si>
    <t>18 318 03 011</t>
  </si>
  <si>
    <t>18 329 07 127</t>
  </si>
  <si>
    <t>18 278 14 002</t>
  </si>
  <si>
    <t>18 329 07 130</t>
  </si>
  <si>
    <t>18 049 03 001</t>
  </si>
  <si>
    <t>16 024 01 010</t>
  </si>
  <si>
    <t>18 329 02 005</t>
  </si>
  <si>
    <t>18 222 01 011</t>
  </si>
  <si>
    <t>18 196 01 007</t>
  </si>
  <si>
    <t>18 329 07 126</t>
  </si>
  <si>
    <t>18 347 01 015</t>
  </si>
  <si>
    <t>18 347 01 030</t>
  </si>
  <si>
    <t>18 347 01 065</t>
  </si>
  <si>
    <t>18 347 01 029</t>
  </si>
  <si>
    <t>15 200 01 001</t>
  </si>
  <si>
    <t>16 040 01 022</t>
  </si>
  <si>
    <t>18 050 14 024</t>
  </si>
  <si>
    <t>18 050 14 025</t>
  </si>
  <si>
    <t>18 049 03 003</t>
  </si>
  <si>
    <t>Stonecrest Mall</t>
  </si>
  <si>
    <t>Full assessed value</t>
  </si>
  <si>
    <t>Dillards @ Stonecrest</t>
  </si>
  <si>
    <t>Parisian @ Stonecrest</t>
  </si>
  <si>
    <t>Sears @ Stonecrest</t>
  </si>
  <si>
    <t>Macy's @ Stonecrest</t>
  </si>
  <si>
    <t>% Taxes abated</t>
  </si>
  <si>
    <t>J.C. Penney @ Stonecrest</t>
  </si>
  <si>
    <t>Vacant lot @ Stonecrest</t>
  </si>
  <si>
    <t>Pepsi Bottling Group plant</t>
  </si>
  <si>
    <t>Jurisdiction</t>
  </si>
  <si>
    <t>Stonecrest</t>
  </si>
  <si>
    <t>Tucker</t>
  </si>
  <si>
    <t>Marten Transportation Ltd</t>
  </si>
  <si>
    <t>Unincorporated</t>
  </si>
  <si>
    <t>Atlas @ LaVista Hills Apts</t>
  </si>
  <si>
    <t>Brookhaven</t>
  </si>
  <si>
    <t>Publix @ Town Brookhaven</t>
  </si>
  <si>
    <t>Apartments @ Town Brookhaven</t>
  </si>
  <si>
    <t>County taxes abated</t>
  </si>
  <si>
    <t>County taxes paid</t>
  </si>
  <si>
    <t>Keller Williams @ Town Brookhaven</t>
  </si>
  <si>
    <t>Olde Blind Dog Irish Pub @ Town Brookhaven</t>
  </si>
  <si>
    <t>Flying Biscuit @ Town Brookhaven</t>
  </si>
  <si>
    <t>??? @ Town Brookhaven</t>
  </si>
  <si>
    <t>Commercial @ Town Brookhaven</t>
  </si>
  <si>
    <t>L.A. Fitness @ Town Brookhaven</t>
  </si>
  <si>
    <t>Costco @ Town Brookhaven</t>
  </si>
  <si>
    <t>Doraville</t>
  </si>
  <si>
    <t>Alsco uniform rental</t>
  </si>
  <si>
    <t>BT OH LLC / Self storage</t>
  </si>
  <si>
    <t>Cox Automotive @ Perimeter Summit</t>
  </si>
  <si>
    <t>Whole Foods mixed use @ Chamblee</t>
  </si>
  <si>
    <t>Chamblee</t>
  </si>
  <si>
    <t>Perimeter Summit offices</t>
  </si>
  <si>
    <t>Point on Scott Apartments</t>
  </si>
  <si>
    <t>Acuity Lighting</t>
  </si>
  <si>
    <t>Vacant lot @ Pavilion at Lake Hearn</t>
  </si>
  <si>
    <t xml:space="preserve">Commercial </t>
  </si>
  <si>
    <t>Prelude @ Clairmont apartments</t>
  </si>
  <si>
    <t>Dunwoody</t>
  </si>
  <si>
    <t>State Farm -- 58 Perimeter Center E</t>
  </si>
  <si>
    <t>State Farm -- 64 Perimeter Center E</t>
  </si>
  <si>
    <t>Flats at Perimeter Place</t>
  </si>
  <si>
    <t>ALDI</t>
  </si>
  <si>
    <t>Panola Crossings</t>
  </si>
  <si>
    <t>Commercial/eye doctor on Scott Blvd</t>
  </si>
  <si>
    <t>Adam's Garden of Eatin</t>
  </si>
  <si>
    <t>Point on Scott mixed-use</t>
  </si>
  <si>
    <t>County taxes owed</t>
  </si>
  <si>
    <t>Appealed amount</t>
  </si>
  <si>
    <t>Totals</t>
  </si>
  <si>
    <t>Abated personal property</t>
  </si>
  <si>
    <t>Total abatement</t>
  </si>
  <si>
    <t>PARCEL ID</t>
  </si>
  <si>
    <t>Fulton Bonds</t>
  </si>
  <si>
    <t>Fulton Oper</t>
  </si>
  <si>
    <t>Oakley CID</t>
  </si>
  <si>
    <t>Atlanta DID</t>
  </si>
  <si>
    <t>Atlanta Bonds</t>
  </si>
  <si>
    <t>Atlanta General</t>
  </si>
  <si>
    <t>Atlanta Parks</t>
  </si>
  <si>
    <t>Atlanta School Bond</t>
  </si>
  <si>
    <t>Atlanta School</t>
  </si>
  <si>
    <t>Buckhead CID</t>
  </si>
  <si>
    <t>Johns Creek City</t>
  </si>
  <si>
    <t>Midtown CID</t>
  </si>
  <si>
    <t>Airport West CID</t>
  </si>
  <si>
    <t>Perimeter CID</t>
  </si>
  <si>
    <t>State</t>
  </si>
  <si>
    <t>North Fulton CID</t>
  </si>
  <si>
    <t>Service Dist South Fulton</t>
  </si>
  <si>
    <t>Sandy Springs City</t>
  </si>
  <si>
    <t>Union City</t>
  </si>
  <si>
    <t>Fairburn</t>
  </si>
  <si>
    <t>Eastpoint</t>
  </si>
  <si>
    <t>College Park</t>
  </si>
  <si>
    <t>Alpharetta</t>
  </si>
  <si>
    <t>07 -3900-0178-123-6</t>
  </si>
  <si>
    <t xml:space="preserve"> -   </t>
  </si>
  <si>
    <t>09F-0600-0034-070-2</t>
  </si>
  <si>
    <t>09F-0700-0033-087-6</t>
  </si>
  <si>
    <t>09F-1400-0061-502-0</t>
  </si>
  <si>
    <t>09F-1400-0061-509-5</t>
  </si>
  <si>
    <t>09F-1400-0061-510-3</t>
  </si>
  <si>
    <t>09F-1400-0061-511-1</t>
  </si>
  <si>
    <t>09F-3500-0151-141-3</t>
  </si>
  <si>
    <t>09F-3500-0151-256-9</t>
  </si>
  <si>
    <t>11 -1120-0405-015-9</t>
  </si>
  <si>
    <t>13 -0065-  LL-048-5</t>
  </si>
  <si>
    <t>13 -0065-  LL-051-9</t>
  </si>
  <si>
    <t>14 -0051-0002-097-3</t>
  </si>
  <si>
    <t>14 -0051-0002-098-1</t>
  </si>
  <si>
    <t>14 -0051-0004-046-8</t>
  </si>
  <si>
    <t>14 -0051-0004-047-6</t>
  </si>
  <si>
    <t>14 -0051-0004-048-4</t>
  </si>
  <si>
    <t>14 -0051-0004-049-2</t>
  </si>
  <si>
    <t>14 -0051-0004-054-2</t>
  </si>
  <si>
    <t>14 -0051-0004-057-5</t>
  </si>
  <si>
    <t>14 -0051-0004-058-3</t>
  </si>
  <si>
    <t>14 -0051-0004-067-4</t>
  </si>
  <si>
    <t>14 -0051-0004-068-2</t>
  </si>
  <si>
    <t>14 -0051-0005-002-0</t>
  </si>
  <si>
    <t>14 -0051-0005-021-0</t>
  </si>
  <si>
    <t>14 -0051-0005-045-9</t>
  </si>
  <si>
    <t>14 -0051-0005-051-7</t>
  </si>
  <si>
    <t>14 -0051-0005-094-7</t>
  </si>
  <si>
    <t>14 -0066-  LL-117-5</t>
  </si>
  <si>
    <t>14 -0078-0007-013-4</t>
  </si>
  <si>
    <t>14 -0079-0003-072-3</t>
  </si>
  <si>
    <t>14 -0079-0004-049-0</t>
  </si>
  <si>
    <t>14 -0113-  LL-010-5</t>
  </si>
  <si>
    <t>14 -0256-  LL-039-1</t>
  </si>
  <si>
    <t>14 -0256-  LL-040-9</t>
  </si>
  <si>
    <t>17 -0017-  LL-123-6</t>
  </si>
  <si>
    <t>17 -0017-  LL-124-4</t>
  </si>
  <si>
    <t>17 -0034-  LL-165-6</t>
  </si>
  <si>
    <t>17 -0044-  LL-030-0</t>
  </si>
  <si>
    <t>17 -0044-  LL-408-8</t>
  </si>
  <si>
    <t>17 -0045-  LL-059-8</t>
  </si>
  <si>
    <t>17 -0045-  LL-077-0</t>
  </si>
  <si>
    <t>17 -0045-0001-347-5</t>
  </si>
  <si>
    <t>17 -0049-  LL-078-4</t>
  </si>
  <si>
    <t>17 -0049-  LL-080-0</t>
  </si>
  <si>
    <t>17 -0059-  LL-007-0</t>
  </si>
  <si>
    <t>17 -0059-  LL-042-7</t>
  </si>
  <si>
    <t>17 -0062-  LL-040-6</t>
  </si>
  <si>
    <t>17 -0062-  LL-753-4</t>
  </si>
  <si>
    <t>17 -0062-  LL-754-2</t>
  </si>
  <si>
    <t>17 -0062-  LL-981-1</t>
  </si>
  <si>
    <t>17 -0091-  LL-195-3</t>
  </si>
  <si>
    <t>17 -0091-  LL-313-2</t>
  </si>
  <si>
    <t>17 -0091-  LL-314-0</t>
  </si>
  <si>
    <t>17 -0099-  LL-385-2</t>
  </si>
  <si>
    <t>17 -0106-  LL-006-5</t>
  </si>
  <si>
    <t>17 -0106-0002-038-5</t>
  </si>
  <si>
    <t>17 -0106-0004-320-5</t>
  </si>
  <si>
    <t>17 -0106-0005-481-4</t>
  </si>
  <si>
    <t>17 -0106-0005-482-2</t>
  </si>
  <si>
    <t>17 -0106-0005-483-0</t>
  </si>
  <si>
    <t>17 -0106-0006-137-1</t>
  </si>
  <si>
    <t>17 -0107-  LL-033-8</t>
  </si>
  <si>
    <t>17 -0109-0009-041-9</t>
  </si>
  <si>
    <t>17 -0109-0009-043-5</t>
  </si>
  <si>
    <t>21 -5490-1110-042-9</t>
  </si>
  <si>
    <t>22 -5290-1191-051-2</t>
  </si>
  <si>
    <t>17 -0100-0001-187-7</t>
  </si>
  <si>
    <t>22 -5460-1259-138-0</t>
  </si>
  <si>
    <t>% taxes abated</t>
  </si>
  <si>
    <t>School taxes abated</t>
  </si>
  <si>
    <t>City/CID taxes abated</t>
  </si>
  <si>
    <t>Clorox Services Co.</t>
  </si>
  <si>
    <t>Clairion Partners</t>
  </si>
  <si>
    <t>Electrolux</t>
  </si>
  <si>
    <t>Menlo Worldwide Logistics</t>
  </si>
  <si>
    <t>Atlanta Market Place warehouse</t>
  </si>
  <si>
    <t>Del Monte Foods</t>
  </si>
  <si>
    <t>Johns Creek</t>
  </si>
  <si>
    <t>Orthopedics Atlanta</t>
  </si>
  <si>
    <t>11 -0950-0034-045-2</t>
  </si>
  <si>
    <t>12 -2841-0802-089-7</t>
  </si>
  <si>
    <t>Logistics Center/CFA?</t>
  </si>
  <si>
    <t>Naturally Fresh</t>
  </si>
  <si>
    <t>Marquis One office tower</t>
  </si>
  <si>
    <t>Atlanta</t>
  </si>
  <si>
    <t>Marquis Two office tower</t>
  </si>
  <si>
    <t>201 Peachtree St offices</t>
  </si>
  <si>
    <t>International Tower</t>
  </si>
  <si>
    <t>North Tower</t>
  </si>
  <si>
    <t>South Tower</t>
  </si>
  <si>
    <t>One Ninety One Peachtree Tower</t>
  </si>
  <si>
    <t>The Matt at Peachtree Center</t>
  </si>
  <si>
    <t>Harris Tower</t>
  </si>
  <si>
    <t>0 Ellis St</t>
  </si>
  <si>
    <t>0 Harris St</t>
  </si>
  <si>
    <t>221 Ivy St</t>
  </si>
  <si>
    <t xml:space="preserve">Example: </t>
  </si>
  <si>
    <t>$16,118 abated from fulton ops, fulton bonds, 5 atlanta funds, atlanta schools</t>
  </si>
  <si>
    <t>Fulton Operations</t>
  </si>
  <si>
    <t>Atlanta school bond</t>
  </si>
  <si>
    <t>Atlanta school</t>
  </si>
  <si>
    <t>Total</t>
  </si>
  <si>
    <t>Actual 2016 tax</t>
  </si>
  <si>
    <t>Abated 2016</t>
  </si>
  <si>
    <t>Abated %</t>
  </si>
  <si>
    <t>Fulton's tax figures subtract the abated percentage from the assessed value and then multiply the normal tax rate</t>
  </si>
  <si>
    <t>193 Ivy St</t>
  </si>
  <si>
    <t>172 Courtland St</t>
  </si>
  <si>
    <t>Peachtree Center</t>
  </si>
  <si>
    <t>3475 Empire Blvd SW/ Coca-Cola Atlanta Syrup Plant?</t>
  </si>
  <si>
    <t>Americas Mart Building</t>
  </si>
  <si>
    <t>One Georgia Center</t>
  </si>
  <si>
    <t>55 Allen Plaza</t>
  </si>
  <si>
    <t>14 -0080-0003-203-1</t>
  </si>
  <si>
    <t>14 -0079-0011-063-2</t>
  </si>
  <si>
    <t>Renaissance Atlanta Midtown Hotel</t>
  </si>
  <si>
    <t>QTS</t>
  </si>
  <si>
    <t>Marriott Courtyard Atlanta Airport West</t>
  </si>
  <si>
    <t>Hampton Inn Atlanta Airport West</t>
  </si>
  <si>
    <t>14 -0050-0001-062-9</t>
  </si>
  <si>
    <t>14 -0051-0008-011-8</t>
  </si>
  <si>
    <t>14 -0130-0002-103-4</t>
  </si>
  <si>
    <t>Bank of America Plaza</t>
  </si>
  <si>
    <t>One12 Courtland apartments</t>
  </si>
  <si>
    <t>Homewood Suites Atlanta Airport North ATL Hotel</t>
  </si>
  <si>
    <t>East Point</t>
  </si>
  <si>
    <t>Sandy Springs</t>
  </si>
  <si>
    <t>Concourse Office Park--King and Queen</t>
  </si>
  <si>
    <t>Newell Rubbermaid</t>
  </si>
  <si>
    <t>3630 Peachtree offices</t>
  </si>
  <si>
    <t>Phipps Tower</t>
  </si>
  <si>
    <t>SkyHouse Buckhead Apartments</t>
  </si>
  <si>
    <t>Two Alliance Center</t>
  </si>
  <si>
    <t>Epic Lindmont Apartments</t>
  </si>
  <si>
    <t>Apartments</t>
  </si>
  <si>
    <t>Lindbergh-Morosgo Apartments</t>
  </si>
  <si>
    <t>Lindbergh apartments</t>
  </si>
  <si>
    <t>3344 tower in Buckhead</t>
  </si>
  <si>
    <t>SunTrust HQ</t>
  </si>
  <si>
    <t>Terminus office tower</t>
  </si>
  <si>
    <t>Grand Hyatt in Buckhead</t>
  </si>
  <si>
    <t>Life Time Athletic</t>
  </si>
  <si>
    <t>The Prado Sandy Springs shopping center-Taco Mac, Marlow's, 5 Seasons Brewing</t>
  </si>
  <si>
    <t>St. Regis Atlanta hotel in Buckhead</t>
  </si>
  <si>
    <t>98 14th St. Tower</t>
  </si>
  <si>
    <t>Midtown offices</t>
  </si>
  <si>
    <t>77 12th apartments</t>
  </si>
  <si>
    <t>PWC Price Watershouse Cooper</t>
  </si>
  <si>
    <t>Campanile Plaza</t>
  </si>
  <si>
    <t>Turner Broadcasting System</t>
  </si>
  <si>
    <t>One Peachtree Pointe</t>
  </si>
  <si>
    <t>Invesco tower</t>
  </si>
  <si>
    <t>17 -0018-0009-017-9</t>
  </si>
  <si>
    <t>17 -0044-  LL-267-8</t>
  </si>
  <si>
    <t>Post Alexander Apartments</t>
  </si>
  <si>
    <t>ADP</t>
  </si>
  <si>
    <t>HP</t>
  </si>
  <si>
    <t>The Elle of Buckhead apartments</t>
  </si>
  <si>
    <t>T5 Data Centers</t>
  </si>
  <si>
    <t>14 -0049-0002-572-0</t>
  </si>
  <si>
    <t>17 -0107-0004-059-8</t>
  </si>
  <si>
    <t>17 -0107-0005-066-2</t>
  </si>
  <si>
    <t>17 -0150-0007-162-3</t>
  </si>
  <si>
    <t>Full Assessed Value</t>
  </si>
  <si>
    <t>SkyHouse South apartments</t>
  </si>
  <si>
    <t>SkyHouse Midtown apartments</t>
  </si>
  <si>
    <t>Hilton Garden Inn Atlanta Midtown</t>
  </si>
  <si>
    <t>10 Side apartments/mixed-use</t>
  </si>
  <si>
    <t>P00005642623</t>
  </si>
  <si>
    <t>P00005881482</t>
  </si>
  <si>
    <t>P00006003882</t>
  </si>
  <si>
    <t>P00006311757</t>
  </si>
  <si>
    <t>P20070002050</t>
  </si>
  <si>
    <t>P20080000552</t>
  </si>
  <si>
    <t>P20080000907</t>
  </si>
  <si>
    <t>P20080000915</t>
  </si>
  <si>
    <t>P20080000918</t>
  </si>
  <si>
    <t>P20090004611</t>
  </si>
  <si>
    <t>P20090004963</t>
  </si>
  <si>
    <t>P20090004973</t>
  </si>
  <si>
    <t>P20090005217</t>
  </si>
  <si>
    <t>P20090005452</t>
  </si>
  <si>
    <t>P20090005453</t>
  </si>
  <si>
    <t>P20090005458</t>
  </si>
  <si>
    <t>P20090005459</t>
  </si>
  <si>
    <t>P20090005482</t>
  </si>
  <si>
    <t>P20100001034</t>
  </si>
  <si>
    <t>P20100001041</t>
  </si>
  <si>
    <t>P20100001277</t>
  </si>
  <si>
    <t>P20110001434</t>
  </si>
  <si>
    <t>P20110002084</t>
  </si>
  <si>
    <t>P20120003037</t>
  </si>
  <si>
    <t>P20120003041</t>
  </si>
  <si>
    <t>P20140000364</t>
  </si>
  <si>
    <t>P20140002079</t>
  </si>
  <si>
    <t>P20150002208</t>
  </si>
  <si>
    <t>P20150002449</t>
  </si>
  <si>
    <t>P20150002462</t>
  </si>
  <si>
    <t>P20150002594</t>
  </si>
  <si>
    <t>P20150003172</t>
  </si>
  <si>
    <t>P20160002430</t>
  </si>
  <si>
    <t>P20160002678</t>
  </si>
  <si>
    <t>P20160002679</t>
  </si>
  <si>
    <t>P20160002765</t>
  </si>
  <si>
    <t>Full assessed/taxable value</t>
  </si>
  <si>
    <t>Fulton School</t>
  </si>
  <si>
    <t>Taxes owed</t>
  </si>
  <si>
    <t>E-Trade</t>
  </si>
  <si>
    <t>SVC Manufacturing Inc</t>
  </si>
  <si>
    <t>South Fulton</t>
  </si>
  <si>
    <t>Equifax Information Services</t>
  </si>
  <si>
    <t>Taxes abated</t>
  </si>
  <si>
    <t>Owens Brockway Glass Container Inc</t>
  </si>
  <si>
    <t>American Building Supply Inc</t>
  </si>
  <si>
    <t>Fiserv/Checkfree Services Corp.</t>
  </si>
  <si>
    <t>Atlanticus Services Corp.</t>
  </si>
  <si>
    <t>Mandarin Oriental Residences apartments</t>
  </si>
  <si>
    <t>Coca Cola Co.</t>
  </si>
  <si>
    <t>Dendreon Pharmaceuticals</t>
  </si>
  <si>
    <t>Owens Corning Roofing &amp; Asphalt</t>
  </si>
  <si>
    <t>Macy's Systems Technology</t>
  </si>
  <si>
    <t>Alcon Laboratories</t>
  </si>
  <si>
    <t>Cox Communications</t>
  </si>
  <si>
    <t>Maschiopack North America</t>
  </si>
  <si>
    <t>Walmart.com</t>
  </si>
  <si>
    <t>Comcast</t>
  </si>
  <si>
    <t>City taxes abated</t>
  </si>
  <si>
    <t>2016 Ramp up%</t>
  </si>
  <si>
    <t>40% assessed value</t>
  </si>
  <si>
    <t>Full tax</t>
  </si>
  <si>
    <t>Rock Tenn</t>
  </si>
  <si>
    <t>Norcross</t>
  </si>
  <si>
    <t>Suniva</t>
  </si>
  <si>
    <t>Primerica</t>
  </si>
  <si>
    <t>OR if assessed value is the full value</t>
  </si>
  <si>
    <t>Ramp up</t>
  </si>
  <si>
    <t>Town Brookhaven</t>
  </si>
  <si>
    <t>TBS</t>
  </si>
  <si>
    <t>Equifax</t>
  </si>
  <si>
    <t>DeKalb</t>
  </si>
  <si>
    <t>Gwinnett</t>
  </si>
  <si>
    <t>Note: F44 is an estimate based on proportion of abatement in G43:G44</t>
  </si>
  <si>
    <t>Difference in revenue</t>
  </si>
  <si>
    <t>% Abated</t>
  </si>
  <si>
    <t>% County abated</t>
  </si>
  <si>
    <t>Full county tax</t>
  </si>
  <si>
    <t>Difference in county revenue</t>
  </si>
  <si>
    <t>Fulton powerpoint:</t>
  </si>
  <si>
    <t>Taxes no investment</t>
  </si>
  <si>
    <t>Additional taxes w/ investment</t>
  </si>
  <si>
    <t>Total taxes pre-abatement</t>
  </si>
  <si>
    <t>In Millions</t>
  </si>
  <si>
    <t>Abatement cost</t>
  </si>
  <si>
    <t>Taxes paid in 2016</t>
  </si>
  <si>
    <t>Net additional benefit</t>
  </si>
  <si>
    <t>My figures</t>
  </si>
  <si>
    <t>Fulton + Atlanta</t>
  </si>
  <si>
    <t>Fact check works when compared to Fulton presentation!</t>
  </si>
  <si>
    <t>Pepsi Bottling Group plant/ PBC Stone Mountain Plant</t>
  </si>
  <si>
    <t>Fiserv</t>
  </si>
  <si>
    <t>Parcel ID</t>
  </si>
  <si>
    <t>B393164</t>
  </si>
  <si>
    <t>PRIMERICA LIFE INSURANCE CO</t>
  </si>
  <si>
    <t>B341123</t>
  </si>
  <si>
    <t>Avalon. 2200 Avalon Blvd. 36.65 acres. Apartments, retail, supermarket, restaurant, bank, department stores, movie. Antico Pizza, Ted's Montana Grill, Bocado Burger</t>
  </si>
  <si>
    <t>R7116 005Z</t>
  </si>
  <si>
    <t>Full market value</t>
  </si>
  <si>
    <t>Dev Auth Market Value</t>
  </si>
  <si>
    <t>Total Market Value</t>
  </si>
  <si>
    <t>R7116 005</t>
  </si>
  <si>
    <t>B201616487</t>
  </si>
  <si>
    <t>Dev auth Primerica</t>
  </si>
  <si>
    <t>B numbers are personal property</t>
  </si>
  <si>
    <t>B201616483</t>
  </si>
  <si>
    <t>Dev auth Comcast</t>
  </si>
  <si>
    <t>R6243 089X</t>
  </si>
  <si>
    <t>Dev auth Rock Tenn</t>
  </si>
  <si>
    <t>R6243 089</t>
  </si>
  <si>
    <t>R numbers are real estate</t>
  </si>
  <si>
    <t>R6243 117X</t>
  </si>
  <si>
    <t>R6243 117</t>
  </si>
  <si>
    <t>Dev auth Suniva</t>
  </si>
  <si>
    <t>R6273 175X</t>
  </si>
  <si>
    <t>R6273 175</t>
  </si>
  <si>
    <t>B200905117</t>
  </si>
  <si>
    <t>B201616484</t>
  </si>
  <si>
    <t>Gwinnett operations abated</t>
  </si>
  <si>
    <t>Gwinnett Bonds Abated</t>
  </si>
  <si>
    <t>Market value</t>
  </si>
  <si>
    <t>Address</t>
  </si>
  <si>
    <t>504 Tharasher St., Norcross, GA</t>
  </si>
  <si>
    <t>formula: inverse of abated percent * abated</t>
  </si>
  <si>
    <t>500 Thrasher St., Norcross, GA</t>
  </si>
  <si>
    <t>6200 THE CORNERS VARIOUS, Norcross, GA</t>
  </si>
  <si>
    <t>0 Various locations</t>
  </si>
  <si>
    <t>5775 Peachtree Industrial Blvd, Norcross, GA</t>
  </si>
  <si>
    <t>2188 DULUTH HWY STE 195</t>
  </si>
  <si>
    <t>2188 DULUTH HWY</t>
  </si>
  <si>
    <t>Abated assessed value</t>
  </si>
  <si>
    <t>% county taxes abated</t>
  </si>
  <si>
    <t>% total taxes abated</t>
  </si>
  <si>
    <t>City taxes owed</t>
  </si>
  <si>
    <t>School taxes paid</t>
  </si>
  <si>
    <t>city tax data added based on county tax abatement percentage, and abatement percentage numbers per jurisdiction check out for accuracy</t>
  </si>
  <si>
    <t>Grand total</t>
  </si>
  <si>
    <t>Question: Did Comcast pay any tax in 2016? Was it a true 100% abatement? Property ID given for comcast doesn't show a 2015 bill.</t>
  </si>
  <si>
    <t>Fact check:</t>
  </si>
  <si>
    <t>Abated assessed value as a percent of market value</t>
  </si>
  <si>
    <t>Abated assessed value as a percent of 40% market value</t>
  </si>
  <si>
    <t>Abatement percent based on assessed value</t>
  </si>
  <si>
    <t>Unincorporated DeKalb</t>
  </si>
  <si>
    <t>Second Rock Tenn property doesn't appear to be included in summary pdf, altering school tax abatement amount (+113)</t>
  </si>
  <si>
    <t>Aggregated county abatement % is 2 points higher than total abatement % (57% vs. 55%). That's because these are an average of various abated amounts, some higher than others.</t>
  </si>
  <si>
    <t>Fulton - City of Atlanta</t>
  </si>
  <si>
    <t>1595 OAKLEY INDUSTRIAL BLVD</t>
  </si>
  <si>
    <t>5400 SPENCE RD</t>
  </si>
  <si>
    <t>7780 SPENCE RD</t>
  </si>
  <si>
    <t>6705 OAKLEY INDUSTRIAL BLVD</t>
  </si>
  <si>
    <t>6710 OAKLEY INDUSTRIAL BLVD</t>
  </si>
  <si>
    <t>6715 OAKLEY INDUSTRIAL BLVD</t>
  </si>
  <si>
    <t>4475 SOUTH FULTON PKWY</t>
  </si>
  <si>
    <t>11380 TECHNOLOGY CIR</t>
  </si>
  <si>
    <t>5955 STATE BRIDGE RD</t>
  </si>
  <si>
    <t>2200 Avalon Blvd</t>
  </si>
  <si>
    <t>3455 NATURALLY FRESH BLVD</t>
  </si>
  <si>
    <t>3511 NATURALLY FRESH BLVD</t>
  </si>
  <si>
    <t>245 PEACHTREE CENTER AVE NE</t>
  </si>
  <si>
    <t>285 PEACHTREE CENTER AVE NE</t>
  </si>
  <si>
    <t>201 PEACHTREE ST NE</t>
  </si>
  <si>
    <t>192 PEACHTREE CENTER AVE NE</t>
  </si>
  <si>
    <t>235 PEACHTREE ST NE</t>
  </si>
  <si>
    <t>225 PEACHTREE ST NE</t>
  </si>
  <si>
    <t>229 PEACHTREE ST NE</t>
  </si>
  <si>
    <t>231 PEACHTREE ST NE</t>
  </si>
  <si>
    <t>233 PEACHTREE ST NE</t>
  </si>
  <si>
    <t>Avalon</t>
  </si>
  <si>
    <t>191 PEACHTREE ST NE</t>
  </si>
  <si>
    <t>Hsu's Gourmet Chinese Restaurant</t>
  </si>
  <si>
    <t>Peachtree Center Garage</t>
  </si>
  <si>
    <t>193 Ivy St. NE</t>
  </si>
  <si>
    <t>The Mall at Peachtree Center</t>
  </si>
  <si>
    <t>227 Courtland St NE</t>
  </si>
  <si>
    <t>3475 EMPIRE BLVD SW</t>
  </si>
  <si>
    <t>Coca-Cola Atlanta Syrup Plant</t>
  </si>
  <si>
    <t>235 WILLIAMS ST NW</t>
  </si>
  <si>
    <t>570 SPRING ST NW</t>
  </si>
  <si>
    <t>600 WEST PEACHTREE ST NW</t>
  </si>
  <si>
    <t>55 IVAN ALLEN JR BLVD</t>
  </si>
  <si>
    <t>866 WEST PEACHTREE ST NW</t>
  </si>
  <si>
    <t>1033 JEFFERSON AVE</t>
  </si>
  <si>
    <t>QTS / Quality Investment/Seyfarth</t>
  </si>
  <si>
    <t>3400 CAMP CREEK PKWY</t>
  </si>
  <si>
    <t>3450 CREEK POINTE DR</t>
  </si>
  <si>
    <t>600 PEACHTREE ST NE</t>
  </si>
  <si>
    <t>112 COURTLAND ST NE</t>
  </si>
  <si>
    <t>3405 BOBBY BROWN PKWY</t>
  </si>
  <si>
    <t>5900 CONCOURSE PKWY</t>
  </si>
  <si>
    <t>6 CONCOURSE PKWY</t>
  </si>
  <si>
    <t>3 GLENLAKE PKWY</t>
  </si>
  <si>
    <t>3630 PEACHTREE RD NE</t>
  </si>
  <si>
    <t>3438 PEACHTREE RD NE</t>
  </si>
  <si>
    <t>3390 STRATFORD RD</t>
  </si>
  <si>
    <t>3560 LENOX RD NE</t>
  </si>
  <si>
    <t>639 LINDBERGH WAY NE</t>
  </si>
  <si>
    <t>737 LINDBERGH DR NE</t>
  </si>
  <si>
    <t>480 LINDBERGH DR NE</t>
  </si>
  <si>
    <t>520 MAIN ST</t>
  </si>
  <si>
    <t>3344 PEACHTREE ST NE</t>
  </si>
  <si>
    <t>3344 Tower</t>
  </si>
  <si>
    <t>3333 PEACHTREE RD NE</t>
  </si>
  <si>
    <t>3280 PEACHTREE RD NE</t>
  </si>
  <si>
    <t>3300 PEACHTREE RD NE</t>
  </si>
  <si>
    <t>5600 ROSWELL RD</t>
  </si>
  <si>
    <t>5580 ROSWELL RD</t>
  </si>
  <si>
    <t>98 FOURTEENTH ST NE</t>
  </si>
  <si>
    <t>1145 PEACHTREE ST NE</t>
  </si>
  <si>
    <t>77 12TH ST</t>
  </si>
  <si>
    <t>1075 PEACHTREE ST NE</t>
  </si>
  <si>
    <t>88 WEST PACES FERRY RD NW</t>
  </si>
  <si>
    <t>1155 JUNIPER ST NE</t>
  </si>
  <si>
    <t>1015 TECHWOOD DR NW</t>
  </si>
  <si>
    <t>1543 PEACHTREE ST</t>
  </si>
  <si>
    <t>1545 PEACHTREE ST</t>
  </si>
  <si>
    <t>6305 PEACHTREE DUNWOODY RD</t>
  </si>
  <si>
    <t>600 PHIPPS BLVD</t>
  </si>
  <si>
    <t>5880 WINDWARD PKWY</t>
  </si>
  <si>
    <t>2525 WESTSIDE PKWY</t>
  </si>
  <si>
    <t>235 PHARR RD NE</t>
  </si>
  <si>
    <t>3200 WEBB BRIDGE RD</t>
  </si>
  <si>
    <t>4125 WINDWARD PLAZA DR</t>
  </si>
  <si>
    <t>1650 WESTGATE PKY</t>
  </si>
  <si>
    <t>1550 PEACHTREE ST NW</t>
  </si>
  <si>
    <t>Various locations</t>
  </si>
  <si>
    <t>3107 SYLVAN RD</t>
  </si>
  <si>
    <t>5 CONCOURSE PKWY</t>
  </si>
  <si>
    <t>3376 PEACHTREE RD NE</t>
  </si>
  <si>
    <t>Mansion on Peachtree</t>
  </si>
  <si>
    <t>1555 PEACHTREE ST NE</t>
  </si>
  <si>
    <t>1525 WINDWARD CONCOURSE</t>
  </si>
  <si>
    <t>1100 ABERNATHY RD NE</t>
  </si>
  <si>
    <t>3791 BROWNS MILL RD</t>
  </si>
  <si>
    <t>1001 GREAT SOUTHWEST PKWY</t>
  </si>
  <si>
    <t>1505 WINDWARD CONCOURSE PKWY</t>
  </si>
  <si>
    <t>4775 FREDERICK DR</t>
  </si>
  <si>
    <t>11460 JOHNS CREEK PKWY</t>
  </si>
  <si>
    <t>1650 WESTGATE PARKWAY</t>
  </si>
  <si>
    <t>6205 PEACHTREE DUNWOODY RD</t>
  </si>
  <si>
    <t>1 COCA COLA PLZ NW</t>
  </si>
  <si>
    <t>3710 ATLANTA INDUSTRIAL PKWY NW</t>
  </si>
  <si>
    <t>6055 SOUTH FULTON PKWY</t>
  </si>
  <si>
    <t>4700 NORTH POINT PKWY</t>
  </si>
  <si>
    <t>1003 DONNELLY AVE SW</t>
  </si>
  <si>
    <t>2900 WESTSIDE DR</t>
  </si>
  <si>
    <t>One12 Courtland Apartments/Condoss</t>
  </si>
  <si>
    <t>SkyHouse Buckhead Apartments/Condoss</t>
  </si>
  <si>
    <t>Epic Lindmont Apartments/Condoss</t>
  </si>
  <si>
    <t>Apartments/Condoss</t>
  </si>
  <si>
    <t>Lindbergh-Morosgo Apartments/Condoss</t>
  </si>
  <si>
    <t>Lindbergh Apartments/Condoss</t>
  </si>
  <si>
    <t>77 12th Apartments/Condoss</t>
  </si>
  <si>
    <t>Post Alexander Apartments/Condoss</t>
  </si>
  <si>
    <t>The Elle of Buckhead Apartments/Condoss</t>
  </si>
  <si>
    <t>100 SIXTH ST</t>
  </si>
  <si>
    <t>1080 WEST PEACHTREE ST NW</t>
  </si>
  <si>
    <t>97 TENTH ST NW</t>
  </si>
  <si>
    <t>643 TENTH ST NW</t>
  </si>
  <si>
    <t>SkyHouse South apartments/condos</t>
  </si>
  <si>
    <t>SkyHouse Midtown apartments/cpndos</t>
  </si>
  <si>
    <t>10 Side apartments/condos/mixed-use</t>
  </si>
  <si>
    <t>2929 TURNER HILL RD</t>
  </si>
  <si>
    <t>8050 MALL PKWY</t>
  </si>
  <si>
    <t>8010 MALL PKWY</t>
  </si>
  <si>
    <t>8020 MALL PKWY</t>
  </si>
  <si>
    <t>8030 MALL PKWY</t>
  </si>
  <si>
    <t>8040 MALL PKWY</t>
  </si>
  <si>
    <t>8006 MALL RING RD</t>
  </si>
  <si>
    <t>1644 ROCK MOUNTAIN BLVD</t>
  </si>
  <si>
    <t>Pepsi Bottling Group</t>
  </si>
  <si>
    <t>4700 ROGER MARTEN WAY</t>
  </si>
  <si>
    <t>2200 PARKLAKE DR</t>
  </si>
  <si>
    <t>104 TOWN BLVD</t>
  </si>
  <si>
    <t>1105 TOWN BLVD</t>
  </si>
  <si>
    <t>804 TOWN BLVD</t>
  </si>
  <si>
    <t>705 TOWN BLVD Q</t>
  </si>
  <si>
    <t>705 TOWN BLVD R</t>
  </si>
  <si>
    <t>705 TOWN BLVD S</t>
  </si>
  <si>
    <t>305 BROOKHAVEN AVE A</t>
  </si>
  <si>
    <t>307 BROOKHAVEN AVE</t>
  </si>
  <si>
    <t>500 BROOKHAVEN AVE</t>
  </si>
  <si>
    <t>105 TOWN BLVD</t>
  </si>
  <si>
    <t>4111 PLEASANTDALE RD</t>
  </si>
  <si>
    <t>4159 PLEASANTDALE RD</t>
  </si>
  <si>
    <t>3003 SUMMIT BLVD</t>
  </si>
  <si>
    <t>4961 PEACHTREE INDUSTRIAL BLVD</t>
  </si>
  <si>
    <t>4004 SUMMIT BLVD</t>
  </si>
  <si>
    <t>2532 N DECATUR RD</t>
  </si>
  <si>
    <t>1 ACUITY WAY</t>
  </si>
  <si>
    <t>1396 LAKE HEARN DR</t>
  </si>
  <si>
    <t>5150 N ROYAL ATLANTA DR</t>
  </si>
  <si>
    <t>2924 4 CLAIRMONT RD</t>
  </si>
  <si>
    <t>4000 SUMMIT BLVD</t>
  </si>
  <si>
    <t>58 PERIMETER CTR E</t>
  </si>
  <si>
    <t>64 PERIMETER CTR E</t>
  </si>
  <si>
    <t>60 PERIMETER CTR E</t>
  </si>
  <si>
    <t>3480 MEMORIAL DR</t>
  </si>
  <si>
    <t>2617 PANOLA RD</t>
  </si>
  <si>
    <t>1457 SCOTT BLVD</t>
  </si>
  <si>
    <t>1451 SCOTT BLVD</t>
  </si>
  <si>
    <t>588 BARTON WAY</t>
  </si>
  <si>
    <t>16-0500-0-004-0</t>
  </si>
  <si>
    <t>16-0500-0-001-0</t>
  </si>
  <si>
    <t>Abated value</t>
  </si>
  <si>
    <t>Taxable value</t>
  </si>
  <si>
    <t>18-0704-0-004-0</t>
  </si>
  <si>
    <t>18-0704-0-003-0</t>
  </si>
  <si>
    <t>FedEX Phase I</t>
  </si>
  <si>
    <t>20-0175-0-113-0</t>
  </si>
  <si>
    <t>20-0175-0-008-0</t>
  </si>
  <si>
    <t>FedEX Phase II</t>
  </si>
  <si>
    <t>Home Depot USA</t>
  </si>
  <si>
    <t>17-0885-0-057-0</t>
  </si>
  <si>
    <t>17-0885-0-032-0</t>
  </si>
  <si>
    <t>Keystone Automotive Group</t>
  </si>
  <si>
    <t>18-0685-0-004-0</t>
  </si>
  <si>
    <t>18-0685-0-001-0</t>
  </si>
  <si>
    <t>Mathes Family Riverside</t>
  </si>
  <si>
    <t>18-0868-0-011-0</t>
  </si>
  <si>
    <t>18-0868-0-002-0</t>
  </si>
  <si>
    <t>17-0884-0-101-0</t>
  </si>
  <si>
    <t>Printpack</t>
  </si>
  <si>
    <t>17-0884-0-001-0</t>
  </si>
  <si>
    <t>17-0801-0-017-0</t>
  </si>
  <si>
    <t>17-0801-0-003-0</t>
  </si>
  <si>
    <t>P07000385</t>
  </si>
  <si>
    <t>P07000387</t>
  </si>
  <si>
    <t>P11000019</t>
  </si>
  <si>
    <t>P11000020</t>
  </si>
  <si>
    <t>P07000383</t>
  </si>
  <si>
    <t>P07000384</t>
  </si>
  <si>
    <t>Home Depot Expansion</t>
  </si>
  <si>
    <t>P16000820</t>
  </si>
  <si>
    <t>P16000821</t>
  </si>
  <si>
    <t>Home Depot (Chastain Meadows)</t>
  </si>
  <si>
    <t>P13000869</t>
  </si>
  <si>
    <t>P13000868</t>
  </si>
  <si>
    <t>P07000390</t>
  </si>
  <si>
    <t>P07000391</t>
  </si>
  <si>
    <t>NCR</t>
  </si>
  <si>
    <t>P12000214</t>
  </si>
  <si>
    <t>P13000780</t>
  </si>
  <si>
    <t>Novelis Global Technology</t>
  </si>
  <si>
    <t>Osmotica</t>
  </si>
  <si>
    <t>P120000601</t>
  </si>
  <si>
    <t>P120000602</t>
  </si>
  <si>
    <t>P08000365</t>
  </si>
  <si>
    <t>P08000366</t>
  </si>
  <si>
    <t>Quintiles Laboratories</t>
  </si>
  <si>
    <t>P09000606</t>
  </si>
  <si>
    <t>P09000607</t>
  </si>
  <si>
    <t>Cole of Kennesaw/Home Depot USA</t>
  </si>
  <si>
    <t>3074 CHASTAIN MEADOWS PKWY</t>
  </si>
  <si>
    <t>Town Center CID</t>
  </si>
  <si>
    <t>Six Flags Special Services District</t>
  </si>
  <si>
    <t>School taxes owed</t>
  </si>
  <si>
    <t>7800 THIRD FLAG PKWY</t>
  </si>
  <si>
    <t>7800 3rd Flag Jadow/Six Flags</t>
  </si>
  <si>
    <t>1675 AIRPORT RD</t>
  </si>
  <si>
    <t>1676 AIRPORT RD</t>
  </si>
  <si>
    <t>1677 AIRPORT RD</t>
  </si>
  <si>
    <t>2580 BERT ADAMS RD</t>
  </si>
  <si>
    <t>Cumberland CID</t>
  </si>
  <si>
    <t>600 HARTMAN INDUSTRIAL CT</t>
  </si>
  <si>
    <t>8225 TROON CIR</t>
  </si>
  <si>
    <t>2800 OVERLOOK PKWY SE</t>
  </si>
  <si>
    <t>1600 TERRELL MILL RD</t>
  </si>
  <si>
    <t>County Cumberland Special District 2</t>
  </si>
  <si>
    <t>2455 PACES FERRY RD</t>
  </si>
  <si>
    <t>3095 SATELLITE BLVD</t>
  </si>
  <si>
    <t>P13000442</t>
  </si>
  <si>
    <t>P17000611</t>
  </si>
  <si>
    <t>1950 VAUGHN RD</t>
  </si>
  <si>
    <t>895 SAWYER RD</t>
  </si>
  <si>
    <t>Marietta</t>
  </si>
  <si>
    <t>Cobb</t>
  </si>
  <si>
    <t>Invest Atlanta</t>
  </si>
  <si>
    <t>City of Atlanta</t>
  </si>
  <si>
    <t>Unincorporated Cobb</t>
  </si>
  <si>
    <t>Unincorporated Gwinnett</t>
  </si>
  <si>
    <t>Fulton Development Authority</t>
  </si>
  <si>
    <t>Cox</t>
  </si>
  <si>
    <t>4476 SOUTH FULTON PKWY</t>
  </si>
  <si>
    <t>6716 OAKLEY INDUSTRIAL BLVD</t>
  </si>
  <si>
    <t>FedEx</t>
  </si>
  <si>
    <t>2526 WESTSIDE PKWY</t>
  </si>
  <si>
    <t>Invesco</t>
  </si>
  <si>
    <t>1556 PEACHTREE ST NE</t>
  </si>
  <si>
    <t>Point on Scott</t>
  </si>
  <si>
    <t>State Farm</t>
  </si>
  <si>
    <t>None</t>
  </si>
  <si>
    <t>Various DeKalb locations</t>
  </si>
  <si>
    <t>DeKalb personal property</t>
  </si>
  <si>
    <t>SkyHouse Buckhead Apartments/condos</t>
  </si>
  <si>
    <t>77 12th Apartments/condos</t>
  </si>
  <si>
    <t>The Elle of Buckhead Apartments/condos</t>
  </si>
  <si>
    <t>One12 Courtland Apartments/condos</t>
  </si>
  <si>
    <t>Post Alexander Apartments/condos</t>
  </si>
  <si>
    <t>Epic Lindmont Apartments/condos</t>
  </si>
  <si>
    <t>Lindbergh-Morosgo Apartments/condos</t>
  </si>
  <si>
    <t>Apartments/condos</t>
  </si>
  <si>
    <t>Lindbergh Apartments/condos</t>
  </si>
  <si>
    <t>Skyhouse apartments</t>
  </si>
  <si>
    <t>School real % abated</t>
  </si>
  <si>
    <t>School total % abated</t>
  </si>
  <si>
    <t>AJC_JURISDICTION</t>
  </si>
  <si>
    <t>AJC_PROPERTY</t>
  </si>
  <si>
    <t>Home Depot</t>
  </si>
  <si>
    <t>Dillards</t>
  </si>
  <si>
    <t>Flying Biscuit</t>
  </si>
  <si>
    <t>Keller Williams</t>
  </si>
  <si>
    <t>J.C. Penney</t>
  </si>
  <si>
    <t>L.A. Fitness</t>
  </si>
  <si>
    <t>Lindbergh Apartments</t>
  </si>
  <si>
    <t>Chick-Fil-A Headquarters</t>
  </si>
  <si>
    <t xml:space="preserve">Macy's </t>
  </si>
  <si>
    <t>Olde Blind Dog Irish Pub</t>
  </si>
  <si>
    <t>One12 Courtland Apartments</t>
  </si>
  <si>
    <t>Parisian</t>
  </si>
  <si>
    <t>Prelude  Clairmont Apartments</t>
  </si>
  <si>
    <t xml:space="preserve">Publix </t>
  </si>
  <si>
    <t xml:space="preserve">Sears </t>
  </si>
  <si>
    <t xml:space="preserve">Whole Foods/mixed use </t>
  </si>
  <si>
    <t>Vacant lot at Stonecrest</t>
  </si>
  <si>
    <t>Vacant lot at Pavilion at Lake Hearn</t>
  </si>
  <si>
    <t>STATUS</t>
  </si>
  <si>
    <t>COMBINED</t>
  </si>
  <si>
    <t>ASKING MARK</t>
  </si>
  <si>
    <t>MISSING</t>
  </si>
  <si>
    <t>SEPARATED</t>
  </si>
  <si>
    <t>Asking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</si>
</sst>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  <numFmt numFmtId="166" formatCode="0.00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  <xf numFmtId="1" fontId="0" fillId="0" borderId="0" xfId="0" applyNumberFormat="1"/>
    <xf numFmtId="6" fontId="0" fillId="0" borderId="0" xfId="0" applyNumberFormat="1"/>
    <xf numFmtId="9" fontId="0" fillId="0" borderId="0" xfId="0" applyNumberFormat="1"/>
    <xf numFmtId="3" fontId="0" fillId="0" borderId="0" xfId="0" applyNumberFormat="1"/>
    <xf numFmtId="10" fontId="0" fillId="0" borderId="0" xfId="0" applyNumberFormat="1"/>
    <xf numFmtId="9" fontId="0" fillId="0" borderId="0" xfId="2" applyFont="1"/>
    <xf numFmtId="4" fontId="0" fillId="0" borderId="0" xfId="0" applyNumberFormat="1"/>
    <xf numFmtId="44" fontId="0" fillId="0" borderId="0" xfId="1" applyNumberFormat="1" applyFont="1"/>
    <xf numFmtId="0" fontId="0" fillId="0" borderId="0" xfId="1" applyNumberFormat="1" applyFont="1"/>
    <xf numFmtId="164" fontId="0" fillId="0" borderId="0" xfId="0" applyNumberFormat="1"/>
    <xf numFmtId="164" fontId="2" fillId="0" borderId="0" xfId="0" applyNumberFormat="1" applyFont="1"/>
    <xf numFmtId="165" fontId="0" fillId="0" borderId="0" xfId="1" applyNumberFormat="1" applyFont="1"/>
    <xf numFmtId="165" fontId="2" fillId="0" borderId="0" xfId="1" applyNumberFormat="1" applyFont="1"/>
    <xf numFmtId="164" fontId="0" fillId="0" borderId="0" xfId="0" applyNumberFormat="1" applyFont="1"/>
    <xf numFmtId="0" fontId="0" fillId="0" borderId="0" xfId="0" applyFont="1"/>
    <xf numFmtId="164" fontId="1" fillId="0" borderId="0" xfId="1" applyNumberFormat="1" applyFont="1"/>
    <xf numFmtId="9" fontId="1" fillId="0" borderId="0" xfId="2" applyFont="1"/>
    <xf numFmtId="9" fontId="2" fillId="0" borderId="0" xfId="2" applyFont="1"/>
    <xf numFmtId="9" fontId="2" fillId="0" borderId="0" xfId="0" applyNumberFormat="1" applyFont="1"/>
    <xf numFmtId="44" fontId="2" fillId="0" borderId="0" xfId="1" applyNumberFormat="1" applyFont="1"/>
    <xf numFmtId="0" fontId="2" fillId="0" borderId="0" xfId="1" applyNumberFormat="1" applyFont="1"/>
    <xf numFmtId="44" fontId="2" fillId="0" borderId="0" xfId="0" applyNumberFormat="1" applyFont="1"/>
    <xf numFmtId="44" fontId="2" fillId="0" borderId="0" xfId="2" applyNumberFormat="1" applyFont="1"/>
    <xf numFmtId="4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left"/>
    </xf>
    <xf numFmtId="37" fontId="0" fillId="0" borderId="2" xfId="0" applyNumberFormat="1" applyBorder="1"/>
    <xf numFmtId="0" fontId="0" fillId="0" borderId="3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Border="1"/>
    <xf numFmtId="0" fontId="0" fillId="0" borderId="0" xfId="0" applyFill="1" applyBorder="1"/>
    <xf numFmtId="0" fontId="0" fillId="0" borderId="5" xfId="0" applyFill="1" applyBorder="1"/>
    <xf numFmtId="164" fontId="0" fillId="0" borderId="2" xfId="1" applyNumberFormat="1" applyFont="1" applyBorder="1"/>
    <xf numFmtId="164" fontId="0" fillId="0" borderId="0" xfId="1" applyNumberFormat="1" applyFont="1" applyBorder="1"/>
    <xf numFmtId="164" fontId="0" fillId="0" borderId="3" xfId="1" applyNumberFormat="1" applyFont="1" applyBorder="1"/>
    <xf numFmtId="164" fontId="0" fillId="0" borderId="2" xfId="1" applyNumberFormat="1" applyFont="1" applyFill="1" applyBorder="1"/>
    <xf numFmtId="164" fontId="0" fillId="0" borderId="0" xfId="1" applyNumberFormat="1" applyFont="1" applyFill="1" applyBorder="1"/>
    <xf numFmtId="164" fontId="0" fillId="0" borderId="3" xfId="1" applyNumberFormat="1" applyFont="1" applyFill="1" applyBorder="1"/>
    <xf numFmtId="164" fontId="0" fillId="0" borderId="4" xfId="1" applyNumberFormat="1" applyFont="1" applyBorder="1"/>
    <xf numFmtId="0" fontId="2" fillId="0" borderId="0" xfId="0" applyNumberFormat="1" applyFont="1"/>
    <xf numFmtId="0" fontId="0" fillId="0" borderId="0" xfId="0" applyNumberFormat="1"/>
    <xf numFmtId="0" fontId="0" fillId="0" borderId="0" xfId="1" applyNumberFormat="1" applyFont="1" applyAlignment="1">
      <alignment horizontal="left"/>
    </xf>
    <xf numFmtId="6" fontId="0" fillId="0" borderId="0" xfId="0" applyNumberFormat="1" applyFont="1"/>
    <xf numFmtId="166" fontId="0" fillId="0" borderId="0" xfId="2" applyNumberFormat="1" applyFont="1"/>
    <xf numFmtId="0" fontId="5" fillId="0" borderId="0" xfId="0" applyFont="1"/>
    <xf numFmtId="164" fontId="5" fillId="0" borderId="0" xfId="1" applyNumberFormat="1" applyFont="1"/>
    <xf numFmtId="0" fontId="6" fillId="0" borderId="0" xfId="0" applyFont="1"/>
  </cellXfs>
  <cellStyles count="27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4" x14ac:dyDescent="0"/>
  <cols>
    <col min="1" max="1" width="27.5" style="47" customWidth="1"/>
    <col min="2" max="2" width="40.83203125" style="47" customWidth="1"/>
    <col min="3" max="3" width="11.83203125" style="47" customWidth="1"/>
    <col min="4" max="4" width="15.6640625" style="3" customWidth="1"/>
    <col min="5" max="6" width="13.6640625" style="3" customWidth="1"/>
  </cols>
  <sheetData>
    <row r="1" spans="1:7">
      <c r="A1" s="46" t="s">
        <v>1</v>
      </c>
      <c r="B1" s="46" t="s">
        <v>411</v>
      </c>
      <c r="C1" s="46" t="s">
        <v>52</v>
      </c>
      <c r="D1" s="2" t="s">
        <v>326</v>
      </c>
      <c r="E1" s="2" t="s">
        <v>328</v>
      </c>
      <c r="F1" s="2" t="s">
        <v>333</v>
      </c>
      <c r="G1" s="1" t="s">
        <v>190</v>
      </c>
    </row>
    <row r="2" spans="1:7">
      <c r="A2" s="47" t="s">
        <v>457</v>
      </c>
      <c r="B2" s="47" t="s">
        <v>445</v>
      </c>
      <c r="C2" s="47" t="s">
        <v>119</v>
      </c>
      <c r="D2" s="3">
        <v>338344500</v>
      </c>
      <c r="E2" s="3">
        <v>2566884</v>
      </c>
      <c r="F2" s="3">
        <v>2566884</v>
      </c>
      <c r="G2" s="9">
        <f t="shared" ref="G2:G24" si="0">SUM(F2/(E2+F2))</f>
        <v>0.5</v>
      </c>
    </row>
    <row r="3" spans="1:7">
      <c r="A3" s="47" t="s">
        <v>358</v>
      </c>
      <c r="B3" s="47" t="s">
        <v>567</v>
      </c>
      <c r="C3" s="47" t="s">
        <v>58</v>
      </c>
      <c r="D3" s="3">
        <v>168022076</v>
      </c>
      <c r="E3" s="3">
        <v>716934.36186440685</v>
      </c>
      <c r="F3" s="3">
        <v>1782930.8279039999</v>
      </c>
      <c r="G3" s="9">
        <f t="shared" si="0"/>
        <v>0.71321079040633184</v>
      </c>
    </row>
    <row r="4" spans="1:7">
      <c r="A4" s="47" t="s">
        <v>244</v>
      </c>
      <c r="B4" s="47" t="s">
        <v>475</v>
      </c>
      <c r="C4" s="47" t="s">
        <v>206</v>
      </c>
      <c r="D4" s="3">
        <v>226915000</v>
      </c>
      <c r="E4" s="3">
        <v>2630398.5</v>
      </c>
      <c r="F4" s="3">
        <v>1753599</v>
      </c>
      <c r="G4" s="9">
        <f t="shared" si="0"/>
        <v>0.4</v>
      </c>
    </row>
    <row r="5" spans="1:7">
      <c r="A5" s="47" t="s">
        <v>671</v>
      </c>
      <c r="B5" s="47" t="s">
        <v>528</v>
      </c>
      <c r="C5" s="47" t="s">
        <v>248</v>
      </c>
      <c r="D5" s="3">
        <v>282684703</v>
      </c>
      <c r="E5" s="3">
        <v>2697686.4533148203</v>
      </c>
      <c r="F5" s="3">
        <v>1402172.279816</v>
      </c>
      <c r="G5" s="9">
        <f t="shared" si="0"/>
        <v>0.34200502287678675</v>
      </c>
    </row>
    <row r="6" spans="1:7">
      <c r="A6" s="47" t="s">
        <v>271</v>
      </c>
      <c r="B6" s="47" t="s">
        <v>502</v>
      </c>
      <c r="C6" s="47" t="s">
        <v>206</v>
      </c>
      <c r="D6" s="3">
        <v>215421486</v>
      </c>
      <c r="E6" s="3">
        <v>2561769.7317193281</v>
      </c>
      <c r="F6" s="3">
        <v>1228711.6000000001</v>
      </c>
      <c r="G6" s="9">
        <f t="shared" si="0"/>
        <v>0.32415714324140138</v>
      </c>
    </row>
    <row r="7" spans="1:7">
      <c r="A7" s="47" t="s">
        <v>343</v>
      </c>
      <c r="B7" s="47" t="s">
        <v>526</v>
      </c>
      <c r="C7" s="47" t="s">
        <v>199</v>
      </c>
      <c r="D7" s="3">
        <v>198532937</v>
      </c>
      <c r="E7" s="3">
        <v>1476624.3265276744</v>
      </c>
      <c r="F7" s="3">
        <v>1187131.8</v>
      </c>
      <c r="G7" s="9">
        <f t="shared" si="0"/>
        <v>0.4456608426641066</v>
      </c>
    </row>
    <row r="8" spans="1:7">
      <c r="A8" s="47" t="s">
        <v>269</v>
      </c>
      <c r="B8" s="47" t="s">
        <v>499</v>
      </c>
      <c r="C8" s="47" t="s">
        <v>206</v>
      </c>
      <c r="D8" s="3">
        <v>242484000</v>
      </c>
      <c r="E8" s="3">
        <v>3513603</v>
      </c>
      <c r="F8" s="3">
        <v>1171201</v>
      </c>
      <c r="G8" s="9">
        <f t="shared" si="0"/>
        <v>0.25</v>
      </c>
    </row>
    <row r="9" spans="1:7">
      <c r="A9" s="47" t="s">
        <v>339</v>
      </c>
      <c r="B9" s="47" t="s">
        <v>529</v>
      </c>
      <c r="C9" s="47" t="s">
        <v>206</v>
      </c>
      <c r="D9" s="3">
        <v>148784059</v>
      </c>
      <c r="E9" s="3">
        <v>1720515.2908010408</v>
      </c>
      <c r="F9" s="3">
        <v>894435.29</v>
      </c>
      <c r="G9" s="9">
        <f t="shared" si="0"/>
        <v>0.34204672798290764</v>
      </c>
    </row>
    <row r="10" spans="1:7">
      <c r="A10" s="47" t="s">
        <v>683</v>
      </c>
      <c r="B10" s="47" t="s">
        <v>483</v>
      </c>
      <c r="C10" s="47" t="s">
        <v>206</v>
      </c>
      <c r="D10" s="3">
        <v>93350900</v>
      </c>
      <c r="E10" s="3">
        <v>864430</v>
      </c>
      <c r="F10" s="3">
        <v>864430</v>
      </c>
      <c r="G10" s="9">
        <f t="shared" si="0"/>
        <v>0.5</v>
      </c>
    </row>
    <row r="11" spans="1:7">
      <c r="A11" s="47" t="s">
        <v>684</v>
      </c>
      <c r="B11" s="47" t="s">
        <v>498</v>
      </c>
      <c r="C11" s="47" t="s">
        <v>206</v>
      </c>
      <c r="D11" s="3">
        <v>116166200</v>
      </c>
      <c r="E11" s="3">
        <v>1207200</v>
      </c>
      <c r="F11" s="3">
        <v>804800</v>
      </c>
      <c r="G11" s="9">
        <f t="shared" si="0"/>
        <v>0.4</v>
      </c>
    </row>
    <row r="12" spans="1:7">
      <c r="A12" s="47" t="s">
        <v>685</v>
      </c>
      <c r="B12" s="47" t="s">
        <v>509</v>
      </c>
      <c r="C12" s="47" t="s">
        <v>206</v>
      </c>
      <c r="D12" s="3">
        <v>106133800</v>
      </c>
      <c r="E12" s="3">
        <v>1102942.5</v>
      </c>
      <c r="F12" s="3">
        <v>735295</v>
      </c>
      <c r="G12" s="9">
        <f t="shared" si="0"/>
        <v>0.4</v>
      </c>
    </row>
    <row r="13" spans="1:7">
      <c r="A13" s="47" t="s">
        <v>252</v>
      </c>
      <c r="B13" s="47" t="s">
        <v>482</v>
      </c>
      <c r="C13" s="47" t="s">
        <v>206</v>
      </c>
      <c r="D13" s="3">
        <v>135494500</v>
      </c>
      <c r="E13" s="3">
        <v>1882017</v>
      </c>
      <c r="F13" s="3">
        <v>627339</v>
      </c>
      <c r="G13" s="9">
        <f t="shared" si="0"/>
        <v>0.25</v>
      </c>
    </row>
    <row r="14" spans="1:7">
      <c r="A14" s="47" t="s">
        <v>254</v>
      </c>
      <c r="B14" s="47" t="s">
        <v>484</v>
      </c>
      <c r="C14" s="47" t="s">
        <v>206</v>
      </c>
      <c r="D14" s="3">
        <v>133368000</v>
      </c>
      <c r="E14" s="3">
        <v>1852479</v>
      </c>
      <c r="F14" s="3">
        <v>617493</v>
      </c>
      <c r="G14" s="9">
        <f t="shared" si="0"/>
        <v>0.25</v>
      </c>
    </row>
    <row r="15" spans="1:7">
      <c r="A15" s="47" t="s">
        <v>381</v>
      </c>
      <c r="B15" s="47" t="s">
        <v>443</v>
      </c>
      <c r="C15" s="47" t="s">
        <v>199</v>
      </c>
      <c r="D15" s="3">
        <v>74663137</v>
      </c>
      <c r="E15" s="3">
        <v>439994.56779427949</v>
      </c>
      <c r="F15" s="3">
        <v>580678.90000000014</v>
      </c>
      <c r="G15" s="9">
        <f t="shared" si="0"/>
        <v>0.56891740436329052</v>
      </c>
    </row>
    <row r="16" spans="1:7">
      <c r="A16" s="47" t="s">
        <v>346</v>
      </c>
      <c r="B16" s="47" t="s">
        <v>531</v>
      </c>
      <c r="C16" s="47" t="s">
        <v>115</v>
      </c>
      <c r="D16" s="3">
        <v>62829730</v>
      </c>
      <c r="E16" s="3">
        <v>563896.82000000007</v>
      </c>
      <c r="F16" s="3">
        <v>563896.82000000007</v>
      </c>
      <c r="G16" s="9">
        <f t="shared" si="0"/>
        <v>0.5</v>
      </c>
    </row>
    <row r="17" spans="1:7">
      <c r="A17" s="47" t="s">
        <v>549</v>
      </c>
      <c r="B17" s="47" t="s">
        <v>545</v>
      </c>
      <c r="C17" s="47" t="s">
        <v>206</v>
      </c>
      <c r="D17" s="3">
        <v>79232100</v>
      </c>
      <c r="E17" s="3">
        <v>823380</v>
      </c>
      <c r="F17" s="3">
        <v>548920</v>
      </c>
      <c r="G17" s="9">
        <f t="shared" si="0"/>
        <v>0.4</v>
      </c>
    </row>
    <row r="18" spans="1:7">
      <c r="A18" s="47" t="s">
        <v>686</v>
      </c>
      <c r="B18" s="47" t="s">
        <v>476</v>
      </c>
      <c r="C18" s="47" t="s">
        <v>206</v>
      </c>
      <c r="D18" s="3">
        <v>61517000</v>
      </c>
      <c r="E18" s="3">
        <v>653678.66666666674</v>
      </c>
      <c r="F18" s="3">
        <v>534828</v>
      </c>
      <c r="G18" s="9">
        <f t="shared" si="0"/>
        <v>0.44999999999999996</v>
      </c>
    </row>
    <row r="19" spans="1:7">
      <c r="A19" s="47" t="s">
        <v>687</v>
      </c>
      <c r="B19" s="47" t="s">
        <v>506</v>
      </c>
      <c r="C19" s="47" t="s">
        <v>206</v>
      </c>
      <c r="D19" s="3">
        <v>61260900</v>
      </c>
      <c r="E19" s="3">
        <v>530518</v>
      </c>
      <c r="F19" s="3">
        <v>530518</v>
      </c>
      <c r="G19" s="9">
        <f t="shared" si="0"/>
        <v>0.5</v>
      </c>
    </row>
    <row r="20" spans="1:7">
      <c r="A20" s="47" t="s">
        <v>251</v>
      </c>
      <c r="B20" s="47" t="s">
        <v>481</v>
      </c>
      <c r="C20" s="47" t="s">
        <v>206</v>
      </c>
      <c r="D20" s="3">
        <v>111927000</v>
      </c>
      <c r="E20" s="3">
        <v>1554663</v>
      </c>
      <c r="F20" s="3">
        <v>518221</v>
      </c>
      <c r="G20" s="9">
        <f t="shared" si="0"/>
        <v>0.25</v>
      </c>
    </row>
    <row r="21" spans="1:7">
      <c r="A21" s="47" t="s">
        <v>42</v>
      </c>
      <c r="B21" s="47" t="s">
        <v>551</v>
      </c>
      <c r="C21" s="47" t="s">
        <v>53</v>
      </c>
      <c r="D21" s="3">
        <v>116958066</v>
      </c>
      <c r="E21" s="3">
        <v>1550263.2696390662</v>
      </c>
      <c r="F21" s="3">
        <v>516738.85350318474</v>
      </c>
      <c r="G21" s="9">
        <f t="shared" si="0"/>
        <v>0.24999435061906941</v>
      </c>
    </row>
    <row r="22" spans="1:7">
      <c r="A22" s="47" t="s">
        <v>679</v>
      </c>
      <c r="B22" s="47" t="s">
        <v>584</v>
      </c>
      <c r="C22" s="47" t="s">
        <v>82</v>
      </c>
      <c r="D22" s="3">
        <v>80798470</v>
      </c>
      <c r="E22" s="3">
        <v>726258.47615150735</v>
      </c>
      <c r="F22" s="3">
        <v>500989.7965</v>
      </c>
      <c r="G22" s="9">
        <f t="shared" si="0"/>
        <v>0.40822204248664068</v>
      </c>
    </row>
    <row r="23" spans="1:7">
      <c r="A23" s="47" t="s">
        <v>355</v>
      </c>
      <c r="B23" s="47" t="s">
        <v>419</v>
      </c>
      <c r="C23" s="47" t="s">
        <v>669</v>
      </c>
      <c r="D23" s="3">
        <v>55728300</v>
      </c>
      <c r="E23" s="3">
        <v>312310.03000000003</v>
      </c>
      <c r="F23" s="3">
        <v>468465.74</v>
      </c>
      <c r="G23" s="9">
        <f t="shared" si="0"/>
        <v>0.60000035605613122</v>
      </c>
    </row>
    <row r="24" spans="1:7">
      <c r="A24" s="47" t="s">
        <v>548</v>
      </c>
      <c r="B24" s="47" t="s">
        <v>544</v>
      </c>
      <c r="C24" s="47" t="s">
        <v>206</v>
      </c>
      <c r="D24" s="3">
        <v>60000000</v>
      </c>
      <c r="E24" s="3">
        <v>571560.00000000012</v>
      </c>
      <c r="F24" s="3">
        <v>467640</v>
      </c>
      <c r="G24" s="9">
        <f t="shared" si="0"/>
        <v>0.44999999999999996</v>
      </c>
    </row>
    <row r="25" spans="1:7">
      <c r="A25" t="s">
        <v>680</v>
      </c>
      <c r="B25" t="s">
        <v>681</v>
      </c>
      <c r="C25" t="s">
        <v>432</v>
      </c>
      <c r="D25" s="3">
        <v>27076736.571038257</v>
      </c>
      <c r="E25" s="3">
        <v>753808.22311673372</v>
      </c>
      <c r="F25" s="3">
        <v>442712.76595744683</v>
      </c>
      <c r="G25" s="9">
        <v>0.16634033950167565</v>
      </c>
    </row>
    <row r="26" spans="1:7">
      <c r="A26" s="47" t="s">
        <v>260</v>
      </c>
      <c r="B26" s="47" t="s">
        <v>491</v>
      </c>
      <c r="C26" s="47" t="s">
        <v>206</v>
      </c>
      <c r="D26" s="3">
        <v>117520000</v>
      </c>
      <c r="E26" s="3">
        <v>1741176.0000000005</v>
      </c>
      <c r="F26" s="3">
        <v>435294</v>
      </c>
      <c r="G26" s="9">
        <f t="shared" ref="G26:G57" si="1">SUM(F26/(E26+F26))</f>
        <v>0.19999999999999996</v>
      </c>
    </row>
    <row r="27" spans="1:7">
      <c r="A27" s="47" t="s">
        <v>81</v>
      </c>
      <c r="B27" s="47" t="s">
        <v>581</v>
      </c>
      <c r="C27" s="47" t="s">
        <v>58</v>
      </c>
      <c r="D27" s="3">
        <v>65184300</v>
      </c>
      <c r="E27" s="3">
        <v>604179.04725368018</v>
      </c>
      <c r="F27" s="3">
        <v>388477.02762399998</v>
      </c>
      <c r="G27" s="9">
        <f t="shared" si="1"/>
        <v>0.39135108065688307</v>
      </c>
    </row>
    <row r="28" spans="1:7">
      <c r="A28" s="47" t="s">
        <v>490</v>
      </c>
      <c r="B28" s="47" t="s">
        <v>489</v>
      </c>
      <c r="C28" s="47" t="s">
        <v>206</v>
      </c>
      <c r="D28" s="3">
        <v>135680000</v>
      </c>
      <c r="E28" s="3">
        <v>2135862.9999999995</v>
      </c>
      <c r="F28" s="3">
        <v>376917</v>
      </c>
      <c r="G28" s="9">
        <f t="shared" si="1"/>
        <v>0.15000000000000002</v>
      </c>
    </row>
    <row r="29" spans="1:7">
      <c r="A29" s="47" t="s">
        <v>261</v>
      </c>
      <c r="B29" s="47" t="s">
        <v>492</v>
      </c>
      <c r="C29" s="47" t="s">
        <v>206</v>
      </c>
      <c r="D29" s="3">
        <v>127801800</v>
      </c>
      <c r="E29" s="3">
        <v>2011859.333333333</v>
      </c>
      <c r="F29" s="3">
        <v>355034</v>
      </c>
      <c r="G29" s="9">
        <f t="shared" si="1"/>
        <v>0.15000000000000002</v>
      </c>
    </row>
    <row r="30" spans="1:7">
      <c r="A30" s="47" t="s">
        <v>57</v>
      </c>
      <c r="B30" s="47" t="s">
        <v>561</v>
      </c>
      <c r="C30" s="47" t="s">
        <v>432</v>
      </c>
      <c r="D30" s="3">
        <v>59055000</v>
      </c>
      <c r="E30" s="3">
        <v>704484.07643312099</v>
      </c>
      <c r="F30" s="3">
        <v>339195.32908704889</v>
      </c>
      <c r="G30" s="9">
        <f t="shared" si="1"/>
        <v>0.32499954228568295</v>
      </c>
    </row>
    <row r="31" spans="1:7">
      <c r="A31" s="47" t="s">
        <v>688</v>
      </c>
      <c r="B31" s="47" t="s">
        <v>485</v>
      </c>
      <c r="C31" s="47" t="s">
        <v>206</v>
      </c>
      <c r="D31" s="3">
        <v>64666200</v>
      </c>
      <c r="E31" s="3">
        <v>840018</v>
      </c>
      <c r="F31" s="3">
        <v>280006</v>
      </c>
      <c r="G31" s="9">
        <f t="shared" si="1"/>
        <v>0.25</v>
      </c>
    </row>
    <row r="32" spans="1:7">
      <c r="A32" s="47" t="s">
        <v>232</v>
      </c>
      <c r="B32" s="47" t="s">
        <v>466</v>
      </c>
      <c r="C32" s="47" t="s">
        <v>206</v>
      </c>
      <c r="D32" s="3">
        <v>73269618</v>
      </c>
      <c r="E32" s="3">
        <v>1128167.9833611818</v>
      </c>
      <c r="F32" s="3">
        <v>276861.87</v>
      </c>
      <c r="G32" s="9">
        <f t="shared" si="1"/>
        <v>0.19705052482527494</v>
      </c>
    </row>
    <row r="33" spans="1:7">
      <c r="A33" s="47" t="s">
        <v>689</v>
      </c>
      <c r="B33" s="47" t="s">
        <v>487</v>
      </c>
      <c r="C33" s="47" t="s">
        <v>206</v>
      </c>
      <c r="D33" s="3">
        <v>63265600</v>
      </c>
      <c r="E33" s="3">
        <v>821820</v>
      </c>
      <c r="F33" s="3">
        <v>273940</v>
      </c>
      <c r="G33" s="9">
        <f t="shared" si="1"/>
        <v>0.25</v>
      </c>
    </row>
    <row r="34" spans="1:7">
      <c r="A34" s="47" t="s">
        <v>288</v>
      </c>
      <c r="B34" s="47" t="s">
        <v>546</v>
      </c>
      <c r="C34" s="47" t="s">
        <v>206</v>
      </c>
      <c r="D34" s="3">
        <v>40467775</v>
      </c>
      <c r="E34" s="3">
        <v>508194.14285714296</v>
      </c>
      <c r="F34" s="3">
        <v>273643</v>
      </c>
      <c r="G34" s="9">
        <f t="shared" si="1"/>
        <v>0.35</v>
      </c>
    </row>
    <row r="35" spans="1:7">
      <c r="A35" s="47" t="s">
        <v>267</v>
      </c>
      <c r="B35" s="47" t="s">
        <v>497</v>
      </c>
      <c r="C35" s="47" t="s">
        <v>206</v>
      </c>
      <c r="D35" s="3">
        <v>32081300</v>
      </c>
      <c r="E35" s="3">
        <v>371886</v>
      </c>
      <c r="F35" s="3">
        <v>247924</v>
      </c>
      <c r="G35" s="9">
        <f t="shared" si="1"/>
        <v>0.4</v>
      </c>
    </row>
    <row r="36" spans="1:7">
      <c r="A36" s="47" t="s">
        <v>690</v>
      </c>
      <c r="B36" s="47" t="s">
        <v>486</v>
      </c>
      <c r="C36" s="47" t="s">
        <v>206</v>
      </c>
      <c r="D36" s="3">
        <v>54356900</v>
      </c>
      <c r="E36" s="3">
        <v>706098</v>
      </c>
      <c r="F36" s="3">
        <v>235366</v>
      </c>
      <c r="G36" s="9">
        <f t="shared" si="1"/>
        <v>0.25</v>
      </c>
    </row>
    <row r="37" spans="1:7">
      <c r="A37" s="47" t="s">
        <v>340</v>
      </c>
      <c r="B37" s="47" t="s">
        <v>673</v>
      </c>
      <c r="C37" s="47" t="s">
        <v>115</v>
      </c>
      <c r="D37" s="3">
        <v>46634057</v>
      </c>
      <c r="E37" s="3">
        <v>634141.5438240486</v>
      </c>
      <c r="F37" s="3">
        <v>215188.27</v>
      </c>
      <c r="G37" s="9">
        <f t="shared" si="1"/>
        <v>0.25336243529604796</v>
      </c>
    </row>
    <row r="38" spans="1:7">
      <c r="A38" s="47" t="s">
        <v>347</v>
      </c>
      <c r="B38" s="47" t="s">
        <v>532</v>
      </c>
      <c r="C38" s="47" t="s">
        <v>119</v>
      </c>
      <c r="D38" s="3">
        <v>22463918</v>
      </c>
      <c r="E38" s="3">
        <v>114765.04375159422</v>
      </c>
      <c r="F38" s="3">
        <v>202759.81</v>
      </c>
      <c r="G38" s="9">
        <f t="shared" si="1"/>
        <v>0.63856358834393134</v>
      </c>
    </row>
    <row r="39" spans="1:7">
      <c r="A39" s="47" t="s">
        <v>212</v>
      </c>
      <c r="B39" s="47" t="s">
        <v>458</v>
      </c>
      <c r="C39" s="47" t="s">
        <v>206</v>
      </c>
      <c r="D39" s="3">
        <v>200121400</v>
      </c>
      <c r="E39" s="3">
        <v>3664618.9999999967</v>
      </c>
      <c r="F39" s="3">
        <v>201701</v>
      </c>
      <c r="G39" s="9">
        <f t="shared" si="1"/>
        <v>5.2168728920523953E-2</v>
      </c>
    </row>
    <row r="40" spans="1:7">
      <c r="A40" s="47" t="s">
        <v>550</v>
      </c>
      <c r="B40" s="47" t="s">
        <v>547</v>
      </c>
      <c r="C40" s="47" t="s">
        <v>206</v>
      </c>
      <c r="D40" s="3">
        <v>56822400</v>
      </c>
      <c r="E40" s="3">
        <v>787336.00000000023</v>
      </c>
      <c r="F40" s="3">
        <v>196834</v>
      </c>
      <c r="G40" s="9">
        <f t="shared" si="1"/>
        <v>0.19999999999999996</v>
      </c>
    </row>
    <row r="41" spans="1:7">
      <c r="A41" s="47" t="s">
        <v>76</v>
      </c>
      <c r="B41" s="47" t="s">
        <v>582</v>
      </c>
      <c r="C41" s="47" t="s">
        <v>58</v>
      </c>
      <c r="D41" s="3">
        <v>35297700</v>
      </c>
      <c r="E41" s="3">
        <v>358959.08113784489</v>
      </c>
      <c r="F41" s="3">
        <v>190177.23145599998</v>
      </c>
      <c r="G41" s="9">
        <f t="shared" si="1"/>
        <v>0.34632062585280149</v>
      </c>
    </row>
    <row r="42" spans="1:7">
      <c r="A42" s="47" t="s">
        <v>197</v>
      </c>
      <c r="B42" s="47" t="s">
        <v>440</v>
      </c>
      <c r="C42" s="47" t="s">
        <v>115</v>
      </c>
      <c r="D42" s="3">
        <v>40716800</v>
      </c>
      <c r="E42" s="3">
        <v>548151</v>
      </c>
      <c r="F42" s="3">
        <v>182717</v>
      </c>
      <c r="G42" s="9">
        <f t="shared" si="1"/>
        <v>0.25</v>
      </c>
    </row>
    <row r="43" spans="1:7">
      <c r="A43" s="47" t="s">
        <v>193</v>
      </c>
      <c r="B43" s="47" t="s">
        <v>436</v>
      </c>
      <c r="C43" s="47" t="s">
        <v>116</v>
      </c>
      <c r="D43" s="3">
        <v>36411225</v>
      </c>
      <c r="E43" s="3">
        <v>425576.66666666663</v>
      </c>
      <c r="F43" s="3">
        <v>182390</v>
      </c>
      <c r="G43" s="9">
        <f t="shared" si="1"/>
        <v>0.30000000000000004</v>
      </c>
    </row>
    <row r="44" spans="1:7">
      <c r="A44" s="47" t="s">
        <v>196</v>
      </c>
      <c r="B44" s="47" t="s">
        <v>439</v>
      </c>
      <c r="C44" s="47" t="s">
        <v>115</v>
      </c>
      <c r="D44" s="3">
        <v>22359300</v>
      </c>
      <c r="E44" s="3">
        <v>220741.88888888893</v>
      </c>
      <c r="F44" s="3">
        <v>180607</v>
      </c>
      <c r="G44" s="9">
        <f t="shared" si="1"/>
        <v>0.44999999999999996</v>
      </c>
    </row>
    <row r="45" spans="1:7">
      <c r="A45" s="47" t="s">
        <v>676</v>
      </c>
      <c r="B45" s="47" t="s">
        <v>677</v>
      </c>
      <c r="C45" s="47" t="s">
        <v>206</v>
      </c>
      <c r="D45" s="3">
        <v>49588909</v>
      </c>
      <c r="E45" s="3">
        <v>768085.33633165341</v>
      </c>
      <c r="F45" s="3">
        <v>175801.24</v>
      </c>
      <c r="G45" s="9">
        <f t="shared" si="1"/>
        <v>0.18625250576529939</v>
      </c>
    </row>
    <row r="46" spans="1:7">
      <c r="A46" s="47" t="s">
        <v>691</v>
      </c>
      <c r="B46" s="47" t="s">
        <v>488</v>
      </c>
      <c r="C46" s="47" t="s">
        <v>206</v>
      </c>
      <c r="D46" s="3">
        <v>40339000</v>
      </c>
      <c r="E46" s="3">
        <v>524001</v>
      </c>
      <c r="F46" s="3">
        <v>174667</v>
      </c>
      <c r="G46" s="9">
        <f t="shared" si="1"/>
        <v>0.25</v>
      </c>
    </row>
    <row r="47" spans="1:7">
      <c r="A47" s="47" t="s">
        <v>250</v>
      </c>
      <c r="B47" s="47" t="s">
        <v>480</v>
      </c>
      <c r="C47" s="47" t="s">
        <v>248</v>
      </c>
      <c r="D47" s="3">
        <v>76039120</v>
      </c>
      <c r="E47" s="3">
        <v>976043.82073668344</v>
      </c>
      <c r="F47" s="3">
        <v>173037.94</v>
      </c>
      <c r="G47" s="9">
        <f t="shared" si="1"/>
        <v>0.15058801376245351</v>
      </c>
    </row>
    <row r="48" spans="1:7">
      <c r="A48" s="48" t="s">
        <v>601</v>
      </c>
      <c r="B48" s="12" t="s">
        <v>651</v>
      </c>
      <c r="C48" s="12" t="s">
        <v>652</v>
      </c>
      <c r="D48" s="3">
        <v>16484023</v>
      </c>
      <c r="E48" s="3">
        <v>221123.93608000001</v>
      </c>
      <c r="F48" s="3">
        <v>167186.40377999999</v>
      </c>
      <c r="G48" s="9">
        <f t="shared" si="1"/>
        <v>0.43054842124543158</v>
      </c>
    </row>
    <row r="49" spans="1:7">
      <c r="A49" s="47" t="s">
        <v>266</v>
      </c>
      <c r="B49" s="47" t="s">
        <v>496</v>
      </c>
      <c r="C49" s="47" t="s">
        <v>206</v>
      </c>
      <c r="D49" s="3">
        <v>171139600</v>
      </c>
      <c r="E49" s="3">
        <v>3141098.9999999972</v>
      </c>
      <c r="F49" s="3">
        <v>165321</v>
      </c>
      <c r="G49" s="9">
        <f t="shared" si="1"/>
        <v>5.0000000000000044E-2</v>
      </c>
    </row>
    <row r="50" spans="1:7">
      <c r="A50" s="12" t="s">
        <v>674</v>
      </c>
      <c r="B50" s="12" t="s">
        <v>650</v>
      </c>
      <c r="C50" s="12" t="s">
        <v>643</v>
      </c>
      <c r="D50" s="3">
        <v>35166915</v>
      </c>
      <c r="E50" s="3">
        <v>474753.35250000004</v>
      </c>
      <c r="F50" s="3">
        <v>162953.80200000003</v>
      </c>
      <c r="G50" s="9">
        <f t="shared" si="1"/>
        <v>0.25553077278514369</v>
      </c>
    </row>
    <row r="51" spans="1:7">
      <c r="A51" s="47" t="s">
        <v>237</v>
      </c>
      <c r="B51" s="47" t="s">
        <v>470</v>
      </c>
      <c r="C51" s="47" t="s">
        <v>206</v>
      </c>
      <c r="D51" s="3">
        <v>41952000</v>
      </c>
      <c r="E51" s="3">
        <v>648412.00000000023</v>
      </c>
      <c r="F51" s="3">
        <v>162103</v>
      </c>
      <c r="G51" s="9">
        <f t="shared" si="1"/>
        <v>0.19999999999999996</v>
      </c>
    </row>
    <row r="52" spans="1:7">
      <c r="A52" s="12" t="s">
        <v>638</v>
      </c>
      <c r="B52" s="12" t="s">
        <v>656</v>
      </c>
      <c r="C52" s="12" t="s">
        <v>657</v>
      </c>
      <c r="D52" s="3">
        <v>32890091</v>
      </c>
      <c r="E52" s="3">
        <v>410468.33568000002</v>
      </c>
      <c r="F52" s="3">
        <v>147344.74559999999</v>
      </c>
      <c r="G52" s="9">
        <f t="shared" si="1"/>
        <v>0.26414716783244241</v>
      </c>
    </row>
    <row r="53" spans="1:7">
      <c r="A53" s="12" t="s">
        <v>632</v>
      </c>
      <c r="B53" s="12" t="s">
        <v>662</v>
      </c>
      <c r="C53" s="12" t="s">
        <v>668</v>
      </c>
      <c r="D53" s="3">
        <v>57908</v>
      </c>
      <c r="E53" s="3">
        <v>665.94200000000001</v>
      </c>
      <c r="F53" s="3">
        <v>133711.12100000001</v>
      </c>
      <c r="G53" s="9">
        <f t="shared" si="1"/>
        <v>0.99504422864190734</v>
      </c>
    </row>
    <row r="54" spans="1:7">
      <c r="A54" s="47" t="s">
        <v>278</v>
      </c>
      <c r="B54" s="47" t="s">
        <v>675</v>
      </c>
      <c r="C54" s="47" t="s">
        <v>119</v>
      </c>
      <c r="D54" s="3">
        <v>51008374</v>
      </c>
      <c r="E54" s="3">
        <v>634589.03256916034</v>
      </c>
      <c r="F54" s="3">
        <v>127388.99</v>
      </c>
      <c r="G54" s="9">
        <f t="shared" si="1"/>
        <v>0.16718197405547566</v>
      </c>
    </row>
    <row r="55" spans="1:7">
      <c r="A55" s="47" t="s">
        <v>198</v>
      </c>
      <c r="B55" s="47" t="s">
        <v>672</v>
      </c>
      <c r="C55" s="47" t="s">
        <v>115</v>
      </c>
      <c r="D55" s="3">
        <v>41624700</v>
      </c>
      <c r="E55" s="3">
        <v>635091.66666666651</v>
      </c>
      <c r="F55" s="3">
        <v>112075</v>
      </c>
      <c r="G55" s="9">
        <f t="shared" si="1"/>
        <v>0.15000000000000002</v>
      </c>
    </row>
    <row r="56" spans="1:7">
      <c r="A56" s="47" t="s">
        <v>234</v>
      </c>
      <c r="B56" s="47" t="s">
        <v>469</v>
      </c>
      <c r="C56" s="47" t="s">
        <v>206</v>
      </c>
      <c r="D56" s="3">
        <v>57000000</v>
      </c>
      <c r="E56" s="3">
        <v>991107.00000000023</v>
      </c>
      <c r="F56" s="3">
        <v>110123</v>
      </c>
      <c r="G56" s="9">
        <f t="shared" si="1"/>
        <v>9.9999999999999978E-2</v>
      </c>
    </row>
    <row r="57" spans="1:7">
      <c r="A57" s="47" t="s">
        <v>265</v>
      </c>
      <c r="B57" s="47" t="s">
        <v>500</v>
      </c>
      <c r="C57" s="47" t="s">
        <v>206</v>
      </c>
      <c r="D57" s="3">
        <v>30258000</v>
      </c>
      <c r="E57" s="3">
        <v>419256.00000000012</v>
      </c>
      <c r="F57" s="3">
        <v>104814</v>
      </c>
      <c r="G57" s="9">
        <f t="shared" si="1"/>
        <v>0.19999999999999996</v>
      </c>
    </row>
    <row r="58" spans="1:7">
      <c r="A58" s="47" t="s">
        <v>352</v>
      </c>
      <c r="B58" s="47" t="s">
        <v>414</v>
      </c>
      <c r="C58" s="47" t="s">
        <v>353</v>
      </c>
      <c r="D58" s="3">
        <v>11006000</v>
      </c>
      <c r="E58" s="3">
        <v>68302</v>
      </c>
      <c r="F58" s="3">
        <v>102527</v>
      </c>
      <c r="G58" s="9">
        <f t="shared" ref="G58:G89" si="2">SUM(F58/(E58+F58))</f>
        <v>0.60017327268789256</v>
      </c>
    </row>
    <row r="59" spans="1:7">
      <c r="A59" s="47" t="s">
        <v>246</v>
      </c>
      <c r="B59" s="47" t="s">
        <v>477</v>
      </c>
      <c r="C59" s="47" t="s">
        <v>247</v>
      </c>
      <c r="D59" s="3">
        <v>11100237</v>
      </c>
      <c r="E59" s="3">
        <v>120109.00000000003</v>
      </c>
      <c r="F59" s="3">
        <v>98271</v>
      </c>
      <c r="G59" s="9">
        <f t="shared" si="2"/>
        <v>0.44999999999999996</v>
      </c>
    </row>
    <row r="60" spans="1:7">
      <c r="A60" s="12" t="s">
        <v>629</v>
      </c>
      <c r="B60" s="12" t="s">
        <v>659</v>
      </c>
      <c r="C60" s="12" t="s">
        <v>668</v>
      </c>
      <c r="D60" s="3">
        <v>0</v>
      </c>
      <c r="E60" s="3">
        <v>0</v>
      </c>
      <c r="F60" s="3">
        <v>98170.900000000009</v>
      </c>
      <c r="G60" s="9">
        <f t="shared" si="2"/>
        <v>1</v>
      </c>
    </row>
    <row r="61" spans="1:7">
      <c r="A61" s="47" t="s">
        <v>280</v>
      </c>
      <c r="B61" s="47" t="s">
        <v>510</v>
      </c>
      <c r="C61" s="47" t="s">
        <v>119</v>
      </c>
      <c r="D61" s="3">
        <v>17516300</v>
      </c>
      <c r="E61" s="3">
        <v>146856</v>
      </c>
      <c r="F61" s="3">
        <v>97904</v>
      </c>
      <c r="G61" s="9">
        <f t="shared" si="2"/>
        <v>0.4</v>
      </c>
    </row>
    <row r="62" spans="1:7">
      <c r="A62" s="47" t="s">
        <v>264</v>
      </c>
      <c r="B62" s="47" t="s">
        <v>494</v>
      </c>
      <c r="C62" s="47" t="s">
        <v>248</v>
      </c>
      <c r="D62" s="3">
        <v>47300000</v>
      </c>
      <c r="E62" s="3">
        <v>545405.33333333326</v>
      </c>
      <c r="F62" s="3">
        <v>96248</v>
      </c>
      <c r="G62" s="9">
        <f t="shared" si="2"/>
        <v>0.15000000000000002</v>
      </c>
    </row>
    <row r="63" spans="1:7">
      <c r="A63" s="47" t="s">
        <v>341</v>
      </c>
      <c r="B63" s="47" t="s">
        <v>525</v>
      </c>
      <c r="C63" s="47" t="s">
        <v>331</v>
      </c>
      <c r="D63" s="3">
        <v>19192099</v>
      </c>
      <c r="E63" s="3">
        <v>219692.77599585833</v>
      </c>
      <c r="F63" s="3">
        <v>93230.55</v>
      </c>
      <c r="G63" s="9">
        <f t="shared" si="2"/>
        <v>0.29793416551258933</v>
      </c>
    </row>
    <row r="64" spans="1:7">
      <c r="A64" s="47" t="s">
        <v>332</v>
      </c>
      <c r="B64" s="47" t="s">
        <v>513</v>
      </c>
      <c r="C64" s="47" t="s">
        <v>206</v>
      </c>
      <c r="D64" s="3">
        <v>17479665</v>
      </c>
      <c r="E64" s="3">
        <v>160121.02737868985</v>
      </c>
      <c r="F64" s="3">
        <v>90879.62000000001</v>
      </c>
      <c r="G64" s="9">
        <f t="shared" si="2"/>
        <v>0.36206926535487399</v>
      </c>
    </row>
    <row r="65" spans="1:7">
      <c r="A65" s="47" t="s">
        <v>330</v>
      </c>
      <c r="B65" s="47" t="s">
        <v>527</v>
      </c>
      <c r="C65" s="47" t="s">
        <v>331</v>
      </c>
      <c r="D65" s="3">
        <v>22202404</v>
      </c>
      <c r="E65" s="3">
        <v>271277.31675013417</v>
      </c>
      <c r="F65" s="3">
        <v>90728.29</v>
      </c>
      <c r="G65" s="9">
        <f t="shared" si="2"/>
        <v>0.25062675358678371</v>
      </c>
    </row>
    <row r="66" spans="1:7">
      <c r="A66" s="12" t="s">
        <v>611</v>
      </c>
      <c r="B66" s="12" t="s">
        <v>655</v>
      </c>
      <c r="C66" s="12" t="s">
        <v>657</v>
      </c>
      <c r="D66" s="3">
        <v>26075778</v>
      </c>
      <c r="E66" s="3">
        <v>371643.70944000001</v>
      </c>
      <c r="F66" s="3">
        <v>90487.611280000012</v>
      </c>
      <c r="G66" s="9">
        <f t="shared" si="2"/>
        <v>0.19580497409052566</v>
      </c>
    </row>
    <row r="67" spans="1:7">
      <c r="A67" s="47" t="s">
        <v>249</v>
      </c>
      <c r="B67" s="47" t="s">
        <v>478</v>
      </c>
      <c r="C67" s="47" t="s">
        <v>248</v>
      </c>
      <c r="D67" s="3">
        <v>52026400</v>
      </c>
      <c r="E67" s="3">
        <v>710100.00000000023</v>
      </c>
      <c r="F67" s="3">
        <v>78900</v>
      </c>
      <c r="G67" s="9">
        <f t="shared" si="2"/>
        <v>9.9999999999999964E-2</v>
      </c>
    </row>
    <row r="68" spans="1:7">
      <c r="A68" s="47" t="s">
        <v>195</v>
      </c>
      <c r="B68" s="47" t="s">
        <v>438</v>
      </c>
      <c r="C68" s="47" t="s">
        <v>116</v>
      </c>
      <c r="D68" s="3">
        <v>14000000</v>
      </c>
      <c r="E68" s="3">
        <v>163631.99999999997</v>
      </c>
      <c r="F68" s="3">
        <v>70128</v>
      </c>
      <c r="G68" s="9">
        <f t="shared" si="2"/>
        <v>0.30000000000000004</v>
      </c>
    </row>
    <row r="69" spans="1:7">
      <c r="A69" s="47" t="s">
        <v>233</v>
      </c>
      <c r="B69" s="47" t="s">
        <v>468</v>
      </c>
      <c r="C69" s="47" t="s">
        <v>206</v>
      </c>
      <c r="D69" s="3">
        <v>35708800</v>
      </c>
      <c r="E69" s="3">
        <v>620919.00000000012</v>
      </c>
      <c r="F69" s="3">
        <v>68991</v>
      </c>
      <c r="G69" s="9">
        <f t="shared" si="2"/>
        <v>9.9999999999999978E-2</v>
      </c>
    </row>
    <row r="70" spans="1:7">
      <c r="A70" s="47" t="s">
        <v>194</v>
      </c>
      <c r="B70" s="47" t="s">
        <v>437</v>
      </c>
      <c r="C70" s="47" t="s">
        <v>116</v>
      </c>
      <c r="D70" s="3">
        <v>11621300</v>
      </c>
      <c r="E70" s="3">
        <v>126129.71428571429</v>
      </c>
      <c r="F70" s="3">
        <v>67916</v>
      </c>
      <c r="G70" s="9">
        <f t="shared" si="2"/>
        <v>0.35</v>
      </c>
    </row>
    <row r="71" spans="1:7">
      <c r="A71" s="47" t="s">
        <v>79</v>
      </c>
      <c r="B71" s="47" t="s">
        <v>579</v>
      </c>
      <c r="C71" s="47" t="s">
        <v>58</v>
      </c>
      <c r="D71" s="3">
        <v>5305000</v>
      </c>
      <c r="E71" s="3">
        <v>11594.198710982966</v>
      </c>
      <c r="F71" s="3">
        <v>65696.592696000007</v>
      </c>
      <c r="G71" s="9">
        <f t="shared" si="2"/>
        <v>0.84999249587272996</v>
      </c>
    </row>
    <row r="72" spans="1:7">
      <c r="A72" s="47" t="s">
        <v>78</v>
      </c>
      <c r="B72" s="47" t="s">
        <v>578</v>
      </c>
      <c r="C72" s="47" t="s">
        <v>53</v>
      </c>
      <c r="D72" s="3">
        <v>5600000</v>
      </c>
      <c r="E72" s="3">
        <v>34639.06581740977</v>
      </c>
      <c r="F72" s="3">
        <v>64329.087048832276</v>
      </c>
      <c r="G72" s="9">
        <f t="shared" si="2"/>
        <v>0.64999785472175742</v>
      </c>
    </row>
    <row r="73" spans="1:7">
      <c r="A73" s="47" t="s">
        <v>205</v>
      </c>
      <c r="B73" s="47" t="s">
        <v>448</v>
      </c>
      <c r="C73" s="47" t="s">
        <v>206</v>
      </c>
      <c r="D73" s="3">
        <v>33060000</v>
      </c>
      <c r="E73" s="3">
        <v>574848.00000000012</v>
      </c>
      <c r="F73" s="3">
        <v>63872</v>
      </c>
      <c r="G73" s="9">
        <f t="shared" si="2"/>
        <v>9.9999999999999978E-2</v>
      </c>
    </row>
    <row r="74" spans="1:7">
      <c r="A74" s="47" t="s">
        <v>207</v>
      </c>
      <c r="B74" s="47" t="s">
        <v>449</v>
      </c>
      <c r="C74" s="47" t="s">
        <v>206</v>
      </c>
      <c r="D74" s="3">
        <v>30030000</v>
      </c>
      <c r="E74" s="3">
        <v>522171.00000000012</v>
      </c>
      <c r="F74" s="3">
        <v>58019</v>
      </c>
      <c r="G74" s="9">
        <f t="shared" si="2"/>
        <v>9.9999999999999978E-2</v>
      </c>
    </row>
    <row r="75" spans="1:7">
      <c r="A75" s="47" t="s">
        <v>249</v>
      </c>
      <c r="B75" s="47" t="s">
        <v>479</v>
      </c>
      <c r="C75" s="47" t="s">
        <v>248</v>
      </c>
      <c r="D75" s="3">
        <v>36559400</v>
      </c>
      <c r="E75" s="3">
        <v>499014.00000000012</v>
      </c>
      <c r="F75" s="3">
        <v>55446</v>
      </c>
      <c r="G75" s="9">
        <f t="shared" si="2"/>
        <v>9.9999999999999978E-2</v>
      </c>
    </row>
    <row r="76" spans="1:7">
      <c r="A76" s="47" t="s">
        <v>345</v>
      </c>
      <c r="B76" s="47" t="s">
        <v>530</v>
      </c>
      <c r="C76" s="47" t="s">
        <v>206</v>
      </c>
      <c r="D76" s="3">
        <v>6387931</v>
      </c>
      <c r="E76" s="3">
        <v>55319.482679997207</v>
      </c>
      <c r="F76" s="3">
        <v>55319.5</v>
      </c>
      <c r="G76" s="9">
        <f t="shared" si="2"/>
        <v>0.50000007827260506</v>
      </c>
    </row>
    <row r="77" spans="1:7">
      <c r="A77" s="47" t="s">
        <v>329</v>
      </c>
      <c r="B77" s="47" t="s">
        <v>511</v>
      </c>
      <c r="C77" s="47" t="s">
        <v>119</v>
      </c>
      <c r="D77" s="3">
        <v>31356776</v>
      </c>
      <c r="E77" s="3">
        <v>566977.96502467827</v>
      </c>
      <c r="F77" s="3">
        <v>48242.479999999996</v>
      </c>
      <c r="G77" s="9">
        <f t="shared" si="2"/>
        <v>7.8414949291980784E-2</v>
      </c>
    </row>
    <row r="78" spans="1:7">
      <c r="A78" s="47" t="s">
        <v>334</v>
      </c>
      <c r="B78" s="47" t="s">
        <v>515</v>
      </c>
      <c r="C78" s="47" t="s">
        <v>247</v>
      </c>
      <c r="D78" s="3">
        <v>13770497</v>
      </c>
      <c r="E78" s="3">
        <v>196157.25387843352</v>
      </c>
      <c r="F78" s="3">
        <v>47211.519999999997</v>
      </c>
      <c r="G78" s="9">
        <f t="shared" si="2"/>
        <v>0.19399169107694517</v>
      </c>
    </row>
    <row r="79" spans="1:7">
      <c r="A79" s="47" t="s">
        <v>262</v>
      </c>
      <c r="B79" s="47" t="s">
        <v>493</v>
      </c>
      <c r="C79" s="47" t="s">
        <v>206</v>
      </c>
      <c r="D79" s="3">
        <v>15075700</v>
      </c>
      <c r="E79" s="3">
        <v>237319.99999999994</v>
      </c>
      <c r="F79" s="3">
        <v>41880</v>
      </c>
      <c r="G79" s="9">
        <f t="shared" si="2"/>
        <v>0.15000000000000002</v>
      </c>
    </row>
    <row r="80" spans="1:7">
      <c r="A80" s="47" t="s">
        <v>559</v>
      </c>
      <c r="B80" s="47" t="s">
        <v>558</v>
      </c>
      <c r="C80" s="47" t="s">
        <v>54</v>
      </c>
      <c r="D80" s="3">
        <v>17500000</v>
      </c>
      <c r="E80" s="3">
        <v>269072.18683651806</v>
      </c>
      <c r="F80" s="3">
        <v>40205.944798301483</v>
      </c>
      <c r="G80" s="9">
        <f t="shared" si="2"/>
        <v>0.12999931351685315</v>
      </c>
    </row>
    <row r="81" spans="1:7">
      <c r="A81" s="47" t="s">
        <v>200</v>
      </c>
      <c r="B81" s="47" t="s">
        <v>444</v>
      </c>
      <c r="C81" s="47" t="s">
        <v>199</v>
      </c>
      <c r="D81" s="3">
        <v>9900000</v>
      </c>
      <c r="E81" s="3">
        <v>92983.333333333314</v>
      </c>
      <c r="F81" s="3">
        <v>39850</v>
      </c>
      <c r="G81" s="9">
        <f t="shared" si="2"/>
        <v>0.30000000000000004</v>
      </c>
    </row>
    <row r="82" spans="1:7">
      <c r="A82" s="47" t="s">
        <v>55</v>
      </c>
      <c r="B82" s="47" t="s">
        <v>560</v>
      </c>
      <c r="C82" s="47" t="s">
        <v>54</v>
      </c>
      <c r="D82" s="3">
        <v>6896329</v>
      </c>
      <c r="E82" s="3">
        <v>82267.515923566883</v>
      </c>
      <c r="F82" s="3">
        <v>39611.464968152868</v>
      </c>
      <c r="G82" s="9">
        <f t="shared" si="2"/>
        <v>0.3250065325320094</v>
      </c>
    </row>
    <row r="83" spans="1:7">
      <c r="A83" s="47" t="s">
        <v>209</v>
      </c>
      <c r="B83" s="47" t="s">
        <v>454</v>
      </c>
      <c r="C83" s="47" t="s">
        <v>206</v>
      </c>
      <c r="D83" s="3">
        <v>19310000</v>
      </c>
      <c r="E83" s="3">
        <v>335763.00000000006</v>
      </c>
      <c r="F83" s="3">
        <v>37307</v>
      </c>
      <c r="G83" s="9">
        <f t="shared" si="2"/>
        <v>9.9999999999999978E-2</v>
      </c>
    </row>
    <row r="84" spans="1:7">
      <c r="A84" s="47" t="s">
        <v>354</v>
      </c>
      <c r="B84" s="47" t="s">
        <v>417</v>
      </c>
      <c r="C84" s="47" t="s">
        <v>353</v>
      </c>
      <c r="D84" s="3">
        <v>14144950</v>
      </c>
      <c r="E84" s="3">
        <v>183085</v>
      </c>
      <c r="F84" s="3">
        <v>36531</v>
      </c>
      <c r="G84" s="9">
        <f t="shared" si="2"/>
        <v>0.16634033950167565</v>
      </c>
    </row>
    <row r="85" spans="1:7">
      <c r="A85" s="47" t="s">
        <v>335</v>
      </c>
      <c r="B85" s="47" t="s">
        <v>442</v>
      </c>
      <c r="C85" s="47" t="s">
        <v>115</v>
      </c>
      <c r="D85" s="3">
        <v>6723551</v>
      </c>
      <c r="E85" s="3">
        <v>84612.54375910059</v>
      </c>
      <c r="F85" s="3">
        <v>36075.19</v>
      </c>
      <c r="G85" s="9">
        <f t="shared" si="2"/>
        <v>0.29891347592960921</v>
      </c>
    </row>
    <row r="86" spans="1:7">
      <c r="A86" s="47" t="s">
        <v>460</v>
      </c>
      <c r="B86" s="47" t="s">
        <v>461</v>
      </c>
      <c r="C86" s="47" t="s">
        <v>206</v>
      </c>
      <c r="D86" s="3">
        <v>16270000</v>
      </c>
      <c r="E86" s="3">
        <v>282897.00000000006</v>
      </c>
      <c r="F86" s="3">
        <v>31433</v>
      </c>
      <c r="G86" s="9">
        <f t="shared" si="2"/>
        <v>9.9999999999999978E-2</v>
      </c>
    </row>
    <row r="87" spans="1:7">
      <c r="A87" s="12" t="s">
        <v>647</v>
      </c>
      <c r="B87" s="12" t="s">
        <v>646</v>
      </c>
      <c r="C87" s="12" t="s">
        <v>644</v>
      </c>
      <c r="D87" s="3">
        <v>14600000</v>
      </c>
      <c r="E87" s="3">
        <v>188340</v>
      </c>
      <c r="F87" s="3">
        <v>30960</v>
      </c>
      <c r="G87" s="9">
        <f t="shared" si="2"/>
        <v>0.14117647058823529</v>
      </c>
    </row>
    <row r="88" spans="1:7">
      <c r="A88" s="47" t="s">
        <v>270</v>
      </c>
      <c r="B88" s="47" t="s">
        <v>501</v>
      </c>
      <c r="C88" s="47" t="s">
        <v>206</v>
      </c>
      <c r="D88" s="3">
        <v>3952700</v>
      </c>
      <c r="E88" s="3">
        <v>45819</v>
      </c>
      <c r="F88" s="3">
        <v>30546</v>
      </c>
      <c r="G88" s="9">
        <f t="shared" si="2"/>
        <v>0.4</v>
      </c>
    </row>
    <row r="89" spans="1:7">
      <c r="A89" s="47" t="s">
        <v>214</v>
      </c>
      <c r="B89" s="47" t="s">
        <v>456</v>
      </c>
      <c r="C89" s="47" t="s">
        <v>206</v>
      </c>
      <c r="D89" s="3">
        <v>15800000</v>
      </c>
      <c r="E89" s="3">
        <v>274725.00000000006</v>
      </c>
      <c r="F89" s="3">
        <v>30525</v>
      </c>
      <c r="G89" s="9">
        <f t="shared" si="2"/>
        <v>9.9999999999999978E-2</v>
      </c>
    </row>
    <row r="90" spans="1:7">
      <c r="A90" s="47" t="s">
        <v>263</v>
      </c>
      <c r="B90" s="47" t="s">
        <v>495</v>
      </c>
      <c r="C90" s="47" t="s">
        <v>248</v>
      </c>
      <c r="D90" s="3">
        <v>14569500</v>
      </c>
      <c r="E90" s="3">
        <v>167999.66666666663</v>
      </c>
      <c r="F90" s="3">
        <v>29647</v>
      </c>
      <c r="G90" s="9">
        <f t="shared" ref="G90:G120" si="3">SUM(F90/(E90+F90))</f>
        <v>0.15000000000000002</v>
      </c>
    </row>
    <row r="91" spans="1:7">
      <c r="A91" s="47" t="s">
        <v>472</v>
      </c>
      <c r="B91" s="47" t="s">
        <v>471</v>
      </c>
      <c r="C91" s="47" t="s">
        <v>206</v>
      </c>
      <c r="D91" s="3">
        <v>32163700</v>
      </c>
      <c r="E91" s="3">
        <v>529225.99999999953</v>
      </c>
      <c r="F91" s="3">
        <v>27854</v>
      </c>
      <c r="G91" s="9">
        <f t="shared" si="3"/>
        <v>5.0000000000000044E-2</v>
      </c>
    </row>
    <row r="92" spans="1:7">
      <c r="A92" s="47" t="s">
        <v>80</v>
      </c>
      <c r="B92" s="47" t="s">
        <v>580</v>
      </c>
      <c r="C92" s="47" t="s">
        <v>54</v>
      </c>
      <c r="D92" s="3">
        <v>2921400</v>
      </c>
      <c r="E92" s="3">
        <v>24783.43949044586</v>
      </c>
      <c r="F92" s="3">
        <v>26847.133757961783</v>
      </c>
      <c r="G92" s="9">
        <f t="shared" si="3"/>
        <v>0.51998519615099925</v>
      </c>
    </row>
    <row r="93" spans="1:7">
      <c r="A93" s="47" t="s">
        <v>240</v>
      </c>
      <c r="B93" s="47" t="s">
        <v>474</v>
      </c>
      <c r="C93" s="47" t="s">
        <v>247</v>
      </c>
      <c r="D93" s="3">
        <v>8813900</v>
      </c>
      <c r="E93" s="3">
        <v>147384.33333333331</v>
      </c>
      <c r="F93" s="3">
        <v>26009</v>
      </c>
      <c r="G93" s="9">
        <f t="shared" si="3"/>
        <v>0.15000000000000002</v>
      </c>
    </row>
    <row r="94" spans="1:7">
      <c r="A94" s="47" t="s">
        <v>239</v>
      </c>
      <c r="B94" s="47" t="s">
        <v>473</v>
      </c>
      <c r="C94" s="47" t="s">
        <v>247</v>
      </c>
      <c r="D94" s="3">
        <v>8796900</v>
      </c>
      <c r="E94" s="3">
        <v>147106.66666666663</v>
      </c>
      <c r="F94" s="3">
        <v>25960</v>
      </c>
      <c r="G94" s="9">
        <f t="shared" si="3"/>
        <v>0.15000000000000002</v>
      </c>
    </row>
    <row r="95" spans="1:7">
      <c r="A95" s="47" t="s">
        <v>678</v>
      </c>
      <c r="B95" s="47" t="s">
        <v>577</v>
      </c>
      <c r="C95" s="47" t="s">
        <v>432</v>
      </c>
      <c r="D95" s="3">
        <v>2271000</v>
      </c>
      <c r="E95" s="3">
        <v>13405.520169851377</v>
      </c>
      <c r="F95" s="3">
        <v>24895.96602972399</v>
      </c>
      <c r="G95" s="9">
        <f t="shared" si="3"/>
        <v>0.65</v>
      </c>
    </row>
    <row r="96" spans="1:7">
      <c r="A96" s="47" t="s">
        <v>88</v>
      </c>
      <c r="B96" s="47" t="s">
        <v>588</v>
      </c>
      <c r="C96" s="47" t="s">
        <v>432</v>
      </c>
      <c r="D96" s="3">
        <v>3530779</v>
      </c>
      <c r="E96" s="3">
        <v>38027.600849256902</v>
      </c>
      <c r="F96" s="3">
        <v>24371.54989384289</v>
      </c>
      <c r="G96" s="9">
        <f t="shared" si="3"/>
        <v>0.39057502551888401</v>
      </c>
    </row>
    <row r="97" spans="1:7">
      <c r="A97" s="47" t="s">
        <v>211</v>
      </c>
      <c r="B97" s="47" t="s">
        <v>453</v>
      </c>
      <c r="C97" s="47" t="s">
        <v>206</v>
      </c>
      <c r="D97" s="3">
        <v>12460300</v>
      </c>
      <c r="E97" s="3">
        <v>216657.00000000006</v>
      </c>
      <c r="F97" s="3">
        <v>24073</v>
      </c>
      <c r="G97" s="9">
        <f t="shared" si="3"/>
        <v>9.9999999999999978E-2</v>
      </c>
    </row>
    <row r="98" spans="1:7">
      <c r="A98" s="47" t="s">
        <v>210</v>
      </c>
      <c r="B98" s="47" t="s">
        <v>452</v>
      </c>
      <c r="C98" s="47" t="s">
        <v>206</v>
      </c>
      <c r="D98" s="3">
        <v>12300200</v>
      </c>
      <c r="E98" s="3">
        <v>213867.00000000006</v>
      </c>
      <c r="F98" s="3">
        <v>23763</v>
      </c>
      <c r="G98" s="9">
        <f t="shared" si="3"/>
        <v>9.9999999999999978E-2</v>
      </c>
    </row>
    <row r="99" spans="1:7">
      <c r="A99" s="12" t="s">
        <v>604</v>
      </c>
      <c r="B99" s="12" t="s">
        <v>653</v>
      </c>
      <c r="C99" s="12" t="s">
        <v>644</v>
      </c>
      <c r="D99" s="3">
        <v>27850920</v>
      </c>
      <c r="E99" s="3">
        <v>347882.58299999998</v>
      </c>
      <c r="F99" s="3">
        <v>17661.308000000001</v>
      </c>
      <c r="G99" s="9">
        <f t="shared" si="3"/>
        <v>4.83151502044935E-2</v>
      </c>
    </row>
    <row r="100" spans="1:7">
      <c r="A100" s="12" t="s">
        <v>633</v>
      </c>
      <c r="B100" s="12" t="s">
        <v>663</v>
      </c>
      <c r="C100" s="12" t="s">
        <v>664</v>
      </c>
      <c r="D100" s="3">
        <v>5488466</v>
      </c>
      <c r="E100" s="3">
        <v>66908.791312799993</v>
      </c>
      <c r="F100" s="3">
        <v>17519.045146800003</v>
      </c>
      <c r="G100" s="9">
        <f t="shared" si="3"/>
        <v>0.20750318711747556</v>
      </c>
    </row>
    <row r="101" spans="1:7">
      <c r="A101" s="47" t="s">
        <v>85</v>
      </c>
      <c r="B101" s="47" t="s">
        <v>585</v>
      </c>
      <c r="C101" s="47" t="s">
        <v>82</v>
      </c>
      <c r="D101" s="3">
        <v>3001400</v>
      </c>
      <c r="E101" s="3">
        <v>30584.755148645207</v>
      </c>
      <c r="F101" s="3">
        <v>15756.434852</v>
      </c>
      <c r="G101" s="9">
        <f t="shared" si="3"/>
        <v>0.34000928443530742</v>
      </c>
    </row>
    <row r="102" spans="1:7">
      <c r="A102" s="47" t="s">
        <v>230</v>
      </c>
      <c r="B102" s="47" t="s">
        <v>463</v>
      </c>
      <c r="C102" s="47" t="s">
        <v>206</v>
      </c>
      <c r="D102" s="3">
        <v>7900000</v>
      </c>
      <c r="E102" s="3">
        <v>137367.00000000003</v>
      </c>
      <c r="F102" s="3">
        <v>15263</v>
      </c>
      <c r="G102" s="9">
        <f t="shared" si="3"/>
        <v>9.9999999999999978E-2</v>
      </c>
    </row>
    <row r="103" spans="1:7">
      <c r="A103" s="47" t="s">
        <v>277</v>
      </c>
      <c r="B103" s="47" t="s">
        <v>507</v>
      </c>
      <c r="C103" s="47" t="s">
        <v>119</v>
      </c>
      <c r="D103" s="3">
        <v>19446000</v>
      </c>
      <c r="E103" s="3">
        <v>280287.99999999971</v>
      </c>
      <c r="F103" s="3">
        <v>14752</v>
      </c>
      <c r="G103" s="9">
        <f t="shared" si="3"/>
        <v>5.0000000000000051E-2</v>
      </c>
    </row>
    <row r="104" spans="1:7">
      <c r="A104" s="47" t="s">
        <v>251</v>
      </c>
      <c r="B104" s="47" t="s">
        <v>481</v>
      </c>
      <c r="C104" s="47" t="s">
        <v>206</v>
      </c>
      <c r="D104" s="3">
        <v>2880200</v>
      </c>
      <c r="E104" s="3">
        <v>40005</v>
      </c>
      <c r="F104" s="3">
        <v>13335</v>
      </c>
      <c r="G104" s="9">
        <f t="shared" si="3"/>
        <v>0.25</v>
      </c>
    </row>
    <row r="105" spans="1:7">
      <c r="A105" s="47" t="s">
        <v>87</v>
      </c>
      <c r="B105" s="47" t="s">
        <v>587</v>
      </c>
      <c r="C105" s="47" t="s">
        <v>53</v>
      </c>
      <c r="D105" s="3">
        <v>4254200</v>
      </c>
      <c r="E105" s="3">
        <v>61878.980891719752</v>
      </c>
      <c r="F105" s="3">
        <v>13305.732484076434</v>
      </c>
      <c r="G105" s="9">
        <f t="shared" si="3"/>
        <v>0.1769739071501186</v>
      </c>
    </row>
    <row r="106" spans="1:7">
      <c r="A106" s="47" t="s">
        <v>462</v>
      </c>
      <c r="B106" s="47" t="s">
        <v>455</v>
      </c>
      <c r="C106" s="47" t="s">
        <v>206</v>
      </c>
      <c r="D106" s="3">
        <v>6300600</v>
      </c>
      <c r="E106" s="3">
        <v>109557.00000000003</v>
      </c>
      <c r="F106" s="3">
        <v>12173</v>
      </c>
      <c r="G106" s="9">
        <f t="shared" si="3"/>
        <v>9.9999999999999978E-2</v>
      </c>
    </row>
    <row r="107" spans="1:7">
      <c r="A107" s="47" t="s">
        <v>71</v>
      </c>
      <c r="B107" s="47" t="s">
        <v>572</v>
      </c>
      <c r="C107" s="47" t="s">
        <v>70</v>
      </c>
      <c r="D107" s="3">
        <v>9946903</v>
      </c>
      <c r="E107" s="3">
        <v>166896.15420000002</v>
      </c>
      <c r="F107" s="3">
        <v>11465.991</v>
      </c>
      <c r="G107" s="9">
        <f t="shared" si="3"/>
        <v>6.4284890648422174E-2</v>
      </c>
    </row>
    <row r="108" spans="1:7">
      <c r="A108" s="47" t="s">
        <v>86</v>
      </c>
      <c r="B108" s="47" t="s">
        <v>586</v>
      </c>
      <c r="C108" s="47" t="s">
        <v>432</v>
      </c>
      <c r="D108" s="3">
        <v>1500000</v>
      </c>
      <c r="E108" s="3">
        <v>16154.989384288741</v>
      </c>
      <c r="F108" s="3">
        <v>10354.564755838641</v>
      </c>
      <c r="G108" s="9">
        <f t="shared" si="3"/>
        <v>0.39059746916546545</v>
      </c>
    </row>
    <row r="109" spans="1:7">
      <c r="A109" s="47" t="s">
        <v>204</v>
      </c>
      <c r="B109" s="47" t="s">
        <v>447</v>
      </c>
      <c r="C109" s="47" t="s">
        <v>118</v>
      </c>
      <c r="D109" s="3">
        <v>3800000</v>
      </c>
      <c r="E109" s="3">
        <v>54008.999999999993</v>
      </c>
      <c r="F109" s="3">
        <v>9531</v>
      </c>
      <c r="G109" s="9">
        <f t="shared" si="3"/>
        <v>0.15000000000000002</v>
      </c>
    </row>
    <row r="110" spans="1:7">
      <c r="A110" s="47" t="s">
        <v>518</v>
      </c>
      <c r="B110" s="47" t="s">
        <v>517</v>
      </c>
      <c r="C110" s="47" t="s">
        <v>206</v>
      </c>
      <c r="D110" s="3">
        <v>3157774</v>
      </c>
      <c r="E110" s="3">
        <v>46126.529327557444</v>
      </c>
      <c r="F110" s="3">
        <v>8566.23</v>
      </c>
      <c r="G110" s="9">
        <f t="shared" si="3"/>
        <v>0.15662457161278798</v>
      </c>
    </row>
    <row r="111" spans="1:7">
      <c r="A111" s="47" t="s">
        <v>459</v>
      </c>
      <c r="B111" s="47" t="s">
        <v>451</v>
      </c>
      <c r="C111" s="47" t="s">
        <v>206</v>
      </c>
      <c r="D111" s="3">
        <v>4150000</v>
      </c>
      <c r="E111" s="3">
        <v>72171.000000000015</v>
      </c>
      <c r="F111" s="3">
        <v>8019</v>
      </c>
      <c r="G111" s="9">
        <f t="shared" si="3"/>
        <v>9.9999999999999978E-2</v>
      </c>
    </row>
    <row r="112" spans="1:7">
      <c r="A112" s="12" t="s">
        <v>607</v>
      </c>
      <c r="B112" s="12" t="s">
        <v>654</v>
      </c>
      <c r="C112" s="12" t="s">
        <v>644</v>
      </c>
      <c r="D112" s="3">
        <v>2476640</v>
      </c>
      <c r="E112" s="3">
        <v>31948.656000000003</v>
      </c>
      <c r="F112" s="3">
        <v>7987.1640000000007</v>
      </c>
      <c r="G112" s="9">
        <f t="shared" si="3"/>
        <v>0.19999999999999998</v>
      </c>
    </row>
    <row r="113" spans="1:7">
      <c r="A113" s="47" t="s">
        <v>203</v>
      </c>
      <c r="B113" s="47" t="s">
        <v>446</v>
      </c>
      <c r="C113" s="47" t="s">
        <v>118</v>
      </c>
      <c r="D113" s="3">
        <v>5118575</v>
      </c>
      <c r="E113" s="3">
        <v>53775.000000000015</v>
      </c>
      <c r="F113" s="3">
        <v>5975</v>
      </c>
      <c r="G113" s="9">
        <f t="shared" si="3"/>
        <v>9.9999999999999978E-2</v>
      </c>
    </row>
    <row r="114" spans="1:7">
      <c r="A114" s="47" t="s">
        <v>272</v>
      </c>
      <c r="B114" s="47" t="s">
        <v>504</v>
      </c>
      <c r="C114" s="47" t="s">
        <v>206</v>
      </c>
      <c r="D114" s="3">
        <v>1600000</v>
      </c>
      <c r="E114" s="3">
        <v>26270.666666666661</v>
      </c>
      <c r="F114" s="3">
        <v>4636</v>
      </c>
      <c r="G114" s="9">
        <f t="shared" si="3"/>
        <v>0.15000000000000002</v>
      </c>
    </row>
    <row r="115" spans="1:7">
      <c r="A115" s="47" t="s">
        <v>342</v>
      </c>
      <c r="B115" s="47" t="s">
        <v>444</v>
      </c>
      <c r="C115" s="47" t="s">
        <v>199</v>
      </c>
      <c r="D115" s="3">
        <v>908154</v>
      </c>
      <c r="E115" s="3">
        <v>8982.1515227582186</v>
      </c>
      <c r="F115" s="3">
        <v>3202.76</v>
      </c>
      <c r="G115" s="9">
        <f t="shared" si="3"/>
        <v>0.26284638948900735</v>
      </c>
    </row>
    <row r="116" spans="1:7">
      <c r="A116" s="47" t="s">
        <v>208</v>
      </c>
      <c r="B116" s="47" t="s">
        <v>450</v>
      </c>
      <c r="C116" s="47" t="s">
        <v>206</v>
      </c>
      <c r="D116" s="3">
        <v>1600000</v>
      </c>
      <c r="E116" s="3">
        <v>27828.000000000007</v>
      </c>
      <c r="F116" s="3">
        <v>3092</v>
      </c>
      <c r="G116" s="9">
        <f t="shared" si="3"/>
        <v>9.9999999999999978E-2</v>
      </c>
    </row>
    <row r="117" spans="1:7">
      <c r="A117" s="47" t="s">
        <v>89</v>
      </c>
      <c r="B117" s="47" t="s">
        <v>589</v>
      </c>
      <c r="C117" s="47" t="s">
        <v>432</v>
      </c>
      <c r="D117" s="3">
        <v>410486</v>
      </c>
      <c r="E117" s="3">
        <v>4420.3821656050959</v>
      </c>
      <c r="F117" s="3">
        <v>2834.3949044585988</v>
      </c>
      <c r="G117" s="9">
        <f t="shared" si="3"/>
        <v>0.39069359086918348</v>
      </c>
    </row>
    <row r="118" spans="1:7">
      <c r="A118" s="47" t="s">
        <v>337</v>
      </c>
      <c r="B118" s="47" t="s">
        <v>516</v>
      </c>
      <c r="C118" s="47" t="s">
        <v>248</v>
      </c>
      <c r="D118" s="3">
        <v>745799</v>
      </c>
      <c r="E118" s="3">
        <v>7766.5907560105725</v>
      </c>
      <c r="F118" s="3">
        <v>2350.62</v>
      </c>
      <c r="G118" s="9">
        <f t="shared" si="3"/>
        <v>0.23233874006267102</v>
      </c>
    </row>
    <row r="119" spans="1:7">
      <c r="A119" s="47" t="s">
        <v>72</v>
      </c>
      <c r="B119" s="47" t="s">
        <v>573</v>
      </c>
      <c r="C119" s="47" t="s">
        <v>70</v>
      </c>
      <c r="D119" s="3">
        <v>1549538</v>
      </c>
      <c r="E119" s="3">
        <v>25999.863000000005</v>
      </c>
      <c r="F119" s="3">
        <v>1785.8838000000001</v>
      </c>
      <c r="G119" s="9">
        <f t="shared" si="3"/>
        <v>6.4273377744880331E-2</v>
      </c>
    </row>
    <row r="120" spans="1:7">
      <c r="A120" s="47" t="s">
        <v>229</v>
      </c>
      <c r="B120" s="47" t="s">
        <v>229</v>
      </c>
      <c r="C120" s="47" t="s">
        <v>206</v>
      </c>
      <c r="D120" s="3">
        <v>100000</v>
      </c>
      <c r="E120" s="3">
        <v>1746.0000000000005</v>
      </c>
      <c r="F120" s="3">
        <v>194</v>
      </c>
      <c r="G120" s="9">
        <f t="shared" si="3"/>
        <v>9.9999999999999978E-2</v>
      </c>
    </row>
    <row r="121" spans="1:7">
      <c r="A121" s="47" t="s">
        <v>74</v>
      </c>
      <c r="B121" s="47" t="s">
        <v>575</v>
      </c>
      <c r="C121" s="47" t="s">
        <v>75</v>
      </c>
      <c r="D121" s="3">
        <v>7143000</v>
      </c>
      <c r="E121" s="3">
        <v>0</v>
      </c>
      <c r="F121" s="3">
        <v>0</v>
      </c>
      <c r="G121" s="9">
        <v>0</v>
      </c>
    </row>
    <row r="123" spans="1:7">
      <c r="A123" s="47" t="s">
        <v>223</v>
      </c>
      <c r="D123" s="3">
        <f>SUM(D2:D121)</f>
        <v>5942045684.5710382</v>
      </c>
      <c r="E123" s="3">
        <f t="shared" ref="E123:F123" si="4">SUM(E2:E121)</f>
        <v>72625365.191367254</v>
      </c>
      <c r="F123" s="3">
        <f t="shared" si="4"/>
        <v>30692215.983643666</v>
      </c>
      <c r="G123" s="9">
        <f>SUM(F123/(E123+F123))</f>
        <v>0.29706672992715288</v>
      </c>
    </row>
  </sheetData>
  <sortState ref="A2:G121">
    <sortCondition descending="1" ref="F2:F121"/>
  </sortState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7.5" customWidth="1"/>
    <col min="2" max="2" width="13.6640625" bestFit="1" customWidth="1"/>
    <col min="3" max="3" width="11.1640625" bestFit="1" customWidth="1"/>
  </cols>
  <sheetData>
    <row r="1" spans="1:4">
      <c r="A1" t="s">
        <v>217</v>
      </c>
    </row>
    <row r="3" spans="1:4">
      <c r="A3" t="s">
        <v>218</v>
      </c>
    </row>
    <row r="4" spans="1:4">
      <c r="A4" t="s">
        <v>219</v>
      </c>
    </row>
    <row r="6" spans="1:4">
      <c r="B6" t="s">
        <v>224</v>
      </c>
      <c r="C6" t="s">
        <v>225</v>
      </c>
      <c r="D6" t="s">
        <v>226</v>
      </c>
    </row>
    <row r="7" spans="1:4">
      <c r="A7" t="s">
        <v>97</v>
      </c>
      <c r="B7" s="3">
        <v>750.87</v>
      </c>
      <c r="C7" s="3">
        <v>83</v>
      </c>
      <c r="D7" s="4">
        <f>SUM(C7/(B7+C7)*100)</f>
        <v>9.9535898881120559</v>
      </c>
    </row>
    <row r="8" spans="1:4">
      <c r="A8" t="s">
        <v>220</v>
      </c>
      <c r="B8" s="3">
        <v>31386.37</v>
      </c>
      <c r="C8" s="3">
        <v>3487</v>
      </c>
      <c r="D8" s="4">
        <f t="shared" ref="D8:D14" si="0">SUM(C8/(B8+C8)*100)</f>
        <v>9.9990336465905099</v>
      </c>
    </row>
    <row r="9" spans="1:4">
      <c r="A9" t="s">
        <v>100</v>
      </c>
      <c r="B9" s="3">
        <v>15017.4</v>
      </c>
      <c r="C9" s="3">
        <v>1669</v>
      </c>
      <c r="D9" s="4">
        <f t="shared" si="0"/>
        <v>10.002157445584427</v>
      </c>
    </row>
    <row r="10" spans="1:4">
      <c r="A10" t="s">
        <v>101</v>
      </c>
      <c r="B10" s="3">
        <v>4445.1499999999996</v>
      </c>
      <c r="C10" s="3">
        <v>494</v>
      </c>
      <c r="D10" s="4">
        <f t="shared" si="0"/>
        <v>10.001720943887108</v>
      </c>
    </row>
    <row r="11" spans="1:4">
      <c r="A11" t="s">
        <v>102</v>
      </c>
      <c r="B11" s="3">
        <v>26670.9</v>
      </c>
      <c r="C11" s="3">
        <v>2963</v>
      </c>
      <c r="D11" s="4">
        <f t="shared" si="0"/>
        <v>9.9986839396771927</v>
      </c>
    </row>
    <row r="12" spans="1:4">
      <c r="A12" t="s">
        <v>103</v>
      </c>
      <c r="B12" s="3">
        <v>1501.74</v>
      </c>
      <c r="C12" s="3">
        <v>167</v>
      </c>
      <c r="D12" s="4">
        <f t="shared" si="0"/>
        <v>10.007550607044836</v>
      </c>
    </row>
    <row r="13" spans="1:4">
      <c r="A13" t="s">
        <v>221</v>
      </c>
      <c r="B13" s="3">
        <v>75.09</v>
      </c>
      <c r="C13" s="3">
        <v>8</v>
      </c>
      <c r="D13" s="4">
        <f t="shared" si="0"/>
        <v>9.6281140931520035</v>
      </c>
    </row>
    <row r="14" spans="1:4">
      <c r="A14" t="s">
        <v>222</v>
      </c>
      <c r="B14" s="3">
        <v>65220.57</v>
      </c>
      <c r="C14" s="3">
        <v>7247</v>
      </c>
      <c r="D14" s="4">
        <f t="shared" si="0"/>
        <v>10.000335322406974</v>
      </c>
    </row>
    <row r="15" spans="1:4">
      <c r="B15" s="3"/>
      <c r="C15" s="3"/>
    </row>
    <row r="16" spans="1:4">
      <c r="A16" t="s">
        <v>223</v>
      </c>
      <c r="B16" s="3">
        <f>SUM(B7:B14)</f>
        <v>145068.09</v>
      </c>
      <c r="C16" s="3">
        <f t="shared" ref="C16" si="1">SUM(C7:C14)</f>
        <v>16118</v>
      </c>
    </row>
    <row r="18" spans="1:1">
      <c r="A18" t="s">
        <v>227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5"/>
  <sheetViews>
    <sheetView workbookViewId="0">
      <pane ySplit="1" topLeftCell="A2" activePane="bottomLeft" state="frozen"/>
      <selection pane="bottomLeft" activeCell="F2" sqref="F2"/>
    </sheetView>
  </sheetViews>
  <sheetFormatPr baseColWidth="10" defaultColWidth="8.83203125" defaultRowHeight="14" x14ac:dyDescent="0"/>
  <cols>
    <col min="1" max="1" width="19.1640625" bestFit="1" customWidth="1"/>
    <col min="2" max="2" width="19.1640625" customWidth="1"/>
    <col min="3" max="3" width="17.5" customWidth="1"/>
    <col min="5" max="5" width="19.6640625" bestFit="1" customWidth="1"/>
    <col min="6" max="6" width="20.83203125" bestFit="1" customWidth="1"/>
    <col min="7" max="7" width="20.5" bestFit="1" customWidth="1"/>
    <col min="8" max="8" width="12.5" bestFit="1" customWidth="1"/>
    <col min="9" max="10" width="14.5" bestFit="1" customWidth="1"/>
    <col min="11" max="11" width="16.1640625" bestFit="1" customWidth="1"/>
  </cols>
  <sheetData>
    <row r="1" spans="1:12">
      <c r="A1" s="1" t="s">
        <v>0</v>
      </c>
      <c r="B1" s="1" t="s">
        <v>411</v>
      </c>
      <c r="C1" s="1" t="s">
        <v>1</v>
      </c>
      <c r="D1" s="1" t="s">
        <v>52</v>
      </c>
      <c r="E1" s="2" t="s">
        <v>43</v>
      </c>
      <c r="F1" s="2" t="s">
        <v>61</v>
      </c>
      <c r="G1" s="2" t="s">
        <v>191</v>
      </c>
      <c r="H1" s="2" t="s">
        <v>348</v>
      </c>
      <c r="I1" s="2" t="s">
        <v>328</v>
      </c>
      <c r="J1" s="2" t="s">
        <v>333</v>
      </c>
      <c r="K1" s="2" t="s">
        <v>48</v>
      </c>
      <c r="L1" s="2" t="s">
        <v>349</v>
      </c>
    </row>
    <row r="2" spans="1:12">
      <c r="A2" t="s">
        <v>202</v>
      </c>
      <c r="C2" s="1" t="s">
        <v>386</v>
      </c>
      <c r="D2" t="s">
        <v>119</v>
      </c>
      <c r="E2" s="3">
        <v>338344500</v>
      </c>
      <c r="F2" s="3">
        <v>724057</v>
      </c>
      <c r="G2" s="3">
        <v>1250724</v>
      </c>
      <c r="H2" s="3">
        <v>592103</v>
      </c>
      <c r="I2" s="3">
        <v>2566884</v>
      </c>
      <c r="J2" s="3">
        <v>2566884</v>
      </c>
      <c r="K2" s="9">
        <v>0.5</v>
      </c>
      <c r="L2" s="9">
        <v>0.5</v>
      </c>
    </row>
    <row r="3" spans="1:12">
      <c r="A3" t="s">
        <v>325</v>
      </c>
      <c r="C3" t="s">
        <v>336</v>
      </c>
      <c r="D3" t="s">
        <v>119</v>
      </c>
      <c r="E3" s="3">
        <v>34012650</v>
      </c>
      <c r="F3" s="3">
        <v>84524.800000000003</v>
      </c>
      <c r="G3" s="3">
        <v>146006.72</v>
      </c>
      <c r="H3" s="3">
        <v>45422.21</v>
      </c>
      <c r="I3" s="3">
        <v>199311.84379021038</v>
      </c>
      <c r="J3" s="3">
        <v>275953.73000000004</v>
      </c>
      <c r="K3" s="9">
        <v>0.5806305889132426</v>
      </c>
      <c r="L3" s="9">
        <v>0.4193694110867574</v>
      </c>
    </row>
    <row r="4" spans="1:12">
      <c r="A4" t="s">
        <v>323</v>
      </c>
      <c r="C4" t="s">
        <v>347</v>
      </c>
      <c r="D4" t="s">
        <v>119</v>
      </c>
      <c r="E4" s="3">
        <v>15094293</v>
      </c>
      <c r="F4" s="3">
        <v>32301.78</v>
      </c>
      <c r="G4" s="3">
        <v>55797.56</v>
      </c>
      <c r="H4" s="3">
        <v>17358.439999999999</v>
      </c>
      <c r="I4" s="3">
        <v>105457.7660268019</v>
      </c>
      <c r="J4" s="3">
        <v>105457.78</v>
      </c>
      <c r="K4" s="9">
        <v>0.50000003312510233</v>
      </c>
      <c r="L4" s="9">
        <v>0.49999996687489767</v>
      </c>
    </row>
    <row r="5" spans="1:12">
      <c r="A5" t="s">
        <v>189</v>
      </c>
      <c r="C5" t="s">
        <v>280</v>
      </c>
      <c r="D5" t="s">
        <v>119</v>
      </c>
      <c r="E5" s="3">
        <v>17516300</v>
      </c>
      <c r="F5" s="3">
        <v>29988</v>
      </c>
      <c r="G5" s="3">
        <v>51801</v>
      </c>
      <c r="H5" s="3">
        <v>16115</v>
      </c>
      <c r="I5" s="3">
        <v>146856</v>
      </c>
      <c r="J5" s="3">
        <v>97904</v>
      </c>
      <c r="K5" s="9">
        <v>0.4</v>
      </c>
      <c r="L5" s="9">
        <v>0.6</v>
      </c>
    </row>
    <row r="6" spans="1:12">
      <c r="A6" t="s">
        <v>295</v>
      </c>
      <c r="C6" t="s">
        <v>278</v>
      </c>
      <c r="D6" t="s">
        <v>119</v>
      </c>
      <c r="E6" s="3">
        <v>9970374</v>
      </c>
      <c r="F6" s="3">
        <v>29483.27</v>
      </c>
      <c r="G6" s="3">
        <v>50928.91</v>
      </c>
      <c r="H6" s="3">
        <v>15843.81</v>
      </c>
      <c r="I6" s="3">
        <v>43062.032569160867</v>
      </c>
      <c r="J6" s="3">
        <v>96255.99</v>
      </c>
      <c r="K6" s="9">
        <v>0.69090838518193998</v>
      </c>
      <c r="L6" s="9">
        <v>0.30909161481806002</v>
      </c>
    </row>
    <row r="7" spans="1:12">
      <c r="A7" t="s">
        <v>290</v>
      </c>
      <c r="C7" t="s">
        <v>329</v>
      </c>
      <c r="D7" t="s">
        <v>119</v>
      </c>
      <c r="E7" s="3">
        <v>31356776</v>
      </c>
      <c r="F7" s="3">
        <v>10523.88</v>
      </c>
      <c r="G7" s="3">
        <v>21382.07</v>
      </c>
      <c r="H7" s="3">
        <v>16336.53</v>
      </c>
      <c r="I7" s="3">
        <v>566977.96502467827</v>
      </c>
      <c r="J7" s="3">
        <v>48242.479999999996</v>
      </c>
      <c r="K7" s="9">
        <v>7.8414949291980784E-2</v>
      </c>
      <c r="L7" s="9">
        <v>0.92158505070801922</v>
      </c>
    </row>
    <row r="8" spans="1:12">
      <c r="A8" t="s">
        <v>306</v>
      </c>
      <c r="C8" t="s">
        <v>332</v>
      </c>
      <c r="D8" t="s">
        <v>119</v>
      </c>
      <c r="E8" s="3">
        <v>6146187</v>
      </c>
      <c r="F8" s="3">
        <v>10665.24</v>
      </c>
      <c r="G8" s="3">
        <v>18422.95</v>
      </c>
      <c r="H8" s="3">
        <v>5731.32</v>
      </c>
      <c r="I8" s="3">
        <v>51062.391003327619</v>
      </c>
      <c r="J8" s="3">
        <v>34819.51</v>
      </c>
      <c r="K8" s="9">
        <v>0.40543478420035056</v>
      </c>
      <c r="L8" s="9">
        <v>0.59456521579964949</v>
      </c>
    </row>
    <row r="9" spans="1:12">
      <c r="A9" t="s">
        <v>312</v>
      </c>
      <c r="C9" t="s">
        <v>332</v>
      </c>
      <c r="D9" t="s">
        <v>119</v>
      </c>
      <c r="E9" s="3">
        <v>6307222</v>
      </c>
      <c r="F9" s="3">
        <v>9739.9599999999991</v>
      </c>
      <c r="G9" s="3">
        <v>16824.650000000001</v>
      </c>
      <c r="H9" s="3">
        <v>5234.09</v>
      </c>
      <c r="I9" s="3">
        <v>56333.375962564358</v>
      </c>
      <c r="J9" s="3">
        <v>31798.7</v>
      </c>
      <c r="K9" s="9">
        <v>0.36080734117175517</v>
      </c>
      <c r="L9" s="9">
        <v>0.63919265882824483</v>
      </c>
    </row>
    <row r="10" spans="1:12">
      <c r="A10" t="s">
        <v>187</v>
      </c>
      <c r="C10" t="s">
        <v>278</v>
      </c>
      <c r="D10" t="s">
        <v>119</v>
      </c>
      <c r="E10" s="3">
        <v>41038000</v>
      </c>
      <c r="F10" s="3">
        <v>8782</v>
      </c>
      <c r="G10" s="3">
        <v>15170</v>
      </c>
      <c r="H10" s="3">
        <v>7181</v>
      </c>
      <c r="I10" s="3">
        <v>591526.99999999942</v>
      </c>
      <c r="J10" s="3">
        <v>31133</v>
      </c>
      <c r="K10" s="9">
        <v>5.0000000000000044E-2</v>
      </c>
      <c r="L10" s="9">
        <v>0.95</v>
      </c>
    </row>
    <row r="11" spans="1:12">
      <c r="A11" t="s">
        <v>186</v>
      </c>
      <c r="C11" t="s">
        <v>277</v>
      </c>
      <c r="D11" t="s">
        <v>119</v>
      </c>
      <c r="E11" s="3">
        <v>19446000</v>
      </c>
      <c r="F11" s="3">
        <v>4161</v>
      </c>
      <c r="G11" s="3">
        <v>7188</v>
      </c>
      <c r="H11" s="3">
        <v>3403</v>
      </c>
      <c r="I11" s="3">
        <v>280287.99999999971</v>
      </c>
      <c r="J11" s="3">
        <v>14752</v>
      </c>
      <c r="K11" s="9">
        <v>5.0000000000000044E-2</v>
      </c>
      <c r="L11" s="9">
        <v>0.95</v>
      </c>
    </row>
    <row r="12" spans="1:12">
      <c r="A12" t="s">
        <v>305</v>
      </c>
      <c r="C12" t="s">
        <v>332</v>
      </c>
      <c r="D12" t="s">
        <v>119</v>
      </c>
      <c r="E12" s="3">
        <v>2932413</v>
      </c>
      <c r="F12" s="3">
        <v>4035.0600000000004</v>
      </c>
      <c r="G12" s="3">
        <v>6970.09</v>
      </c>
      <c r="H12" s="3">
        <v>2168.37</v>
      </c>
      <c r="I12" s="3">
        <v>27801.649265664728</v>
      </c>
      <c r="J12" s="3">
        <v>13173.52</v>
      </c>
      <c r="K12" s="9">
        <v>0.32150007519404666</v>
      </c>
      <c r="L12" s="9">
        <v>0.67849992480595334</v>
      </c>
    </row>
    <row r="13" spans="1:12">
      <c r="A13" t="s">
        <v>241</v>
      </c>
      <c r="C13" s="1" t="s">
        <v>244</v>
      </c>
      <c r="D13" t="s">
        <v>206</v>
      </c>
      <c r="E13" s="3">
        <v>226915000</v>
      </c>
      <c r="F13" s="3">
        <v>388479</v>
      </c>
      <c r="G13" s="3">
        <v>789301</v>
      </c>
      <c r="H13" s="3">
        <v>575819</v>
      </c>
      <c r="I13" s="3">
        <v>2630398.5</v>
      </c>
      <c r="J13" s="3">
        <v>1753599</v>
      </c>
      <c r="K13" s="9">
        <v>0.4</v>
      </c>
      <c r="L13" s="9">
        <v>0.6</v>
      </c>
    </row>
    <row r="14" spans="1:12">
      <c r="A14" t="s">
        <v>162</v>
      </c>
      <c r="C14" s="1" t="s">
        <v>253</v>
      </c>
      <c r="D14" t="s">
        <v>206</v>
      </c>
      <c r="E14" s="3">
        <v>93350900</v>
      </c>
      <c r="F14" s="3">
        <v>199771</v>
      </c>
      <c r="G14" s="3">
        <v>405890</v>
      </c>
      <c r="H14" s="3">
        <v>258769</v>
      </c>
      <c r="I14" s="3">
        <v>864430</v>
      </c>
      <c r="J14" s="3">
        <v>864430</v>
      </c>
      <c r="K14" s="9">
        <v>0.5</v>
      </c>
      <c r="L14" s="9">
        <v>0.5</v>
      </c>
    </row>
    <row r="15" spans="1:12">
      <c r="A15" t="s">
        <v>178</v>
      </c>
      <c r="C15" s="1" t="s">
        <v>268</v>
      </c>
      <c r="D15" t="s">
        <v>206</v>
      </c>
      <c r="E15" s="3">
        <v>116166200</v>
      </c>
      <c r="F15" s="3">
        <v>198877</v>
      </c>
      <c r="G15" s="3">
        <v>404073</v>
      </c>
      <c r="H15" s="3">
        <v>201850</v>
      </c>
      <c r="I15" s="3">
        <v>1207200</v>
      </c>
      <c r="J15" s="3">
        <v>804800</v>
      </c>
      <c r="K15" s="9">
        <v>0.4</v>
      </c>
      <c r="L15" s="9">
        <v>0.6</v>
      </c>
    </row>
    <row r="16" spans="1:12">
      <c r="A16" t="s">
        <v>180</v>
      </c>
      <c r="C16" s="1" t="s">
        <v>269</v>
      </c>
      <c r="D16" t="s">
        <v>206</v>
      </c>
      <c r="E16" s="3">
        <v>161959000</v>
      </c>
      <c r="F16" s="3">
        <v>173296</v>
      </c>
      <c r="G16" s="3">
        <v>352099</v>
      </c>
      <c r="H16" s="3">
        <v>256868</v>
      </c>
      <c r="I16" s="3">
        <v>2346789</v>
      </c>
      <c r="J16" s="3">
        <v>782263</v>
      </c>
      <c r="K16" s="9">
        <v>0.25</v>
      </c>
      <c r="L16" s="9">
        <v>0.75</v>
      </c>
    </row>
    <row r="17" spans="1:12">
      <c r="A17" t="s">
        <v>188</v>
      </c>
      <c r="C17" s="1" t="s">
        <v>279</v>
      </c>
      <c r="D17" t="s">
        <v>206</v>
      </c>
      <c r="E17" s="3">
        <v>106133800</v>
      </c>
      <c r="F17" s="3">
        <v>181701</v>
      </c>
      <c r="G17" s="3">
        <v>369176</v>
      </c>
      <c r="H17" s="3">
        <v>184418</v>
      </c>
      <c r="I17" s="3">
        <v>1102942.5</v>
      </c>
      <c r="J17" s="3">
        <v>735295</v>
      </c>
      <c r="K17" s="9">
        <v>0.4</v>
      </c>
      <c r="L17" s="9">
        <v>0.6</v>
      </c>
    </row>
    <row r="18" spans="1:12">
      <c r="A18" t="s">
        <v>161</v>
      </c>
      <c r="C18" s="1" t="s">
        <v>252</v>
      </c>
      <c r="D18" t="s">
        <v>206</v>
      </c>
      <c r="E18" s="3">
        <v>135494500</v>
      </c>
      <c r="F18" s="3">
        <v>144979</v>
      </c>
      <c r="G18" s="3">
        <v>294565</v>
      </c>
      <c r="H18" s="3">
        <v>187795</v>
      </c>
      <c r="I18" s="3">
        <v>1882017</v>
      </c>
      <c r="J18" s="3">
        <v>627339</v>
      </c>
      <c r="K18" s="9">
        <v>0.25</v>
      </c>
      <c r="L18" s="9">
        <v>0.75</v>
      </c>
    </row>
    <row r="19" spans="1:12">
      <c r="A19" t="s">
        <v>163</v>
      </c>
      <c r="C19" s="1" t="s">
        <v>254</v>
      </c>
      <c r="D19" t="s">
        <v>206</v>
      </c>
      <c r="E19" s="3">
        <v>133368000</v>
      </c>
      <c r="F19" s="3">
        <v>142704</v>
      </c>
      <c r="G19" s="3">
        <v>289942</v>
      </c>
      <c r="H19" s="3">
        <v>184847</v>
      </c>
      <c r="I19" s="3">
        <v>1852479</v>
      </c>
      <c r="J19" s="3">
        <v>617493</v>
      </c>
      <c r="K19" s="9">
        <v>0.25</v>
      </c>
      <c r="L19" s="9">
        <v>0.75</v>
      </c>
    </row>
    <row r="20" spans="1:12">
      <c r="A20" t="s">
        <v>308</v>
      </c>
      <c r="C20" t="s">
        <v>339</v>
      </c>
      <c r="D20" t="s">
        <v>206</v>
      </c>
      <c r="E20" s="3">
        <v>102613778</v>
      </c>
      <c r="F20" s="3">
        <v>147278.28</v>
      </c>
      <c r="G20" s="3">
        <v>299236.44</v>
      </c>
      <c r="H20" s="3">
        <v>149480.57</v>
      </c>
      <c r="I20" s="3">
        <v>1181275.31967246</v>
      </c>
      <c r="J20" s="3">
        <v>595995.29</v>
      </c>
      <c r="K20" s="9">
        <v>0.33534301797171917</v>
      </c>
      <c r="L20" s="9">
        <v>0.66465698202828083</v>
      </c>
    </row>
    <row r="21" spans="1:12">
      <c r="A21" t="s">
        <v>310</v>
      </c>
      <c r="C21" t="s">
        <v>271</v>
      </c>
      <c r="D21" t="s">
        <v>206</v>
      </c>
      <c r="E21" s="3">
        <v>99925426</v>
      </c>
      <c r="F21" s="3">
        <v>142200.13</v>
      </c>
      <c r="G21" s="3">
        <v>288918.76</v>
      </c>
      <c r="H21" s="3">
        <v>144326.49</v>
      </c>
      <c r="I21" s="3">
        <v>1155263.0034930687</v>
      </c>
      <c r="J21" s="3">
        <v>575445.38</v>
      </c>
      <c r="K21" s="9">
        <v>0.33249124201882313</v>
      </c>
      <c r="L21" s="9">
        <v>0.66750875798117693</v>
      </c>
    </row>
    <row r="22" spans="1:12">
      <c r="A22" t="s">
        <v>282</v>
      </c>
      <c r="C22" t="s">
        <v>287</v>
      </c>
      <c r="D22" t="s">
        <v>206</v>
      </c>
      <c r="E22" s="3">
        <v>79232100</v>
      </c>
      <c r="F22" s="3">
        <v>135645</v>
      </c>
      <c r="G22" s="3">
        <v>275601</v>
      </c>
      <c r="H22" s="3">
        <v>137674</v>
      </c>
      <c r="I22" s="3">
        <v>823380</v>
      </c>
      <c r="J22" s="3">
        <v>548920</v>
      </c>
      <c r="K22" s="9">
        <v>0.4</v>
      </c>
      <c r="L22" s="9">
        <v>0.6</v>
      </c>
    </row>
    <row r="23" spans="1:12">
      <c r="A23" t="s">
        <v>242</v>
      </c>
      <c r="C23" t="s">
        <v>245</v>
      </c>
      <c r="D23" t="s">
        <v>206</v>
      </c>
      <c r="E23" s="3">
        <v>61517000</v>
      </c>
      <c r="F23" s="3">
        <v>118481</v>
      </c>
      <c r="G23" s="3">
        <v>240728</v>
      </c>
      <c r="H23" s="3">
        <v>175619</v>
      </c>
      <c r="I23" s="3">
        <v>653678.66666666674</v>
      </c>
      <c r="J23" s="3">
        <v>534828</v>
      </c>
      <c r="K23" s="9">
        <v>0.44999999999999996</v>
      </c>
      <c r="L23" s="9">
        <v>0.55000000000000004</v>
      </c>
    </row>
    <row r="24" spans="1:12">
      <c r="A24" t="s">
        <v>275</v>
      </c>
      <c r="C24" t="s">
        <v>276</v>
      </c>
      <c r="D24" t="s">
        <v>206</v>
      </c>
      <c r="E24" s="3">
        <v>61260900</v>
      </c>
      <c r="F24" s="3">
        <v>131098</v>
      </c>
      <c r="G24" s="3">
        <v>266362</v>
      </c>
      <c r="H24" s="3">
        <v>133058</v>
      </c>
      <c r="I24" s="3">
        <v>530518</v>
      </c>
      <c r="J24" s="3">
        <v>530518</v>
      </c>
      <c r="K24" s="9">
        <v>0.5</v>
      </c>
      <c r="L24" s="9">
        <v>0.5</v>
      </c>
    </row>
    <row r="25" spans="1:12">
      <c r="A25" t="s">
        <v>318</v>
      </c>
      <c r="C25" t="s">
        <v>271</v>
      </c>
      <c r="D25" t="s">
        <v>206</v>
      </c>
      <c r="E25" s="3">
        <v>64337670</v>
      </c>
      <c r="F25" s="3">
        <v>129955.61</v>
      </c>
      <c r="G25" s="3">
        <v>264040.64</v>
      </c>
      <c r="H25" s="3">
        <v>131898.87</v>
      </c>
      <c r="I25" s="3">
        <v>588433.34584344691</v>
      </c>
      <c r="J25" s="3">
        <v>525895.12</v>
      </c>
      <c r="K25" s="9">
        <v>0.47193905219135229</v>
      </c>
      <c r="L25" s="9">
        <v>0.52806094780864776</v>
      </c>
    </row>
    <row r="26" spans="1:12">
      <c r="A26" t="s">
        <v>159</v>
      </c>
      <c r="C26" t="s">
        <v>251</v>
      </c>
      <c r="D26" t="s">
        <v>206</v>
      </c>
      <c r="E26" s="3">
        <v>111927000</v>
      </c>
      <c r="F26" s="3">
        <v>119762</v>
      </c>
      <c r="G26" s="3">
        <v>243329</v>
      </c>
      <c r="H26" s="3">
        <v>155130</v>
      </c>
      <c r="I26" s="3">
        <v>1554663</v>
      </c>
      <c r="J26" s="3">
        <v>518221</v>
      </c>
      <c r="K26" s="9">
        <v>0.25</v>
      </c>
      <c r="L26" s="9">
        <v>0.75</v>
      </c>
    </row>
    <row r="27" spans="1:12">
      <c r="A27" t="s">
        <v>281</v>
      </c>
      <c r="C27" t="s">
        <v>286</v>
      </c>
      <c r="D27" t="s">
        <v>206</v>
      </c>
      <c r="E27" s="3">
        <v>60000000</v>
      </c>
      <c r="F27" s="3">
        <v>115560</v>
      </c>
      <c r="G27" s="3">
        <v>234792</v>
      </c>
      <c r="H27" s="3">
        <v>117288</v>
      </c>
      <c r="I27" s="3">
        <v>571560.00000000012</v>
      </c>
      <c r="J27" s="3">
        <v>467640</v>
      </c>
      <c r="K27" s="9">
        <v>0.44999999999999996</v>
      </c>
      <c r="L27" s="9">
        <v>0.55000000000000004</v>
      </c>
    </row>
    <row r="28" spans="1:12">
      <c r="A28" t="s">
        <v>169</v>
      </c>
      <c r="C28" t="s">
        <v>260</v>
      </c>
      <c r="D28" t="s">
        <v>206</v>
      </c>
      <c r="E28" s="3">
        <v>117520000</v>
      </c>
      <c r="F28" s="3">
        <v>100597</v>
      </c>
      <c r="G28" s="3">
        <v>204391</v>
      </c>
      <c r="H28" s="3">
        <v>130306</v>
      </c>
      <c r="I28" s="3">
        <v>1741176.0000000005</v>
      </c>
      <c r="J28" s="3">
        <v>435294</v>
      </c>
      <c r="K28" s="9">
        <v>0.19999999999999996</v>
      </c>
      <c r="L28" s="9">
        <v>0.8</v>
      </c>
    </row>
    <row r="29" spans="1:12">
      <c r="A29" t="s">
        <v>168</v>
      </c>
      <c r="C29" t="s">
        <v>259</v>
      </c>
      <c r="D29" t="s">
        <v>206</v>
      </c>
      <c r="E29" s="3">
        <v>135680000</v>
      </c>
      <c r="F29" s="3">
        <v>87106</v>
      </c>
      <c r="G29" s="3">
        <v>176981</v>
      </c>
      <c r="H29" s="3">
        <v>112830</v>
      </c>
      <c r="I29" s="3">
        <v>2135862.9999999995</v>
      </c>
      <c r="J29" s="3">
        <v>376917</v>
      </c>
      <c r="K29" s="9">
        <v>0.15000000000000002</v>
      </c>
      <c r="L29" s="9">
        <v>0.85</v>
      </c>
    </row>
    <row r="30" spans="1:12">
      <c r="A30" t="s">
        <v>181</v>
      </c>
      <c r="C30" t="s">
        <v>269</v>
      </c>
      <c r="D30" t="s">
        <v>206</v>
      </c>
      <c r="E30" s="3">
        <v>75000000</v>
      </c>
      <c r="F30" s="3">
        <v>80250</v>
      </c>
      <c r="G30" s="3">
        <v>163051</v>
      </c>
      <c r="H30" s="3">
        <v>118950</v>
      </c>
      <c r="I30" s="3">
        <v>1086753</v>
      </c>
      <c r="J30" s="3">
        <v>362251</v>
      </c>
      <c r="K30" s="9">
        <v>0.25</v>
      </c>
      <c r="L30" s="9">
        <v>0.75</v>
      </c>
    </row>
    <row r="31" spans="1:12">
      <c r="A31" t="s">
        <v>170</v>
      </c>
      <c r="C31" t="s">
        <v>261</v>
      </c>
      <c r="D31" t="s">
        <v>206</v>
      </c>
      <c r="E31" s="3">
        <v>127801800</v>
      </c>
      <c r="F31" s="3">
        <v>82049</v>
      </c>
      <c r="G31" s="3">
        <v>166705</v>
      </c>
      <c r="H31" s="3">
        <v>106280</v>
      </c>
      <c r="I31" s="3">
        <v>2011859.333333333</v>
      </c>
      <c r="J31" s="3">
        <v>355034</v>
      </c>
      <c r="K31" s="9">
        <v>0.15000000000000002</v>
      </c>
      <c r="L31" s="9">
        <v>0.85</v>
      </c>
    </row>
    <row r="32" spans="1:12">
      <c r="A32" t="s">
        <v>164</v>
      </c>
      <c r="C32" t="s">
        <v>255</v>
      </c>
      <c r="D32" t="s">
        <v>206</v>
      </c>
      <c r="E32" s="3">
        <v>64666200</v>
      </c>
      <c r="F32" s="3">
        <v>69193</v>
      </c>
      <c r="G32" s="3">
        <v>140585</v>
      </c>
      <c r="H32" s="3">
        <v>70228</v>
      </c>
      <c r="I32" s="3">
        <v>840018</v>
      </c>
      <c r="J32" s="3">
        <v>280006</v>
      </c>
      <c r="K32" s="9">
        <v>0.25</v>
      </c>
      <c r="L32" s="9">
        <v>0.75</v>
      </c>
    </row>
    <row r="33" spans="1:12">
      <c r="A33" t="s">
        <v>166</v>
      </c>
      <c r="C33" t="s">
        <v>257</v>
      </c>
      <c r="D33" t="s">
        <v>206</v>
      </c>
      <c r="E33" s="3">
        <v>63265600</v>
      </c>
      <c r="F33" s="3">
        <v>67695</v>
      </c>
      <c r="G33" s="3">
        <v>137539</v>
      </c>
      <c r="H33" s="3">
        <v>68706</v>
      </c>
      <c r="I33" s="3">
        <v>821820</v>
      </c>
      <c r="J33" s="3">
        <v>273940</v>
      </c>
      <c r="K33" s="9">
        <v>0.25</v>
      </c>
      <c r="L33" s="9">
        <v>0.75</v>
      </c>
    </row>
    <row r="34" spans="1:12">
      <c r="A34" t="s">
        <v>283</v>
      </c>
      <c r="C34" t="s">
        <v>288</v>
      </c>
      <c r="D34" t="s">
        <v>206</v>
      </c>
      <c r="E34" s="3">
        <v>40467775</v>
      </c>
      <c r="F34" s="3">
        <v>60620</v>
      </c>
      <c r="G34" s="3">
        <v>123168</v>
      </c>
      <c r="H34" s="3">
        <v>89855</v>
      </c>
      <c r="I34" s="3">
        <v>508194.14285714296</v>
      </c>
      <c r="J34" s="3">
        <v>273643</v>
      </c>
      <c r="K34" s="9">
        <v>0.35</v>
      </c>
      <c r="L34" s="9">
        <v>0.65</v>
      </c>
    </row>
    <row r="35" spans="1:12">
      <c r="A35" t="s">
        <v>150</v>
      </c>
      <c r="C35" t="s">
        <v>232</v>
      </c>
      <c r="D35" t="s">
        <v>206</v>
      </c>
      <c r="E35" s="3">
        <v>68000000</v>
      </c>
      <c r="F35" s="3">
        <v>58208</v>
      </c>
      <c r="G35" s="3">
        <v>118266</v>
      </c>
      <c r="H35" s="3">
        <v>86278</v>
      </c>
      <c r="I35" s="3">
        <v>1051008.0000000002</v>
      </c>
      <c r="J35" s="3">
        <v>262752</v>
      </c>
      <c r="K35" s="9">
        <v>0.19999999999999996</v>
      </c>
      <c r="L35" s="9">
        <v>0.8</v>
      </c>
    </row>
    <row r="36" spans="1:12">
      <c r="A36" t="s">
        <v>177</v>
      </c>
      <c r="C36" t="s">
        <v>267</v>
      </c>
      <c r="D36" t="s">
        <v>206</v>
      </c>
      <c r="E36" s="3">
        <v>32081300</v>
      </c>
      <c r="F36" s="3">
        <v>54923</v>
      </c>
      <c r="G36" s="3">
        <v>111591</v>
      </c>
      <c r="H36" s="3">
        <v>81410</v>
      </c>
      <c r="I36" s="3">
        <v>371886</v>
      </c>
      <c r="J36" s="3">
        <v>247924</v>
      </c>
      <c r="K36" s="9">
        <v>0.4</v>
      </c>
      <c r="L36" s="9">
        <v>0.6</v>
      </c>
    </row>
    <row r="37" spans="1:12">
      <c r="A37" t="s">
        <v>165</v>
      </c>
      <c r="C37" t="s">
        <v>256</v>
      </c>
      <c r="D37" t="s">
        <v>206</v>
      </c>
      <c r="E37" s="3">
        <v>54356900</v>
      </c>
      <c r="F37" s="3">
        <v>58162</v>
      </c>
      <c r="G37" s="3">
        <v>118172</v>
      </c>
      <c r="H37" s="3">
        <v>59032</v>
      </c>
      <c r="I37" s="3">
        <v>706098</v>
      </c>
      <c r="J37" s="3">
        <v>235366</v>
      </c>
      <c r="K37" s="9">
        <v>0.25</v>
      </c>
      <c r="L37" s="9">
        <v>0.75</v>
      </c>
    </row>
    <row r="38" spans="1:12">
      <c r="A38" t="s">
        <v>320</v>
      </c>
      <c r="C38" t="s">
        <v>339</v>
      </c>
      <c r="D38" t="s">
        <v>206</v>
      </c>
      <c r="E38" s="3">
        <v>26494320</v>
      </c>
      <c r="F38" s="3">
        <v>54896.36</v>
      </c>
      <c r="G38" s="3">
        <v>111537.06999999999</v>
      </c>
      <c r="H38" s="3">
        <v>55717.229999999996</v>
      </c>
      <c r="I38" s="3">
        <v>236730.98305632587</v>
      </c>
      <c r="J38" s="3">
        <v>222150.65999999997</v>
      </c>
      <c r="K38" s="9">
        <v>0.48411319860256841</v>
      </c>
      <c r="L38" s="9">
        <v>0.51588680139743159</v>
      </c>
    </row>
    <row r="39" spans="1:12">
      <c r="A39" t="s">
        <v>284</v>
      </c>
      <c r="C39" t="s">
        <v>289</v>
      </c>
      <c r="D39" t="s">
        <v>206</v>
      </c>
      <c r="E39" s="3">
        <v>56822400</v>
      </c>
      <c r="F39" s="3">
        <v>48640</v>
      </c>
      <c r="G39" s="3">
        <v>98826</v>
      </c>
      <c r="H39" s="3">
        <v>49368</v>
      </c>
      <c r="I39" s="3">
        <v>787336.00000000023</v>
      </c>
      <c r="J39" s="3">
        <v>196834</v>
      </c>
      <c r="K39" s="9">
        <v>0.19999999999999996</v>
      </c>
      <c r="L39" s="9">
        <v>0.8</v>
      </c>
    </row>
    <row r="40" spans="1:12">
      <c r="A40" t="s">
        <v>143</v>
      </c>
      <c r="C40" t="s">
        <v>212</v>
      </c>
      <c r="D40" t="s">
        <v>206</v>
      </c>
      <c r="E40" s="3">
        <v>187000000</v>
      </c>
      <c r="F40" s="3">
        <v>40018</v>
      </c>
      <c r="G40" s="3">
        <v>81308</v>
      </c>
      <c r="H40" s="3">
        <v>59316</v>
      </c>
      <c r="I40" s="3">
        <v>3432197.9999999967</v>
      </c>
      <c r="J40" s="3">
        <v>180642</v>
      </c>
      <c r="K40" s="9">
        <v>5.0000000000000044E-2</v>
      </c>
      <c r="L40" s="9">
        <v>0.95</v>
      </c>
    </row>
    <row r="41" spans="1:12">
      <c r="A41" t="s">
        <v>167</v>
      </c>
      <c r="C41" t="s">
        <v>258</v>
      </c>
      <c r="D41" t="s">
        <v>206</v>
      </c>
      <c r="E41" s="3">
        <v>40339000</v>
      </c>
      <c r="F41" s="3">
        <v>43162</v>
      </c>
      <c r="G41" s="3">
        <v>87697</v>
      </c>
      <c r="H41" s="3">
        <v>43808</v>
      </c>
      <c r="I41" s="3">
        <v>524001</v>
      </c>
      <c r="J41" s="3">
        <v>174667</v>
      </c>
      <c r="K41" s="9">
        <v>0.25</v>
      </c>
      <c r="L41" s="9">
        <v>0.75</v>
      </c>
    </row>
    <row r="42" spans="1:12">
      <c r="A42" t="s">
        <v>176</v>
      </c>
      <c r="C42" t="s">
        <v>266</v>
      </c>
      <c r="D42" t="s">
        <v>206</v>
      </c>
      <c r="E42" s="3">
        <v>171139600</v>
      </c>
      <c r="F42" s="3">
        <v>36624</v>
      </c>
      <c r="G42" s="3">
        <v>74412</v>
      </c>
      <c r="H42" s="3">
        <v>54285</v>
      </c>
      <c r="I42" s="3">
        <v>3141098.9999999972</v>
      </c>
      <c r="J42" s="3">
        <v>165321</v>
      </c>
      <c r="K42" s="9">
        <v>5.0000000000000044E-2</v>
      </c>
      <c r="L42" s="9">
        <v>0.95</v>
      </c>
    </row>
    <row r="43" spans="1:12">
      <c r="A43" t="s">
        <v>235</v>
      </c>
      <c r="C43" t="s">
        <v>237</v>
      </c>
      <c r="D43" t="s">
        <v>206</v>
      </c>
      <c r="E43" s="3">
        <v>41952000</v>
      </c>
      <c r="F43" s="3">
        <v>35911</v>
      </c>
      <c r="G43" s="3">
        <v>72963</v>
      </c>
      <c r="H43" s="3">
        <v>53229</v>
      </c>
      <c r="I43" s="3">
        <v>648412.00000000023</v>
      </c>
      <c r="J43" s="3">
        <v>162103</v>
      </c>
      <c r="K43" s="9">
        <v>0.19999999999999996</v>
      </c>
      <c r="L43" s="9">
        <v>0.8</v>
      </c>
    </row>
    <row r="44" spans="1:12">
      <c r="A44" t="s">
        <v>184</v>
      </c>
      <c r="C44" t="s">
        <v>273</v>
      </c>
      <c r="D44" t="s">
        <v>206</v>
      </c>
      <c r="E44" s="3">
        <v>42500000</v>
      </c>
      <c r="F44" s="3">
        <v>27286</v>
      </c>
      <c r="G44" s="3">
        <v>55437</v>
      </c>
      <c r="H44" s="3">
        <v>40443</v>
      </c>
      <c r="I44" s="3">
        <v>697940.66666666651</v>
      </c>
      <c r="J44" s="3">
        <v>123166</v>
      </c>
      <c r="K44" s="9">
        <v>0.15000000000000002</v>
      </c>
      <c r="L44" s="9">
        <v>0.85</v>
      </c>
    </row>
    <row r="45" spans="1:12">
      <c r="A45" t="s">
        <v>236</v>
      </c>
      <c r="C45" t="s">
        <v>234</v>
      </c>
      <c r="D45" t="s">
        <v>206</v>
      </c>
      <c r="E45" s="3">
        <v>57000000</v>
      </c>
      <c r="F45" s="3">
        <v>24396</v>
      </c>
      <c r="G45" s="3">
        <v>49567</v>
      </c>
      <c r="H45" s="3">
        <v>36160</v>
      </c>
      <c r="I45" s="3">
        <v>991107.00000000023</v>
      </c>
      <c r="J45" s="3">
        <v>110123</v>
      </c>
      <c r="K45" s="9">
        <v>9.9999999999999978E-2</v>
      </c>
      <c r="L45" s="9">
        <v>0.9</v>
      </c>
    </row>
    <row r="46" spans="1:12">
      <c r="A46" t="s">
        <v>175</v>
      </c>
      <c r="C46" t="s">
        <v>265</v>
      </c>
      <c r="D46" t="s">
        <v>206</v>
      </c>
      <c r="E46" s="3">
        <v>30258000</v>
      </c>
      <c r="F46" s="3">
        <v>25901</v>
      </c>
      <c r="G46" s="3">
        <v>52625</v>
      </c>
      <c r="H46" s="3">
        <v>26288</v>
      </c>
      <c r="I46" s="3">
        <v>419256.00000000012</v>
      </c>
      <c r="J46" s="3">
        <v>104814</v>
      </c>
      <c r="K46" s="9">
        <v>0.19999999999999996</v>
      </c>
      <c r="L46" s="9">
        <v>0.8</v>
      </c>
    </row>
    <row r="47" spans="1:12">
      <c r="A47" t="s">
        <v>293</v>
      </c>
      <c r="C47" t="s">
        <v>271</v>
      </c>
      <c r="D47" t="s">
        <v>206</v>
      </c>
      <c r="E47" s="3">
        <v>21471390</v>
      </c>
      <c r="F47" s="3">
        <v>20845.009999999998</v>
      </c>
      <c r="G47" s="3">
        <v>42352.38</v>
      </c>
      <c r="H47" s="3">
        <v>21156.71</v>
      </c>
      <c r="I47" s="3">
        <v>287530.38238281239</v>
      </c>
      <c r="J47" s="3">
        <v>84354.1</v>
      </c>
      <c r="K47" s="9">
        <v>0.22682877075028679</v>
      </c>
      <c r="L47" s="9">
        <v>0.77317122924971327</v>
      </c>
    </row>
    <row r="48" spans="1:12">
      <c r="A48" t="s">
        <v>133</v>
      </c>
      <c r="C48" t="s">
        <v>205</v>
      </c>
      <c r="D48" t="s">
        <v>206</v>
      </c>
      <c r="E48" s="3">
        <v>33060000</v>
      </c>
      <c r="F48" s="3">
        <v>14150</v>
      </c>
      <c r="G48" s="3">
        <v>28749</v>
      </c>
      <c r="H48" s="3">
        <v>20973</v>
      </c>
      <c r="I48" s="3">
        <v>574848.00000000012</v>
      </c>
      <c r="J48" s="3">
        <v>63872</v>
      </c>
      <c r="K48" s="9">
        <v>9.9999999999999978E-2</v>
      </c>
      <c r="L48" s="9">
        <v>0.9</v>
      </c>
    </row>
    <row r="49" spans="1:12">
      <c r="A49" t="s">
        <v>152</v>
      </c>
      <c r="C49" t="s">
        <v>233</v>
      </c>
      <c r="D49" t="s">
        <v>206</v>
      </c>
      <c r="E49" s="3">
        <v>31187800</v>
      </c>
      <c r="F49" s="3">
        <v>13349</v>
      </c>
      <c r="G49" s="3">
        <v>27121</v>
      </c>
      <c r="H49" s="3">
        <v>19786</v>
      </c>
      <c r="I49" s="3">
        <v>542304.00000000012</v>
      </c>
      <c r="J49" s="3">
        <v>60256</v>
      </c>
      <c r="K49" s="9">
        <v>9.9999999999999978E-2</v>
      </c>
      <c r="L49" s="9">
        <v>0.9</v>
      </c>
    </row>
    <row r="50" spans="1:12">
      <c r="A50" t="s">
        <v>134</v>
      </c>
      <c r="C50" t="s">
        <v>207</v>
      </c>
      <c r="D50" t="s">
        <v>206</v>
      </c>
      <c r="E50" s="3">
        <v>30030000</v>
      </c>
      <c r="F50" s="3">
        <v>12853</v>
      </c>
      <c r="G50" s="3">
        <v>26114</v>
      </c>
      <c r="H50" s="3">
        <v>19052</v>
      </c>
      <c r="I50" s="3">
        <v>522171.00000000012</v>
      </c>
      <c r="J50" s="3">
        <v>58019</v>
      </c>
      <c r="K50" s="9">
        <v>9.9999999999999978E-2</v>
      </c>
      <c r="L50" s="9">
        <v>0.9</v>
      </c>
    </row>
    <row r="51" spans="1:12">
      <c r="A51" t="s">
        <v>321</v>
      </c>
      <c r="C51" t="s">
        <v>345</v>
      </c>
      <c r="D51" t="s">
        <v>206</v>
      </c>
      <c r="E51" s="3">
        <v>6387931</v>
      </c>
      <c r="F51" s="3">
        <v>13670.18</v>
      </c>
      <c r="G51" s="3">
        <v>27774.73</v>
      </c>
      <c r="H51" s="3">
        <v>13874.59</v>
      </c>
      <c r="I51" s="3">
        <v>55319.482679997207</v>
      </c>
      <c r="J51" s="3">
        <v>55319.5</v>
      </c>
      <c r="K51" s="9">
        <v>0.50000007827260506</v>
      </c>
      <c r="L51" s="9">
        <v>0.49999992172739494</v>
      </c>
    </row>
    <row r="52" spans="1:12">
      <c r="A52" t="s">
        <v>149</v>
      </c>
      <c r="C52" t="s">
        <v>231</v>
      </c>
      <c r="D52" t="s">
        <v>206</v>
      </c>
      <c r="E52" s="3">
        <v>13275800</v>
      </c>
      <c r="F52" s="3">
        <v>11365</v>
      </c>
      <c r="G52" s="3">
        <v>23090</v>
      </c>
      <c r="H52" s="3">
        <v>20434</v>
      </c>
      <c r="I52" s="3">
        <v>219556.00000000006</v>
      </c>
      <c r="J52" s="3">
        <v>54889</v>
      </c>
      <c r="K52" s="9">
        <v>0.19999999999999996</v>
      </c>
      <c r="L52" s="9">
        <v>0.8</v>
      </c>
    </row>
    <row r="53" spans="1:12">
      <c r="A53" t="s">
        <v>302</v>
      </c>
      <c r="C53" t="s">
        <v>273</v>
      </c>
      <c r="D53" t="s">
        <v>206</v>
      </c>
      <c r="E53" s="3">
        <v>7088909</v>
      </c>
      <c r="F53" s="3">
        <v>13006.859999999999</v>
      </c>
      <c r="G53" s="3">
        <v>26427.02</v>
      </c>
      <c r="H53" s="3">
        <v>13201.359999999999</v>
      </c>
      <c r="I53" s="3">
        <v>70144.669664986941</v>
      </c>
      <c r="J53" s="3">
        <v>52635.24</v>
      </c>
      <c r="K53" s="9">
        <v>0.42869586843335133</v>
      </c>
      <c r="L53" s="9">
        <v>0.57130413156664872</v>
      </c>
    </row>
    <row r="54" spans="1:12">
      <c r="A54" t="s">
        <v>183</v>
      </c>
      <c r="C54" t="s">
        <v>271</v>
      </c>
      <c r="D54" t="s">
        <v>206</v>
      </c>
      <c r="E54" s="3">
        <v>29687000</v>
      </c>
      <c r="F54" s="3">
        <v>9530</v>
      </c>
      <c r="G54" s="3">
        <v>19362</v>
      </c>
      <c r="H54" s="3">
        <v>14125</v>
      </c>
      <c r="I54" s="3">
        <v>530543.00000000035</v>
      </c>
      <c r="J54" s="3">
        <v>43017</v>
      </c>
      <c r="K54" s="9">
        <v>7.4999999999999956E-2</v>
      </c>
      <c r="L54" s="9">
        <v>0.92500000000000004</v>
      </c>
    </row>
    <row r="55" spans="1:12">
      <c r="A55" t="s">
        <v>171</v>
      </c>
      <c r="C55" t="s">
        <v>262</v>
      </c>
      <c r="D55" t="s">
        <v>206</v>
      </c>
      <c r="E55" s="3">
        <v>15075700</v>
      </c>
      <c r="F55" s="3">
        <v>9678</v>
      </c>
      <c r="G55" s="3">
        <v>19665</v>
      </c>
      <c r="H55" s="3">
        <v>12537</v>
      </c>
      <c r="I55" s="3">
        <v>237319.99999999994</v>
      </c>
      <c r="J55" s="3">
        <v>41880</v>
      </c>
      <c r="K55" s="9">
        <v>0.15000000000000002</v>
      </c>
      <c r="L55" s="9">
        <v>0.85</v>
      </c>
    </row>
    <row r="56" spans="1:12">
      <c r="A56" t="s">
        <v>139</v>
      </c>
      <c r="C56" t="s">
        <v>209</v>
      </c>
      <c r="D56" t="s">
        <v>206</v>
      </c>
      <c r="E56" s="3">
        <v>19310000</v>
      </c>
      <c r="F56" s="3">
        <v>8265</v>
      </c>
      <c r="G56" s="3">
        <v>16792</v>
      </c>
      <c r="H56" s="3">
        <v>12250</v>
      </c>
      <c r="I56" s="3">
        <v>335763.00000000006</v>
      </c>
      <c r="J56" s="3">
        <v>37307</v>
      </c>
      <c r="K56" s="9">
        <v>9.9999999999999978E-2</v>
      </c>
      <c r="L56" s="9">
        <v>0.9</v>
      </c>
    </row>
    <row r="57" spans="1:12">
      <c r="A57" t="s">
        <v>146</v>
      </c>
      <c r="C57" t="s">
        <v>228</v>
      </c>
      <c r="D57" t="s">
        <v>206</v>
      </c>
      <c r="E57" s="3">
        <v>16270000</v>
      </c>
      <c r="F57" s="3">
        <v>6964</v>
      </c>
      <c r="G57" s="3">
        <v>14148</v>
      </c>
      <c r="H57" s="3">
        <v>10321</v>
      </c>
      <c r="I57" s="3">
        <v>282897.00000000006</v>
      </c>
      <c r="J57" s="3">
        <v>31433</v>
      </c>
      <c r="K57" s="9">
        <v>9.9999999999999978E-2</v>
      </c>
      <c r="L57" s="9">
        <v>0.9</v>
      </c>
    </row>
    <row r="58" spans="1:12">
      <c r="A58" t="s">
        <v>182</v>
      </c>
      <c r="C58" t="s">
        <v>270</v>
      </c>
      <c r="D58" t="s">
        <v>206</v>
      </c>
      <c r="E58" s="3">
        <v>3952700</v>
      </c>
      <c r="F58" s="3">
        <v>6767</v>
      </c>
      <c r="G58" s="3">
        <v>13749</v>
      </c>
      <c r="H58" s="3">
        <v>10030</v>
      </c>
      <c r="I58" s="3">
        <v>45819</v>
      </c>
      <c r="J58" s="3">
        <v>30546</v>
      </c>
      <c r="K58" s="9">
        <v>0.4</v>
      </c>
      <c r="L58" s="9">
        <v>0.6</v>
      </c>
    </row>
    <row r="59" spans="1:12">
      <c r="A59" t="s">
        <v>141</v>
      </c>
      <c r="C59" t="s">
        <v>214</v>
      </c>
      <c r="D59" t="s">
        <v>206</v>
      </c>
      <c r="E59" s="3">
        <v>15800000</v>
      </c>
      <c r="F59" s="3">
        <v>6762</v>
      </c>
      <c r="G59" s="3">
        <v>13740</v>
      </c>
      <c r="H59" s="3">
        <v>10023</v>
      </c>
      <c r="I59" s="3">
        <v>274725.00000000006</v>
      </c>
      <c r="J59" s="3">
        <v>30525</v>
      </c>
      <c r="K59" s="9">
        <v>9.9999999999999978E-2</v>
      </c>
      <c r="L59" s="9">
        <v>0.9</v>
      </c>
    </row>
    <row r="60" spans="1:12">
      <c r="A60" t="s">
        <v>153</v>
      </c>
      <c r="C60" t="s">
        <v>238</v>
      </c>
      <c r="D60" t="s">
        <v>206</v>
      </c>
      <c r="E60" s="3">
        <v>32163700</v>
      </c>
      <c r="F60" s="3">
        <v>6883</v>
      </c>
      <c r="G60" s="3">
        <v>13985</v>
      </c>
      <c r="H60" s="3">
        <v>6986</v>
      </c>
      <c r="I60" s="3">
        <v>529225.99999999953</v>
      </c>
      <c r="J60" s="3">
        <v>27854</v>
      </c>
      <c r="K60" s="9">
        <v>5.0000000000000044E-2</v>
      </c>
      <c r="L60" s="9">
        <v>0.95</v>
      </c>
    </row>
    <row r="61" spans="1:12">
      <c r="A61" t="s">
        <v>179</v>
      </c>
      <c r="C61" t="s">
        <v>269</v>
      </c>
      <c r="D61" t="s">
        <v>206</v>
      </c>
      <c r="E61" s="3">
        <v>5525000</v>
      </c>
      <c r="F61" s="3">
        <v>5912</v>
      </c>
      <c r="G61" s="3">
        <v>12012</v>
      </c>
      <c r="H61" s="3">
        <v>8763</v>
      </c>
      <c r="I61" s="3">
        <v>80061</v>
      </c>
      <c r="J61" s="3">
        <v>26687</v>
      </c>
      <c r="K61" s="9">
        <v>0.25</v>
      </c>
      <c r="L61" s="9">
        <v>0.75</v>
      </c>
    </row>
    <row r="62" spans="1:12">
      <c r="A62" t="s">
        <v>138</v>
      </c>
      <c r="C62" t="s">
        <v>211</v>
      </c>
      <c r="D62" t="s">
        <v>206</v>
      </c>
      <c r="E62" s="3">
        <v>12460300</v>
      </c>
      <c r="F62" s="3">
        <v>5333</v>
      </c>
      <c r="G62" s="3">
        <v>10835</v>
      </c>
      <c r="H62" s="3">
        <v>7905</v>
      </c>
      <c r="I62" s="3">
        <v>216657.00000000006</v>
      </c>
      <c r="J62" s="3">
        <v>24073</v>
      </c>
      <c r="K62" s="9">
        <v>9.9999999999999978E-2</v>
      </c>
      <c r="L62" s="9">
        <v>0.9</v>
      </c>
    </row>
    <row r="63" spans="1:12">
      <c r="A63" t="s">
        <v>137</v>
      </c>
      <c r="C63" t="s">
        <v>210</v>
      </c>
      <c r="D63" t="s">
        <v>206</v>
      </c>
      <c r="E63" s="3">
        <v>12300200</v>
      </c>
      <c r="F63" s="3">
        <v>5264</v>
      </c>
      <c r="G63" s="3">
        <v>10696</v>
      </c>
      <c r="H63" s="3">
        <v>7803</v>
      </c>
      <c r="I63" s="3">
        <v>213867.00000000006</v>
      </c>
      <c r="J63" s="3">
        <v>23763</v>
      </c>
      <c r="K63" s="9">
        <v>9.9999999999999978E-2</v>
      </c>
      <c r="L63" s="9">
        <v>0.9</v>
      </c>
    </row>
    <row r="64" spans="1:12">
      <c r="A64" t="s">
        <v>145</v>
      </c>
      <c r="C64" t="s">
        <v>217</v>
      </c>
      <c r="D64" t="s">
        <v>206</v>
      </c>
      <c r="E64" s="3">
        <v>8343000</v>
      </c>
      <c r="F64" s="3">
        <v>3570</v>
      </c>
      <c r="G64" s="3">
        <v>7255</v>
      </c>
      <c r="H64" s="3">
        <v>5293</v>
      </c>
      <c r="I64" s="3">
        <v>145062.00000000003</v>
      </c>
      <c r="J64" s="3">
        <v>16118</v>
      </c>
      <c r="K64" s="9">
        <v>9.9999999999999978E-2</v>
      </c>
      <c r="L64" s="9">
        <v>0.9</v>
      </c>
    </row>
    <row r="65" spans="1:12">
      <c r="A65" t="s">
        <v>148</v>
      </c>
      <c r="C65" t="s">
        <v>230</v>
      </c>
      <c r="D65" t="s">
        <v>206</v>
      </c>
      <c r="E65" s="3">
        <v>7900000</v>
      </c>
      <c r="F65" s="3">
        <v>3381</v>
      </c>
      <c r="G65" s="3">
        <v>6870</v>
      </c>
      <c r="H65" s="3">
        <v>5012</v>
      </c>
      <c r="I65" s="3">
        <v>137367.00000000003</v>
      </c>
      <c r="J65" s="3">
        <v>15263</v>
      </c>
      <c r="K65" s="9">
        <v>9.9999999999999978E-2</v>
      </c>
      <c r="L65" s="9">
        <v>0.9</v>
      </c>
    </row>
    <row r="66" spans="1:12">
      <c r="A66" t="s">
        <v>300</v>
      </c>
      <c r="C66" t="s">
        <v>232</v>
      </c>
      <c r="D66" t="s">
        <v>206</v>
      </c>
      <c r="E66" s="3">
        <v>5269618</v>
      </c>
      <c r="F66" s="3">
        <v>3486.74</v>
      </c>
      <c r="G66" s="3">
        <v>7084.2599999999993</v>
      </c>
      <c r="H66" s="3">
        <v>3538.8699999999994</v>
      </c>
      <c r="I66" s="3">
        <v>77159.983361181454</v>
      </c>
      <c r="J66" s="3">
        <v>14109.869999999999</v>
      </c>
      <c r="K66" s="9">
        <v>0.15459507691069826</v>
      </c>
      <c r="L66" s="9">
        <v>0.84540492308930171</v>
      </c>
    </row>
    <row r="67" spans="1:12">
      <c r="A67" t="s">
        <v>160</v>
      </c>
      <c r="C67" t="s">
        <v>251</v>
      </c>
      <c r="D67" t="s">
        <v>206</v>
      </c>
      <c r="E67" s="3">
        <v>2880200</v>
      </c>
      <c r="F67" s="3">
        <v>3082</v>
      </c>
      <c r="G67" s="3">
        <v>6261</v>
      </c>
      <c r="H67" s="3">
        <v>3992</v>
      </c>
      <c r="I67" s="3">
        <v>40005</v>
      </c>
      <c r="J67" s="3">
        <v>13335</v>
      </c>
      <c r="K67" s="9">
        <v>0.25</v>
      </c>
      <c r="L67" s="9">
        <v>0.75</v>
      </c>
    </row>
    <row r="68" spans="1:12">
      <c r="A68" t="s">
        <v>140</v>
      </c>
      <c r="C68" t="s">
        <v>213</v>
      </c>
      <c r="D68" t="s">
        <v>206</v>
      </c>
      <c r="E68" s="3">
        <v>6300600</v>
      </c>
      <c r="F68" s="3">
        <v>2697</v>
      </c>
      <c r="G68" s="3">
        <v>5479</v>
      </c>
      <c r="H68" s="3">
        <v>3997</v>
      </c>
      <c r="I68" s="3">
        <v>109557.00000000003</v>
      </c>
      <c r="J68" s="3">
        <v>12173</v>
      </c>
      <c r="K68" s="9">
        <v>9.9999999999999978E-2</v>
      </c>
      <c r="L68" s="9">
        <v>0.9</v>
      </c>
    </row>
    <row r="69" spans="1:12">
      <c r="A69" t="s">
        <v>151</v>
      </c>
      <c r="C69" t="s">
        <v>233</v>
      </c>
      <c r="D69" t="s">
        <v>206</v>
      </c>
      <c r="E69" s="3">
        <v>4521000</v>
      </c>
      <c r="F69" s="3">
        <v>1935</v>
      </c>
      <c r="G69" s="3">
        <v>3932</v>
      </c>
      <c r="H69" s="3">
        <v>2868</v>
      </c>
      <c r="I69" s="3">
        <v>78615.000000000015</v>
      </c>
      <c r="J69" s="3">
        <v>8735</v>
      </c>
      <c r="K69" s="9">
        <v>9.9999999999999978E-2</v>
      </c>
      <c r="L69" s="9">
        <v>0.9</v>
      </c>
    </row>
    <row r="70" spans="1:12">
      <c r="A70" t="s">
        <v>299</v>
      </c>
      <c r="C70" t="s">
        <v>338</v>
      </c>
      <c r="D70" t="s">
        <v>206</v>
      </c>
      <c r="E70" s="3">
        <v>3157774</v>
      </c>
      <c r="F70" s="3">
        <v>2116.83</v>
      </c>
      <c r="G70" s="3">
        <v>4300.92</v>
      </c>
      <c r="H70" s="3">
        <v>2148.48</v>
      </c>
      <c r="I70" s="3">
        <v>46126.529327557444</v>
      </c>
      <c r="J70" s="3">
        <v>8566.23</v>
      </c>
      <c r="K70" s="9">
        <v>0.156624571612788</v>
      </c>
      <c r="L70" s="9">
        <v>0.84337542838721202</v>
      </c>
    </row>
    <row r="71" spans="1:12">
      <c r="A71" t="s">
        <v>324</v>
      </c>
      <c r="C71" t="s">
        <v>347</v>
      </c>
      <c r="D71" t="s">
        <v>206</v>
      </c>
      <c r="E71" s="3">
        <v>1014568</v>
      </c>
      <c r="F71" s="3">
        <v>2042.4</v>
      </c>
      <c r="G71" s="3">
        <v>4149.6900000000005</v>
      </c>
      <c r="H71" s="3">
        <v>2072.94</v>
      </c>
      <c r="I71" s="3">
        <v>9307.2777247923277</v>
      </c>
      <c r="J71" s="3">
        <v>8265.0300000000007</v>
      </c>
      <c r="K71" s="9">
        <v>0.47034402819722287</v>
      </c>
      <c r="L71" s="9">
        <v>0.52965597180277713</v>
      </c>
    </row>
    <row r="72" spans="1:12">
      <c r="A72" t="s">
        <v>136</v>
      </c>
      <c r="C72" t="s">
        <v>212</v>
      </c>
      <c r="D72" t="s">
        <v>206</v>
      </c>
      <c r="E72" s="3">
        <v>4150000</v>
      </c>
      <c r="F72" s="3">
        <v>1777</v>
      </c>
      <c r="G72" s="3">
        <v>3609</v>
      </c>
      <c r="H72" s="3">
        <v>2633</v>
      </c>
      <c r="I72" s="3">
        <v>72171.000000000015</v>
      </c>
      <c r="J72" s="3">
        <v>8019</v>
      </c>
      <c r="K72" s="9">
        <v>9.9999999999999978E-2</v>
      </c>
      <c r="L72" s="9">
        <v>0.9</v>
      </c>
    </row>
    <row r="73" spans="1:12">
      <c r="A73" t="s">
        <v>303</v>
      </c>
      <c r="C73" t="s">
        <v>332</v>
      </c>
      <c r="D73" t="s">
        <v>206</v>
      </c>
      <c r="E73" s="3">
        <v>1622886</v>
      </c>
      <c r="F73" s="3">
        <v>1895.24</v>
      </c>
      <c r="G73" s="3">
        <v>3850.71</v>
      </c>
      <c r="H73" s="3">
        <v>1923.58</v>
      </c>
      <c r="I73" s="3">
        <v>20438.824441322995</v>
      </c>
      <c r="J73" s="3">
        <v>7669.53</v>
      </c>
      <c r="K73" s="9">
        <v>0.27285588759777335</v>
      </c>
      <c r="L73" s="9">
        <v>0.72714411240222665</v>
      </c>
    </row>
    <row r="74" spans="1:12">
      <c r="A74" t="s">
        <v>185</v>
      </c>
      <c r="C74" t="s">
        <v>272</v>
      </c>
      <c r="D74" t="s">
        <v>206</v>
      </c>
      <c r="E74" s="3">
        <v>1600000</v>
      </c>
      <c r="F74" s="3">
        <v>1027</v>
      </c>
      <c r="G74" s="3">
        <v>2087</v>
      </c>
      <c r="H74" s="3">
        <v>1522</v>
      </c>
      <c r="I74" s="3">
        <v>26270.666666666661</v>
      </c>
      <c r="J74" s="3">
        <v>4636</v>
      </c>
      <c r="K74" s="9">
        <v>0.15000000000000002</v>
      </c>
      <c r="L74" s="9">
        <v>0.85</v>
      </c>
    </row>
    <row r="75" spans="1:12">
      <c r="A75" t="s">
        <v>142</v>
      </c>
      <c r="C75" t="s">
        <v>215</v>
      </c>
      <c r="D75" t="s">
        <v>206</v>
      </c>
      <c r="E75" s="3">
        <v>4440900</v>
      </c>
      <c r="F75" s="3">
        <v>950</v>
      </c>
      <c r="G75" s="3">
        <v>1931</v>
      </c>
      <c r="H75" s="3">
        <v>1408</v>
      </c>
      <c r="I75" s="3">
        <v>81490.999999999927</v>
      </c>
      <c r="J75" s="3">
        <v>4289</v>
      </c>
      <c r="K75" s="9">
        <v>5.0000000000000044E-2</v>
      </c>
      <c r="L75" s="9">
        <v>0.95</v>
      </c>
    </row>
    <row r="76" spans="1:12">
      <c r="A76" t="s">
        <v>135</v>
      </c>
      <c r="C76" t="s">
        <v>208</v>
      </c>
      <c r="D76" t="s">
        <v>206</v>
      </c>
      <c r="E76" s="3">
        <v>1600000</v>
      </c>
      <c r="F76" s="3">
        <v>685</v>
      </c>
      <c r="G76" s="3">
        <v>1392</v>
      </c>
      <c r="H76" s="3">
        <v>1015</v>
      </c>
      <c r="I76" s="3">
        <v>27828.000000000007</v>
      </c>
      <c r="J76" s="3">
        <v>3092</v>
      </c>
      <c r="K76" s="9">
        <v>9.9999999999999978E-2</v>
      </c>
      <c r="L76" s="9">
        <v>0.9</v>
      </c>
    </row>
    <row r="77" spans="1:12">
      <c r="A77" t="s">
        <v>292</v>
      </c>
      <c r="C77" t="s">
        <v>332</v>
      </c>
      <c r="D77" t="s">
        <v>206</v>
      </c>
      <c r="E77" s="3">
        <v>279553</v>
      </c>
      <c r="F77" s="3">
        <v>551.95999999999992</v>
      </c>
      <c r="G77" s="3">
        <v>1121.44</v>
      </c>
      <c r="H77" s="3">
        <v>560.19999999999993</v>
      </c>
      <c r="I77" s="3">
        <v>2608.2481618473803</v>
      </c>
      <c r="J77" s="3">
        <v>2233.6</v>
      </c>
      <c r="K77" s="9">
        <v>0.46131145078035291</v>
      </c>
      <c r="L77" s="9">
        <v>0.53868854921964715</v>
      </c>
    </row>
    <row r="78" spans="1:12">
      <c r="A78" t="s">
        <v>304</v>
      </c>
      <c r="C78" t="s">
        <v>332</v>
      </c>
      <c r="D78" t="s">
        <v>206</v>
      </c>
      <c r="E78" s="3">
        <v>123818</v>
      </c>
      <c r="F78" s="3">
        <v>194.07</v>
      </c>
      <c r="G78" s="3">
        <v>394.31</v>
      </c>
      <c r="H78" s="3">
        <v>196.97</v>
      </c>
      <c r="I78" s="3">
        <v>1359.1084033520783</v>
      </c>
      <c r="J78" s="3">
        <v>785.35</v>
      </c>
      <c r="K78" s="9">
        <v>0.36622300473275293</v>
      </c>
      <c r="L78" s="9">
        <v>0.63377699526724707</v>
      </c>
    </row>
    <row r="79" spans="1:12">
      <c r="A79" t="s">
        <v>144</v>
      </c>
      <c r="C79" t="s">
        <v>216</v>
      </c>
      <c r="D79" t="s">
        <v>206</v>
      </c>
      <c r="E79" s="3">
        <v>337500</v>
      </c>
      <c r="F79" s="3">
        <v>144</v>
      </c>
      <c r="G79" s="3">
        <v>293</v>
      </c>
      <c r="H79" s="3">
        <v>215</v>
      </c>
      <c r="I79" s="3">
        <v>5868.0000000000018</v>
      </c>
      <c r="J79" s="3">
        <v>652</v>
      </c>
      <c r="K79" s="9">
        <v>9.9999999999999978E-2</v>
      </c>
      <c r="L79" s="9">
        <v>0.9</v>
      </c>
    </row>
    <row r="80" spans="1:12">
      <c r="A80" t="s">
        <v>147</v>
      </c>
      <c r="C80" t="s">
        <v>229</v>
      </c>
      <c r="D80" t="s">
        <v>206</v>
      </c>
      <c r="E80" s="3">
        <v>100000</v>
      </c>
      <c r="F80" s="3">
        <v>43</v>
      </c>
      <c r="G80" s="3">
        <v>87</v>
      </c>
      <c r="H80" s="3">
        <v>64</v>
      </c>
      <c r="I80" s="3">
        <v>1746.0000000000005</v>
      </c>
      <c r="J80" s="3">
        <v>194</v>
      </c>
      <c r="K80" s="9">
        <v>9.9999999999999978E-2</v>
      </c>
      <c r="L80" s="9">
        <v>0.9</v>
      </c>
    </row>
    <row r="81" spans="1:12">
      <c r="A81" t="s">
        <v>13</v>
      </c>
      <c r="C81" s="1" t="s">
        <v>60</v>
      </c>
      <c r="D81" t="s">
        <v>58</v>
      </c>
      <c r="E81" s="3">
        <v>85089300</v>
      </c>
      <c r="F81" s="3">
        <v>396380</v>
      </c>
      <c r="G81" s="3">
        <v>737861.37</v>
      </c>
      <c r="H81" s="3">
        <v>6786.2724160000007</v>
      </c>
      <c r="I81" s="3">
        <v>89548.130330180458</v>
      </c>
      <c r="J81" s="3">
        <v>1141027.6424160001</v>
      </c>
      <c r="K81" s="9">
        <v>0.92723070589115952</v>
      </c>
      <c r="L81" s="9">
        <v>7.2769294108840477E-2</v>
      </c>
    </row>
    <row r="82" spans="1:12">
      <c r="A82" t="s">
        <v>24</v>
      </c>
      <c r="C82" t="s">
        <v>73</v>
      </c>
      <c r="D82" t="s">
        <v>58</v>
      </c>
      <c r="E82" s="3">
        <v>75247600</v>
      </c>
      <c r="F82" s="3">
        <v>170120</v>
      </c>
      <c r="G82" s="3">
        <v>316678.38</v>
      </c>
      <c r="H82" s="3">
        <v>31181.119816000002</v>
      </c>
      <c r="I82" s="3">
        <v>633084.70209112391</v>
      </c>
      <c r="J82" s="3">
        <v>517979.499816</v>
      </c>
      <c r="K82" s="9">
        <v>0.45000052903894783</v>
      </c>
      <c r="L82" s="9">
        <v>0.54999947096105217</v>
      </c>
    </row>
    <row r="83" spans="1:12">
      <c r="A83" t="s">
        <v>31</v>
      </c>
      <c r="C83" t="s">
        <v>81</v>
      </c>
      <c r="D83" t="s">
        <v>58</v>
      </c>
      <c r="E83" s="3">
        <v>65184300</v>
      </c>
      <c r="F83" s="3">
        <v>128162</v>
      </c>
      <c r="G83" s="3">
        <v>238573.56299999999</v>
      </c>
      <c r="H83" s="3">
        <v>21741.464624</v>
      </c>
      <c r="I83" s="3">
        <v>604179.04725368018</v>
      </c>
      <c r="J83" s="3">
        <v>388477.02762399998</v>
      </c>
      <c r="K83" s="9">
        <v>0.39135108065688307</v>
      </c>
      <c r="L83" s="9">
        <v>0.60864891934311693</v>
      </c>
    </row>
    <row r="84" spans="1:12">
      <c r="A84" t="s">
        <v>14</v>
      </c>
      <c r="C84" t="s">
        <v>63</v>
      </c>
      <c r="D84" t="s">
        <v>58</v>
      </c>
      <c r="E84" s="3">
        <v>39256500</v>
      </c>
      <c r="F84" s="3">
        <v>112418</v>
      </c>
      <c r="G84" s="3">
        <v>209266.10699999999</v>
      </c>
      <c r="H84" s="3">
        <v>18500.816664000002</v>
      </c>
      <c r="I84" s="3">
        <v>256632.0591112886</v>
      </c>
      <c r="J84" s="3">
        <v>340184.92366399994</v>
      </c>
      <c r="K84" s="9">
        <v>0.56999873241221954</v>
      </c>
      <c r="L84" s="9">
        <v>0.43000126758778046</v>
      </c>
    </row>
    <row r="85" spans="1:12">
      <c r="A85" t="s">
        <v>32</v>
      </c>
      <c r="C85" t="s">
        <v>76</v>
      </c>
      <c r="D85" t="s">
        <v>58</v>
      </c>
      <c r="E85" s="3">
        <v>32123300</v>
      </c>
      <c r="F85" s="3">
        <v>48416</v>
      </c>
      <c r="G85" s="3">
        <v>90126.383999999991</v>
      </c>
      <c r="H85" s="3">
        <v>12322.533872</v>
      </c>
      <c r="I85" s="3">
        <v>352022.2963862273</v>
      </c>
      <c r="J85" s="3">
        <v>150864.91787199999</v>
      </c>
      <c r="K85" s="9">
        <v>0.29999752150097903</v>
      </c>
      <c r="L85" s="9">
        <v>0.70000247849902097</v>
      </c>
    </row>
    <row r="86" spans="1:12">
      <c r="A86" t="s">
        <v>20</v>
      </c>
      <c r="C86" t="s">
        <v>69</v>
      </c>
      <c r="D86" t="s">
        <v>58</v>
      </c>
      <c r="E86" s="3">
        <v>18451703</v>
      </c>
      <c r="F86" s="3">
        <v>33795</v>
      </c>
      <c r="G86" s="3">
        <v>62909.392499999994</v>
      </c>
      <c r="H86" s="3">
        <v>6425.2308560000001</v>
      </c>
      <c r="I86" s="3">
        <v>179758.94639468958</v>
      </c>
      <c r="J86" s="3">
        <v>103129.62335599998</v>
      </c>
      <c r="K86" s="9">
        <v>0.36455917411894156</v>
      </c>
      <c r="L86" s="9">
        <v>0.63544082588105844</v>
      </c>
    </row>
    <row r="87" spans="1:12">
      <c r="A87" t="s">
        <v>12</v>
      </c>
      <c r="C87" t="s">
        <v>59</v>
      </c>
      <c r="D87" t="s">
        <v>58</v>
      </c>
      <c r="E87" s="3">
        <v>11982100</v>
      </c>
      <c r="F87" s="3">
        <v>28594</v>
      </c>
      <c r="G87" s="3">
        <v>53227.731</v>
      </c>
      <c r="H87" s="3">
        <v>6894.4758080000001</v>
      </c>
      <c r="I87" s="3">
        <v>98055.081484228605</v>
      </c>
      <c r="J87" s="3">
        <v>88716.206808000003</v>
      </c>
      <c r="K87" s="9">
        <v>0.47499916940762149</v>
      </c>
      <c r="L87" s="9">
        <v>0.52500083059237856</v>
      </c>
    </row>
    <row r="88" spans="1:12">
      <c r="A88" t="s">
        <v>29</v>
      </c>
      <c r="C88" t="s">
        <v>79</v>
      </c>
      <c r="D88" t="s">
        <v>58</v>
      </c>
      <c r="E88" s="3">
        <v>5305000</v>
      </c>
      <c r="F88" s="3">
        <v>22654</v>
      </c>
      <c r="G88" s="3">
        <v>42170.421000000002</v>
      </c>
      <c r="H88" s="3">
        <v>872.171696</v>
      </c>
      <c r="I88" s="3">
        <v>11594.198710982966</v>
      </c>
      <c r="J88" s="3">
        <v>65696.592696000007</v>
      </c>
      <c r="K88" s="9">
        <v>0.84999249587272996</v>
      </c>
      <c r="L88" s="9">
        <v>0.15000750412727004</v>
      </c>
    </row>
    <row r="89" spans="1:12">
      <c r="A89" t="s">
        <v>26</v>
      </c>
      <c r="C89" t="s">
        <v>76</v>
      </c>
      <c r="D89" t="s">
        <v>58</v>
      </c>
      <c r="E89" s="3">
        <v>3174400</v>
      </c>
      <c r="F89" s="3">
        <v>13556</v>
      </c>
      <c r="G89" s="3">
        <v>25234.493999999999</v>
      </c>
      <c r="H89" s="3">
        <v>521.81958400000008</v>
      </c>
      <c r="I89" s="3">
        <v>6936.7847516175825</v>
      </c>
      <c r="J89" s="3">
        <v>39312.313583999996</v>
      </c>
      <c r="K89" s="9">
        <v>0.8500125407574618</v>
      </c>
      <c r="L89" s="9">
        <v>0.1499874592425382</v>
      </c>
    </row>
    <row r="90" spans="1:12">
      <c r="A90" t="s">
        <v>19</v>
      </c>
      <c r="C90" t="s">
        <v>68</v>
      </c>
      <c r="D90" t="s">
        <v>58</v>
      </c>
      <c r="E90" s="3">
        <v>2919400</v>
      </c>
      <c r="F90" s="3">
        <v>8360</v>
      </c>
      <c r="G90" s="3">
        <v>15562.14</v>
      </c>
      <c r="H90" s="3">
        <v>1375.8846640000002</v>
      </c>
      <c r="I90" s="3">
        <v>19085.483439694744</v>
      </c>
      <c r="J90" s="3">
        <v>25298.024664</v>
      </c>
      <c r="K90" s="9">
        <v>0.5699870457489602</v>
      </c>
      <c r="L90" s="9">
        <v>0.4300129542510398</v>
      </c>
    </row>
    <row r="91" spans="1:12">
      <c r="A91" t="s">
        <v>15</v>
      </c>
      <c r="C91" t="s">
        <v>64</v>
      </c>
      <c r="D91" t="s">
        <v>58</v>
      </c>
      <c r="E91" s="3">
        <v>2784000</v>
      </c>
      <c r="F91" s="3">
        <v>7972</v>
      </c>
      <c r="G91" s="3">
        <v>14839.877999999999</v>
      </c>
      <c r="H91" s="3">
        <v>1311.966128</v>
      </c>
      <c r="I91" s="3">
        <v>18198.795607851476</v>
      </c>
      <c r="J91" s="3">
        <v>24123.844127999997</v>
      </c>
      <c r="K91" s="9">
        <v>0.56999856999857001</v>
      </c>
      <c r="L91" s="9">
        <v>0.43000143000142999</v>
      </c>
    </row>
    <row r="92" spans="1:12">
      <c r="A92" t="s">
        <v>17</v>
      </c>
      <c r="C92" t="s">
        <v>66</v>
      </c>
      <c r="D92" t="s">
        <v>58</v>
      </c>
      <c r="E92" s="3">
        <v>2459200</v>
      </c>
      <c r="F92" s="3">
        <v>7042</v>
      </c>
      <c r="G92" s="3">
        <v>13108.682999999999</v>
      </c>
      <c r="H92" s="3">
        <v>1159.0415760000001</v>
      </c>
      <c r="I92" s="3">
        <v>16077.61526161431</v>
      </c>
      <c r="J92" s="3">
        <v>21309.724575999997</v>
      </c>
      <c r="K92" s="9">
        <v>0.56997167138810201</v>
      </c>
      <c r="L92" s="9">
        <v>0.43002832861189799</v>
      </c>
    </row>
    <row r="93" spans="1:12">
      <c r="A93" t="s">
        <v>21</v>
      </c>
      <c r="C93" t="s">
        <v>67</v>
      </c>
      <c r="D93" t="s">
        <v>58</v>
      </c>
      <c r="E93" s="3">
        <v>2641500</v>
      </c>
      <c r="F93" s="3">
        <v>6304</v>
      </c>
      <c r="G93" s="3">
        <v>11734.895999999999</v>
      </c>
      <c r="H93" s="3">
        <v>1519.864984</v>
      </c>
      <c r="I93" s="3">
        <v>21615.781690280455</v>
      </c>
      <c r="J93" s="3">
        <v>19558.760984</v>
      </c>
      <c r="K93" s="9">
        <v>0.47502072187476452</v>
      </c>
      <c r="L93" s="9">
        <v>0.52497927812523548</v>
      </c>
    </row>
    <row r="94" spans="1:12">
      <c r="A94" t="s">
        <v>16</v>
      </c>
      <c r="C94" t="s">
        <v>65</v>
      </c>
      <c r="D94" t="s">
        <v>58</v>
      </c>
      <c r="E94" s="3">
        <v>1210300</v>
      </c>
      <c r="F94" s="3">
        <v>3466</v>
      </c>
      <c r="G94" s="3">
        <v>6451.9589999999998</v>
      </c>
      <c r="H94" s="3">
        <v>570.46748000000002</v>
      </c>
      <c r="I94" s="3">
        <v>7913.2242484708577</v>
      </c>
      <c r="J94" s="3">
        <v>10488.426479999998</v>
      </c>
      <c r="K94" s="9">
        <v>0.56997204407169877</v>
      </c>
      <c r="L94" s="9">
        <v>0.43002795592830123</v>
      </c>
    </row>
    <row r="95" spans="1:12">
      <c r="A95" t="s">
        <v>18</v>
      </c>
      <c r="C95" t="s">
        <v>67</v>
      </c>
      <c r="D95" t="s">
        <v>58</v>
      </c>
      <c r="E95" s="3">
        <v>1228073</v>
      </c>
      <c r="F95" s="3">
        <v>2931</v>
      </c>
      <c r="G95" s="3">
        <v>5456.0564999999997</v>
      </c>
      <c r="H95" s="3">
        <v>706.59432800000002</v>
      </c>
      <c r="I95" s="3">
        <v>10049.24429610781</v>
      </c>
      <c r="J95" s="3">
        <v>9093.650827999998</v>
      </c>
      <c r="K95" s="9">
        <v>0.47504051863857372</v>
      </c>
      <c r="L95" s="9">
        <v>0.52495948136142623</v>
      </c>
    </row>
    <row r="96" spans="1:12">
      <c r="A96" t="s">
        <v>25</v>
      </c>
      <c r="C96" t="s">
        <v>74</v>
      </c>
      <c r="D96" t="s">
        <v>75</v>
      </c>
      <c r="E96" s="3">
        <v>7143000</v>
      </c>
      <c r="F96" s="3"/>
      <c r="G96" s="3"/>
      <c r="H96" s="3"/>
      <c r="I96" s="3"/>
      <c r="J96" s="3">
        <v>0</v>
      </c>
      <c r="K96" s="9">
        <v>0</v>
      </c>
      <c r="L96" s="9">
        <v>1</v>
      </c>
    </row>
    <row r="97" spans="1:12">
      <c r="A97" t="s">
        <v>132</v>
      </c>
      <c r="C97" t="s">
        <v>204</v>
      </c>
      <c r="D97" t="s">
        <v>118</v>
      </c>
      <c r="E97" s="3">
        <v>3800000</v>
      </c>
      <c r="F97" s="3">
        <v>2440</v>
      </c>
      <c r="G97" s="3">
        <v>4214</v>
      </c>
      <c r="H97" s="3">
        <v>2877</v>
      </c>
      <c r="I97" s="3">
        <v>54008.999999999993</v>
      </c>
      <c r="J97" s="3">
        <v>9531</v>
      </c>
      <c r="K97" s="9">
        <v>0.15000000000000002</v>
      </c>
      <c r="L97" s="9">
        <v>0.85</v>
      </c>
    </row>
    <row r="98" spans="1:12">
      <c r="A98" t="s">
        <v>131</v>
      </c>
      <c r="C98" t="s">
        <v>203</v>
      </c>
      <c r="D98" t="s">
        <v>118</v>
      </c>
      <c r="E98" s="3">
        <v>5118575</v>
      </c>
      <c r="F98" s="3">
        <v>2191</v>
      </c>
      <c r="G98" s="3">
        <v>3784</v>
      </c>
      <c r="H98" s="3">
        <v>0</v>
      </c>
      <c r="I98" s="3">
        <v>53775.000000000015</v>
      </c>
      <c r="J98" s="3">
        <v>5975</v>
      </c>
      <c r="K98" s="9">
        <v>9.9999999999999978E-2</v>
      </c>
      <c r="L98" s="9">
        <v>0.9</v>
      </c>
    </row>
    <row r="99" spans="1:12">
      <c r="A99" t="s">
        <v>22</v>
      </c>
      <c r="C99" t="s">
        <v>71</v>
      </c>
      <c r="D99" t="s">
        <v>70</v>
      </c>
      <c r="E99" s="3">
        <v>9946903</v>
      </c>
      <c r="F99" s="3">
        <v>3345</v>
      </c>
      <c r="G99" s="3">
        <v>5979.8564999999999</v>
      </c>
      <c r="H99" s="3">
        <v>2141.1345000000001</v>
      </c>
      <c r="I99" s="3">
        <v>166896.15420000002</v>
      </c>
      <c r="J99" s="3">
        <v>11465.991</v>
      </c>
      <c r="K99" s="9">
        <v>6.4284890648422188E-2</v>
      </c>
      <c r="L99" s="9">
        <v>0.93571510935157787</v>
      </c>
    </row>
    <row r="100" spans="1:12">
      <c r="A100" t="s">
        <v>23</v>
      </c>
      <c r="C100" t="s">
        <v>72</v>
      </c>
      <c r="D100" t="s">
        <v>70</v>
      </c>
      <c r="E100" s="3">
        <v>1549538</v>
      </c>
      <c r="F100" s="3">
        <v>521</v>
      </c>
      <c r="G100" s="3">
        <v>931.39170000000001</v>
      </c>
      <c r="H100" s="3">
        <v>333.49209999999999</v>
      </c>
      <c r="I100" s="3">
        <v>25999.863000000005</v>
      </c>
      <c r="J100" s="3">
        <v>1785.8838000000001</v>
      </c>
      <c r="K100" s="9">
        <v>6.4273377744880331E-2</v>
      </c>
      <c r="L100" s="9">
        <v>0.93572662225511971</v>
      </c>
    </row>
    <row r="101" spans="1:12">
      <c r="A101" t="s">
        <v>34</v>
      </c>
      <c r="C101" t="s">
        <v>84</v>
      </c>
      <c r="D101" t="s">
        <v>82</v>
      </c>
      <c r="E101" s="3">
        <v>52067845</v>
      </c>
      <c r="F101" s="3">
        <v>100007</v>
      </c>
      <c r="G101" s="3">
        <v>186163.03049999999</v>
      </c>
      <c r="H101" s="3">
        <v>17624.718231999999</v>
      </c>
      <c r="I101" s="3">
        <v>490843.2718671094</v>
      </c>
      <c r="J101" s="3">
        <v>303794.74873200001</v>
      </c>
      <c r="K101" s="9">
        <v>0.38230583090267561</v>
      </c>
      <c r="L101" s="9">
        <v>0.61769416909732433</v>
      </c>
    </row>
    <row r="102" spans="1:12">
      <c r="A102" t="s">
        <v>36</v>
      </c>
      <c r="C102" t="s">
        <v>84</v>
      </c>
      <c r="D102" t="s">
        <v>82</v>
      </c>
      <c r="E102" s="3">
        <v>22070625</v>
      </c>
      <c r="F102" s="3">
        <v>54548</v>
      </c>
      <c r="G102" s="3">
        <v>101541.102</v>
      </c>
      <c r="H102" s="3">
        <v>6144.6873840000007</v>
      </c>
      <c r="I102" s="3">
        <v>167545.61654246267</v>
      </c>
      <c r="J102" s="3">
        <v>162233.789384</v>
      </c>
      <c r="K102" s="9">
        <v>0.49194639346332142</v>
      </c>
      <c r="L102" s="9">
        <v>0.50805360653667853</v>
      </c>
    </row>
    <row r="103" spans="1:12">
      <c r="A103" t="s">
        <v>33</v>
      </c>
      <c r="C103" t="s">
        <v>83</v>
      </c>
      <c r="D103" t="s">
        <v>82</v>
      </c>
      <c r="E103" s="3">
        <v>6660000</v>
      </c>
      <c r="F103" s="3">
        <v>11376</v>
      </c>
      <c r="G103" s="3">
        <v>21176.423999999999</v>
      </c>
      <c r="H103" s="3">
        <v>2408.8343840000002</v>
      </c>
      <c r="I103" s="3">
        <v>67869.587741935291</v>
      </c>
      <c r="J103" s="3">
        <v>34961.258384000001</v>
      </c>
      <c r="K103" s="9">
        <v>0.33998804542737598</v>
      </c>
      <c r="L103" s="9">
        <v>0.66001195457262396</v>
      </c>
    </row>
    <row r="104" spans="1:12">
      <c r="A104" t="s">
        <v>35</v>
      </c>
      <c r="C104" t="s">
        <v>85</v>
      </c>
      <c r="D104" t="s">
        <v>82</v>
      </c>
      <c r="E104" s="3">
        <v>3001400</v>
      </c>
      <c r="F104" s="3">
        <v>5127</v>
      </c>
      <c r="G104" s="3">
        <v>9543.9105</v>
      </c>
      <c r="H104" s="3">
        <v>1085.5243520000001</v>
      </c>
      <c r="I104" s="3">
        <v>30584.755148645207</v>
      </c>
      <c r="J104" s="3">
        <v>15756.434852</v>
      </c>
      <c r="K104" s="9">
        <v>0.34000928443530742</v>
      </c>
      <c r="L104" s="9">
        <v>0.65999071556469258</v>
      </c>
    </row>
    <row r="105" spans="1:12">
      <c r="A105" t="s">
        <v>243</v>
      </c>
      <c r="C105" t="s">
        <v>246</v>
      </c>
      <c r="D105" t="s">
        <v>247</v>
      </c>
      <c r="E105" s="3">
        <v>11100237</v>
      </c>
      <c r="F105" s="3">
        <v>21380</v>
      </c>
      <c r="G105" s="3">
        <v>36930</v>
      </c>
      <c r="H105" s="3">
        <v>39961</v>
      </c>
      <c r="I105" s="3">
        <v>120109.00000000003</v>
      </c>
      <c r="J105" s="3">
        <v>98271</v>
      </c>
      <c r="K105" s="9">
        <v>0.44999999999999996</v>
      </c>
      <c r="L105" s="9">
        <v>0.55000000000000004</v>
      </c>
    </row>
    <row r="106" spans="1:12">
      <c r="A106" t="s">
        <v>294</v>
      </c>
      <c r="C106" t="s">
        <v>334</v>
      </c>
      <c r="D106" t="s">
        <v>247</v>
      </c>
      <c r="E106" s="3">
        <v>13770497</v>
      </c>
      <c r="F106" s="3">
        <v>11433.43</v>
      </c>
      <c r="G106" s="3">
        <v>19749.919999999998</v>
      </c>
      <c r="H106" s="3">
        <v>16028.17</v>
      </c>
      <c r="I106" s="3">
        <v>196157.25387843352</v>
      </c>
      <c r="J106" s="3">
        <v>47211.519999999997</v>
      </c>
      <c r="K106" s="9">
        <v>0.19399169107694517</v>
      </c>
      <c r="L106" s="9">
        <v>0.80600830892305486</v>
      </c>
    </row>
    <row r="107" spans="1:12">
      <c r="A107" t="s">
        <v>155</v>
      </c>
      <c r="C107" t="s">
        <v>240</v>
      </c>
      <c r="D107" t="s">
        <v>247</v>
      </c>
      <c r="E107" s="3">
        <v>8813900</v>
      </c>
      <c r="F107" s="3">
        <v>5658</v>
      </c>
      <c r="G107" s="3">
        <v>9774</v>
      </c>
      <c r="H107" s="3">
        <v>10577</v>
      </c>
      <c r="I107" s="3">
        <v>147384.33333333331</v>
      </c>
      <c r="J107" s="3">
        <v>26009</v>
      </c>
      <c r="K107" s="9">
        <v>0.15000000000000002</v>
      </c>
      <c r="L107" s="9">
        <v>0.85</v>
      </c>
    </row>
    <row r="108" spans="1:12">
      <c r="A108" t="s">
        <v>154</v>
      </c>
      <c r="C108" t="s">
        <v>239</v>
      </c>
      <c r="D108" t="s">
        <v>247</v>
      </c>
      <c r="E108" s="3">
        <v>8796900</v>
      </c>
      <c r="F108" s="3">
        <v>5648</v>
      </c>
      <c r="G108" s="3">
        <v>9756</v>
      </c>
      <c r="H108" s="3">
        <v>10556</v>
      </c>
      <c r="I108" s="3">
        <v>147106.66666666663</v>
      </c>
      <c r="J108" s="3">
        <v>25960</v>
      </c>
      <c r="K108" s="9">
        <v>0.15000000000000002</v>
      </c>
      <c r="L108" s="9">
        <v>0.85</v>
      </c>
    </row>
    <row r="109" spans="1:12">
      <c r="A109" t="s">
        <v>120</v>
      </c>
      <c r="C109" t="s">
        <v>193</v>
      </c>
      <c r="D109" t="s">
        <v>116</v>
      </c>
      <c r="E109" s="3">
        <v>36411225</v>
      </c>
      <c r="F109" s="3">
        <v>46752</v>
      </c>
      <c r="G109" s="3">
        <v>80759</v>
      </c>
      <c r="H109" s="3">
        <v>54879</v>
      </c>
      <c r="I109" s="3">
        <v>425576.66666666663</v>
      </c>
      <c r="J109" s="3">
        <v>182390</v>
      </c>
      <c r="K109" s="9">
        <v>0.30000000000000004</v>
      </c>
      <c r="L109" s="9">
        <v>0.7</v>
      </c>
    </row>
    <row r="110" spans="1:12">
      <c r="A110" t="s">
        <v>123</v>
      </c>
      <c r="C110" t="s">
        <v>195</v>
      </c>
      <c r="D110" t="s">
        <v>116</v>
      </c>
      <c r="E110" s="3">
        <v>14000000</v>
      </c>
      <c r="F110" s="3">
        <v>17976</v>
      </c>
      <c r="G110" s="3">
        <v>31051</v>
      </c>
      <c r="H110" s="3">
        <v>21101</v>
      </c>
      <c r="I110" s="3">
        <v>163631.99999999997</v>
      </c>
      <c r="J110" s="3">
        <v>70128</v>
      </c>
      <c r="K110" s="9">
        <v>0.30000000000000004</v>
      </c>
      <c r="L110" s="9">
        <v>0.7</v>
      </c>
    </row>
    <row r="111" spans="1:12">
      <c r="A111" t="s">
        <v>122</v>
      </c>
      <c r="C111" t="s">
        <v>194</v>
      </c>
      <c r="D111" t="s">
        <v>116</v>
      </c>
      <c r="E111" s="3">
        <v>11621300</v>
      </c>
      <c r="F111" s="3">
        <v>17409</v>
      </c>
      <c r="G111" s="3">
        <v>30072</v>
      </c>
      <c r="H111" s="3">
        <v>20435</v>
      </c>
      <c r="I111" s="3">
        <v>126129.71428571429</v>
      </c>
      <c r="J111" s="3">
        <v>67916</v>
      </c>
      <c r="K111" s="9">
        <v>0.35</v>
      </c>
      <c r="L111" s="9">
        <v>0.65</v>
      </c>
    </row>
    <row r="112" spans="1:12">
      <c r="A112" t="s">
        <v>316</v>
      </c>
      <c r="C112" s="1" t="s">
        <v>343</v>
      </c>
      <c r="D112" t="s">
        <v>199</v>
      </c>
      <c r="E112" s="3">
        <v>198532937</v>
      </c>
      <c r="F112" s="3">
        <v>378687.37000000005</v>
      </c>
      <c r="G112" s="3">
        <v>654138.18000000005</v>
      </c>
      <c r="H112" s="3">
        <v>154306.25</v>
      </c>
      <c r="I112" s="3">
        <v>1476624.3265276744</v>
      </c>
      <c r="J112" s="3">
        <v>1187131.8</v>
      </c>
      <c r="K112" s="9">
        <v>0.44566084266410666</v>
      </c>
      <c r="L112" s="9">
        <v>0.55433915733589334</v>
      </c>
    </row>
    <row r="113" spans="1:12">
      <c r="A113" t="s">
        <v>297</v>
      </c>
      <c r="C113" t="s">
        <v>336</v>
      </c>
      <c r="D113" t="s">
        <v>199</v>
      </c>
      <c r="E113" s="3">
        <v>30430187</v>
      </c>
      <c r="F113" s="3">
        <v>92831.32</v>
      </c>
      <c r="G113" s="3">
        <v>160355.26</v>
      </c>
      <c r="H113" s="3">
        <v>37826.589999999997</v>
      </c>
      <c r="I113" s="3">
        <v>117274.7240040691</v>
      </c>
      <c r="J113" s="3">
        <v>291013.17000000004</v>
      </c>
      <c r="K113" s="9">
        <v>0.71276463072671881</v>
      </c>
      <c r="L113" s="9">
        <v>0.28723536927328119</v>
      </c>
    </row>
    <row r="114" spans="1:12">
      <c r="A114" t="s">
        <v>201</v>
      </c>
      <c r="C114" t="s">
        <v>200</v>
      </c>
      <c r="D114" t="s">
        <v>199</v>
      </c>
      <c r="E114" s="3">
        <v>9900000</v>
      </c>
      <c r="F114" s="3">
        <v>12712</v>
      </c>
      <c r="G114" s="3">
        <v>21958</v>
      </c>
      <c r="H114" s="3">
        <v>5180</v>
      </c>
      <c r="I114" s="3">
        <v>92983.333333333314</v>
      </c>
      <c r="J114" s="3">
        <v>39850</v>
      </c>
      <c r="K114" s="9">
        <v>0.30000000000000004</v>
      </c>
      <c r="L114" s="9">
        <v>0.7</v>
      </c>
    </row>
    <row r="115" spans="1:12">
      <c r="A115" t="s">
        <v>130</v>
      </c>
      <c r="C115" t="s">
        <v>336</v>
      </c>
      <c r="D115" t="s">
        <v>199</v>
      </c>
      <c r="E115" s="3">
        <v>10220300</v>
      </c>
      <c r="F115" s="3">
        <v>4374</v>
      </c>
      <c r="G115" s="3">
        <v>7556</v>
      </c>
      <c r="H115" s="3">
        <v>1782</v>
      </c>
      <c r="I115" s="3">
        <v>123408.00000000003</v>
      </c>
      <c r="J115" s="3">
        <v>13712</v>
      </c>
      <c r="K115" s="9">
        <v>9.9999999999999978E-2</v>
      </c>
      <c r="L115" s="9">
        <v>0.9</v>
      </c>
    </row>
    <row r="116" spans="1:12">
      <c r="A116" t="s">
        <v>314</v>
      </c>
      <c r="C116" t="s">
        <v>342</v>
      </c>
      <c r="D116" t="s">
        <v>199</v>
      </c>
      <c r="E116" s="3">
        <v>908154</v>
      </c>
      <c r="F116" s="3">
        <v>1021.66</v>
      </c>
      <c r="G116" s="3">
        <v>1764.8</v>
      </c>
      <c r="H116" s="3">
        <v>416.3</v>
      </c>
      <c r="I116" s="3">
        <v>8982.1515227582186</v>
      </c>
      <c r="J116" s="3">
        <v>3202.76</v>
      </c>
      <c r="K116" s="9">
        <v>0.26284638948900735</v>
      </c>
      <c r="L116" s="9">
        <v>0.7371536105109926</v>
      </c>
    </row>
    <row r="117" spans="1:12">
      <c r="B117" s="18" t="s">
        <v>414</v>
      </c>
      <c r="C117" s="18" t="s">
        <v>352</v>
      </c>
      <c r="D117" s="18" t="s">
        <v>353</v>
      </c>
      <c r="E117" s="19">
        <v>11006000</v>
      </c>
      <c r="F117" s="19">
        <v>29635</v>
      </c>
      <c r="G117" s="19">
        <v>57732</v>
      </c>
      <c r="H117" s="19">
        <v>15160</v>
      </c>
      <c r="I117" s="19">
        <v>68302</v>
      </c>
      <c r="J117" s="19">
        <v>102527</v>
      </c>
      <c r="K117" s="20">
        <f>SUM(J117/(J117+I117))</f>
        <v>0.60017327268789256</v>
      </c>
      <c r="L117" s="20">
        <f>SUM(1-K117)</f>
        <v>0.39982672731210744</v>
      </c>
    </row>
    <row r="118" spans="1:12">
      <c r="A118" s="18"/>
      <c r="B118" s="18" t="s">
        <v>417</v>
      </c>
      <c r="C118" s="18" t="s">
        <v>354</v>
      </c>
      <c r="D118" s="18" t="s">
        <v>353</v>
      </c>
      <c r="E118" s="19">
        <v>14144950</v>
      </c>
      <c r="F118" s="19">
        <v>10556</v>
      </c>
      <c r="G118" s="19">
        <v>20564</v>
      </c>
      <c r="H118" s="19">
        <v>5411</v>
      </c>
      <c r="I118" s="19">
        <v>183085</v>
      </c>
      <c r="J118" s="19">
        <v>36531</v>
      </c>
      <c r="K118" s="20">
        <f>SUM(J118/(J118+I118))</f>
        <v>0.16634033950167565</v>
      </c>
      <c r="L118" s="20">
        <f>SUM(1-K118)</f>
        <v>0.83365966049832441</v>
      </c>
    </row>
    <row r="119" spans="1:12">
      <c r="A119" t="s">
        <v>274</v>
      </c>
      <c r="C119" t="s">
        <v>344</v>
      </c>
      <c r="D119" t="s">
        <v>248</v>
      </c>
      <c r="E119" s="3">
        <v>84240100</v>
      </c>
      <c r="F119" s="3">
        <v>162247</v>
      </c>
      <c r="G119" s="3">
        <v>280262</v>
      </c>
      <c r="H119" s="3">
        <v>132390</v>
      </c>
      <c r="I119" s="3">
        <v>702654.33333333349</v>
      </c>
      <c r="J119" s="3">
        <v>574899</v>
      </c>
      <c r="K119" s="9">
        <v>0.44999999999999996</v>
      </c>
      <c r="L119" s="9">
        <v>0.55000000000000004</v>
      </c>
    </row>
    <row r="120" spans="1:12">
      <c r="A120" t="s">
        <v>319</v>
      </c>
      <c r="C120" t="s">
        <v>344</v>
      </c>
      <c r="D120" t="s">
        <v>248</v>
      </c>
      <c r="E120" s="3">
        <v>102514209</v>
      </c>
      <c r="F120" s="3">
        <v>76348.5</v>
      </c>
      <c r="G120" s="3">
        <v>131883.12</v>
      </c>
      <c r="H120" s="3">
        <v>33757.449999999997</v>
      </c>
      <c r="I120" s="3">
        <v>1148677.6615656125</v>
      </c>
      <c r="J120" s="3">
        <v>241989.07</v>
      </c>
      <c r="K120" s="9">
        <v>0.17400939024950191</v>
      </c>
      <c r="L120" s="9">
        <v>0.82599060975049809</v>
      </c>
    </row>
    <row r="121" spans="1:12">
      <c r="A121" t="s">
        <v>158</v>
      </c>
      <c r="C121" t="s">
        <v>250</v>
      </c>
      <c r="D121" t="s">
        <v>248</v>
      </c>
      <c r="E121" s="3">
        <v>73484000</v>
      </c>
      <c r="F121" s="3">
        <v>47176</v>
      </c>
      <c r="G121" s="3">
        <v>81492</v>
      </c>
      <c r="H121" s="3">
        <v>38495</v>
      </c>
      <c r="I121" s="3">
        <v>947256.99999999977</v>
      </c>
      <c r="J121" s="3">
        <v>167163</v>
      </c>
      <c r="K121" s="9">
        <v>0.15000000000000002</v>
      </c>
      <c r="L121" s="9">
        <v>0.85</v>
      </c>
    </row>
    <row r="122" spans="1:12">
      <c r="A122" t="s">
        <v>156</v>
      </c>
      <c r="C122" t="s">
        <v>249</v>
      </c>
      <c r="D122" t="s">
        <v>248</v>
      </c>
      <c r="E122" s="3">
        <v>52026400</v>
      </c>
      <c r="F122" s="3">
        <v>22267</v>
      </c>
      <c r="G122" s="3">
        <v>38464</v>
      </c>
      <c r="H122" s="3">
        <v>18169</v>
      </c>
      <c r="I122" s="3">
        <v>710100.00000000023</v>
      </c>
      <c r="J122" s="3">
        <v>78900</v>
      </c>
      <c r="K122" s="9">
        <v>9.9999999999999978E-2</v>
      </c>
      <c r="L122" s="9">
        <v>0.9</v>
      </c>
    </row>
    <row r="123" spans="1:12">
      <c r="A123" t="s">
        <v>172</v>
      </c>
      <c r="C123" t="s">
        <v>264</v>
      </c>
      <c r="D123" t="s">
        <v>248</v>
      </c>
      <c r="E123" s="3">
        <v>36300000</v>
      </c>
      <c r="F123" s="3">
        <v>23305</v>
      </c>
      <c r="G123" s="3">
        <v>40256</v>
      </c>
      <c r="H123" s="3">
        <v>10304</v>
      </c>
      <c r="I123" s="3">
        <v>418568.33333333326</v>
      </c>
      <c r="J123" s="3">
        <v>73865</v>
      </c>
      <c r="K123" s="9">
        <v>0.15000000000000002</v>
      </c>
      <c r="L123" s="9">
        <v>0.85</v>
      </c>
    </row>
    <row r="124" spans="1:12">
      <c r="A124" t="s">
        <v>315</v>
      </c>
      <c r="C124" t="s">
        <v>344</v>
      </c>
      <c r="D124" t="s">
        <v>248</v>
      </c>
      <c r="E124" s="3">
        <v>20682794</v>
      </c>
      <c r="F124" s="3">
        <v>21234.899999999998</v>
      </c>
      <c r="G124" s="3">
        <v>36680.81</v>
      </c>
      <c r="H124" s="3">
        <v>9389</v>
      </c>
      <c r="I124" s="3">
        <v>213269.75632475017</v>
      </c>
      <c r="J124" s="3">
        <v>67304.709999999992</v>
      </c>
      <c r="K124" s="9">
        <v>0.23988180707113363</v>
      </c>
      <c r="L124" s="9">
        <v>0.7601181929288664</v>
      </c>
    </row>
    <row r="125" spans="1:12">
      <c r="A125" t="s">
        <v>157</v>
      </c>
      <c r="C125" t="s">
        <v>249</v>
      </c>
      <c r="D125" t="s">
        <v>248</v>
      </c>
      <c r="E125" s="3">
        <v>36559400</v>
      </c>
      <c r="F125" s="3">
        <v>15648</v>
      </c>
      <c r="G125" s="3">
        <v>27029</v>
      </c>
      <c r="H125" s="3">
        <v>12769</v>
      </c>
      <c r="I125" s="3">
        <v>499014.00000000012</v>
      </c>
      <c r="J125" s="3">
        <v>55446</v>
      </c>
      <c r="K125" s="9">
        <v>9.9999999999999978E-2</v>
      </c>
      <c r="L125" s="9">
        <v>0.9</v>
      </c>
    </row>
    <row r="126" spans="1:12">
      <c r="A126" t="s">
        <v>173</v>
      </c>
      <c r="C126" t="s">
        <v>263</v>
      </c>
      <c r="D126" t="s">
        <v>248</v>
      </c>
      <c r="E126" s="3">
        <v>14569500</v>
      </c>
      <c r="F126" s="3">
        <v>9354</v>
      </c>
      <c r="G126" s="3">
        <v>16157</v>
      </c>
      <c r="H126" s="3">
        <v>4136</v>
      </c>
      <c r="I126" s="3">
        <v>167999.66666666663</v>
      </c>
      <c r="J126" s="3">
        <v>29647</v>
      </c>
      <c r="K126" s="9">
        <v>0.15000000000000002</v>
      </c>
      <c r="L126" s="9">
        <v>0.85</v>
      </c>
    </row>
    <row r="127" spans="1:12">
      <c r="A127" t="s">
        <v>174</v>
      </c>
      <c r="C127" t="s">
        <v>264</v>
      </c>
      <c r="D127" t="s">
        <v>248</v>
      </c>
      <c r="E127" s="3">
        <v>11000000</v>
      </c>
      <c r="F127" s="3">
        <v>7062</v>
      </c>
      <c r="G127" s="3">
        <v>12199</v>
      </c>
      <c r="H127" s="3">
        <v>3122</v>
      </c>
      <c r="I127" s="3">
        <v>126836.99999999997</v>
      </c>
      <c r="J127" s="3">
        <v>22383</v>
      </c>
      <c r="K127" s="9">
        <v>0.15000000000000002</v>
      </c>
      <c r="L127" s="9">
        <v>0.85</v>
      </c>
    </row>
    <row r="128" spans="1:12">
      <c r="A128" t="s">
        <v>301</v>
      </c>
      <c r="C128" t="s">
        <v>250</v>
      </c>
      <c r="D128" t="s">
        <v>248</v>
      </c>
      <c r="E128" s="3">
        <v>2555120</v>
      </c>
      <c r="F128" s="3">
        <v>1853.57</v>
      </c>
      <c r="G128" s="3">
        <v>3201.82</v>
      </c>
      <c r="H128" s="3">
        <v>819.55</v>
      </c>
      <c r="I128" s="3">
        <v>28786.820736683632</v>
      </c>
      <c r="J128" s="3">
        <v>5874.9400000000005</v>
      </c>
      <c r="K128" s="9">
        <v>0.16949340931150006</v>
      </c>
      <c r="L128" s="9">
        <v>0.83050659068849997</v>
      </c>
    </row>
    <row r="129" spans="1:12">
      <c r="A129" t="s">
        <v>298</v>
      </c>
      <c r="C129" t="s">
        <v>337</v>
      </c>
      <c r="D129" t="s">
        <v>248</v>
      </c>
      <c r="E129" s="3">
        <v>745799</v>
      </c>
      <c r="F129" s="3">
        <v>741.63</v>
      </c>
      <c r="G129" s="3">
        <v>1281.08</v>
      </c>
      <c r="H129" s="3">
        <v>327.91</v>
      </c>
      <c r="I129" s="3">
        <v>7766.5907560105725</v>
      </c>
      <c r="J129" s="3">
        <v>2350.62</v>
      </c>
      <c r="K129" s="9">
        <v>0.23233874006267105</v>
      </c>
      <c r="L129" s="9">
        <v>0.76766125993732892</v>
      </c>
    </row>
    <row r="130" spans="1:12">
      <c r="A130" t="s">
        <v>307</v>
      </c>
      <c r="C130" t="s">
        <v>332</v>
      </c>
      <c r="D130" t="s">
        <v>248</v>
      </c>
      <c r="E130" s="3">
        <v>67586</v>
      </c>
      <c r="F130" s="3">
        <v>126.00999999999999</v>
      </c>
      <c r="G130" s="3">
        <v>217.68</v>
      </c>
      <c r="H130" s="3">
        <v>55.72</v>
      </c>
      <c r="I130" s="3">
        <v>517.4301406106714</v>
      </c>
      <c r="J130" s="3">
        <v>399.40999999999997</v>
      </c>
      <c r="K130" s="9">
        <v>0.43563755807415738</v>
      </c>
      <c r="L130" s="9">
        <v>0.56436244192584262</v>
      </c>
    </row>
    <row r="131" spans="1:12">
      <c r="A131" t="s">
        <v>313</v>
      </c>
      <c r="C131" t="s">
        <v>341</v>
      </c>
      <c r="D131" t="s">
        <v>331</v>
      </c>
      <c r="E131" s="3">
        <v>19192099</v>
      </c>
      <c r="F131" s="3">
        <v>24472.959999999999</v>
      </c>
      <c r="G131" s="3">
        <v>42274.18</v>
      </c>
      <c r="H131" s="3">
        <v>26483.41</v>
      </c>
      <c r="I131" s="3">
        <v>219692.77599585833</v>
      </c>
      <c r="J131" s="3">
        <v>93230.55</v>
      </c>
      <c r="K131" s="9">
        <v>0.29793416551258933</v>
      </c>
      <c r="L131" s="9">
        <v>0.70206583448741067</v>
      </c>
    </row>
    <row r="132" spans="1:12">
      <c r="A132" t="s">
        <v>317</v>
      </c>
      <c r="C132" t="s">
        <v>330</v>
      </c>
      <c r="D132" t="s">
        <v>331</v>
      </c>
      <c r="E132" s="3">
        <v>11724769</v>
      </c>
      <c r="F132" s="3">
        <v>22998.16</v>
      </c>
      <c r="G132" s="3">
        <v>39726.639999999999</v>
      </c>
      <c r="H132" s="3">
        <v>24887.45</v>
      </c>
      <c r="I132" s="3">
        <v>103557.77465481832</v>
      </c>
      <c r="J132" s="3">
        <v>87612.25</v>
      </c>
      <c r="K132" s="9">
        <v>0.45829491395523442</v>
      </c>
      <c r="L132" s="9">
        <v>0.54170508604476564</v>
      </c>
    </row>
    <row r="133" spans="1:12">
      <c r="A133" t="s">
        <v>309</v>
      </c>
      <c r="C133" t="s">
        <v>339</v>
      </c>
      <c r="D133" t="s">
        <v>331</v>
      </c>
      <c r="E133" s="3">
        <v>6400161</v>
      </c>
      <c r="F133" s="3">
        <v>5617.57</v>
      </c>
      <c r="G133" s="3">
        <v>9703.7099999999991</v>
      </c>
      <c r="H133" s="3">
        <v>6079.06</v>
      </c>
      <c r="I133" s="3">
        <v>82952.988072255015</v>
      </c>
      <c r="J133" s="3">
        <v>21400.34</v>
      </c>
      <c r="K133" s="9">
        <v>0.20507577856244555</v>
      </c>
      <c r="L133" s="9">
        <v>0.79492422143755448</v>
      </c>
    </row>
    <row r="134" spans="1:12">
      <c r="A134" t="s">
        <v>291</v>
      </c>
      <c r="C134" t="s">
        <v>330</v>
      </c>
      <c r="D134" t="s">
        <v>331</v>
      </c>
      <c r="E134" s="3">
        <v>10477635</v>
      </c>
      <c r="F134" s="3">
        <v>817.96</v>
      </c>
      <c r="G134" s="3">
        <v>1412.93</v>
      </c>
      <c r="H134" s="3">
        <v>885.15</v>
      </c>
      <c r="I134" s="3">
        <v>167719.54209531585</v>
      </c>
      <c r="J134" s="3">
        <v>3116.0400000000004</v>
      </c>
      <c r="K134" s="9">
        <v>1.8239994044457551E-2</v>
      </c>
      <c r="L134" s="9">
        <v>0.98176000595554247</v>
      </c>
    </row>
    <row r="135" spans="1:12">
      <c r="A135" t="s">
        <v>2</v>
      </c>
      <c r="C135" t="s">
        <v>42</v>
      </c>
      <c r="D135" t="s">
        <v>53</v>
      </c>
      <c r="E135" s="3">
        <v>77000000</v>
      </c>
      <c r="F135" s="3">
        <v>160237</v>
      </c>
      <c r="G135" s="3">
        <v>179968.9447983015</v>
      </c>
      <c r="H135" s="3">
        <v>0</v>
      </c>
      <c r="I135" s="3">
        <v>1020617.8343949046</v>
      </c>
      <c r="J135" s="3">
        <v>340205.9447983015</v>
      </c>
      <c r="K135" s="9">
        <v>0.25</v>
      </c>
      <c r="L135" s="9">
        <v>0.75</v>
      </c>
    </row>
    <row r="136" spans="1:12">
      <c r="A136" t="s">
        <v>28</v>
      </c>
      <c r="C136" t="s">
        <v>78</v>
      </c>
      <c r="D136" t="s">
        <v>53</v>
      </c>
      <c r="E136" s="3">
        <v>5600000</v>
      </c>
      <c r="F136" s="3">
        <v>30299</v>
      </c>
      <c r="G136" s="3">
        <v>34030.087048832276</v>
      </c>
      <c r="H136" s="3">
        <v>0</v>
      </c>
      <c r="I136" s="3">
        <v>34639.06581740977</v>
      </c>
      <c r="J136" s="3">
        <v>64329.087048832276</v>
      </c>
      <c r="K136" s="9">
        <v>0.64999785472175742</v>
      </c>
      <c r="L136" s="9">
        <v>0.35000214527824258</v>
      </c>
    </row>
    <row r="137" spans="1:12">
      <c r="A137" t="s">
        <v>4</v>
      </c>
      <c r="C137" t="s">
        <v>45</v>
      </c>
      <c r="D137" t="s">
        <v>53</v>
      </c>
      <c r="E137" s="3">
        <v>10051745</v>
      </c>
      <c r="F137" s="3">
        <v>20918</v>
      </c>
      <c r="G137" s="3">
        <v>23493.889596602978</v>
      </c>
      <c r="H137" s="3">
        <v>0</v>
      </c>
      <c r="I137" s="3">
        <v>133233.54564755844</v>
      </c>
      <c r="J137" s="3">
        <v>44411.889596602981</v>
      </c>
      <c r="K137" s="9">
        <v>0.2500029878930573</v>
      </c>
      <c r="L137" s="9">
        <v>0.7499970121069427</v>
      </c>
    </row>
    <row r="138" spans="1:12">
      <c r="A138" t="s">
        <v>3</v>
      </c>
      <c r="C138" t="s">
        <v>44</v>
      </c>
      <c r="D138" t="s">
        <v>53</v>
      </c>
      <c r="E138" s="3">
        <v>9000000</v>
      </c>
      <c r="F138" s="3">
        <v>18729</v>
      </c>
      <c r="G138" s="3">
        <v>21035.331210191081</v>
      </c>
      <c r="H138" s="3">
        <v>0</v>
      </c>
      <c r="I138" s="3">
        <v>119292.99363057326</v>
      </c>
      <c r="J138" s="3">
        <v>39764.331210191085</v>
      </c>
      <c r="K138" s="9">
        <v>0.25</v>
      </c>
      <c r="L138" s="9">
        <v>0.75</v>
      </c>
    </row>
    <row r="139" spans="1:12">
      <c r="A139" t="s">
        <v>6</v>
      </c>
      <c r="C139" t="s">
        <v>47</v>
      </c>
      <c r="D139" t="s">
        <v>53</v>
      </c>
      <c r="E139" s="3">
        <v>7112000</v>
      </c>
      <c r="F139" s="3">
        <v>14800</v>
      </c>
      <c r="G139" s="3">
        <v>16622.50530785563</v>
      </c>
      <c r="H139" s="3">
        <v>0</v>
      </c>
      <c r="I139" s="3">
        <v>94267.515923566883</v>
      </c>
      <c r="J139" s="3">
        <v>31422.50530785563</v>
      </c>
      <c r="K139" s="9">
        <v>0.25</v>
      </c>
      <c r="L139" s="9">
        <v>0.75</v>
      </c>
    </row>
    <row r="140" spans="1:12">
      <c r="A140" t="s">
        <v>7</v>
      </c>
      <c r="C140" t="s">
        <v>49</v>
      </c>
      <c r="D140" t="s">
        <v>53</v>
      </c>
      <c r="E140" s="3">
        <v>6980000</v>
      </c>
      <c r="F140" s="3">
        <v>14520</v>
      </c>
      <c r="G140" s="3">
        <v>16308.025477707008</v>
      </c>
      <c r="H140" s="3">
        <v>0</v>
      </c>
      <c r="I140" s="3">
        <v>92528.66242038217</v>
      </c>
      <c r="J140" s="3">
        <v>30828.025477707008</v>
      </c>
      <c r="K140" s="9">
        <v>0.24990964010946456</v>
      </c>
      <c r="L140" s="9">
        <v>0.75009035989053541</v>
      </c>
    </row>
    <row r="141" spans="1:12">
      <c r="A141" t="s">
        <v>5</v>
      </c>
      <c r="C141" t="s">
        <v>46</v>
      </c>
      <c r="D141" t="s">
        <v>53</v>
      </c>
      <c r="E141" s="3">
        <v>6746803</v>
      </c>
      <c r="F141" s="3">
        <v>14040</v>
      </c>
      <c r="G141" s="3">
        <v>15768.917197452232</v>
      </c>
      <c r="H141" s="3">
        <v>0</v>
      </c>
      <c r="I141" s="3">
        <v>89426.751592356697</v>
      </c>
      <c r="J141" s="3">
        <v>29808.917197452232</v>
      </c>
      <c r="K141" s="9">
        <v>0.25</v>
      </c>
      <c r="L141" s="9">
        <v>0.75</v>
      </c>
    </row>
    <row r="142" spans="1:12">
      <c r="A142" t="s">
        <v>38</v>
      </c>
      <c r="C142" t="s">
        <v>87</v>
      </c>
      <c r="D142" t="s">
        <v>53</v>
      </c>
      <c r="E142" s="3">
        <v>4254200</v>
      </c>
      <c r="F142" s="3">
        <v>6267</v>
      </c>
      <c r="G142" s="3">
        <v>7038.7324840764331</v>
      </c>
      <c r="H142" s="3">
        <v>0</v>
      </c>
      <c r="I142" s="3">
        <v>61878.980891719752</v>
      </c>
      <c r="J142" s="3">
        <v>13305.732484076434</v>
      </c>
      <c r="K142" s="9">
        <v>0.1769739071501186</v>
      </c>
      <c r="L142" s="9">
        <v>0.82302609284988137</v>
      </c>
    </row>
    <row r="143" spans="1:12">
      <c r="A143" t="s">
        <v>8</v>
      </c>
      <c r="C143" t="s">
        <v>50</v>
      </c>
      <c r="D143" t="s">
        <v>53</v>
      </c>
      <c r="E143" s="3">
        <v>67518</v>
      </c>
      <c r="F143" s="3">
        <v>140</v>
      </c>
      <c r="G143" s="3">
        <v>157.23991507431001</v>
      </c>
      <c r="H143" s="3">
        <v>0</v>
      </c>
      <c r="I143" s="3">
        <v>895.96602972399171</v>
      </c>
      <c r="J143" s="3">
        <v>297.23991507431003</v>
      </c>
      <c r="K143" s="9">
        <v>0.24911032028469751</v>
      </c>
      <c r="L143" s="9">
        <v>0.75088967971530252</v>
      </c>
    </row>
    <row r="144" spans="1:12">
      <c r="A144" t="s">
        <v>9</v>
      </c>
      <c r="C144" s="1" t="s">
        <v>380</v>
      </c>
      <c r="D144" t="s">
        <v>54</v>
      </c>
      <c r="E144" s="3">
        <v>17500000</v>
      </c>
      <c r="F144" s="3">
        <v>18937</v>
      </c>
      <c r="G144" s="3">
        <v>21268.944798301487</v>
      </c>
      <c r="H144" s="3">
        <v>0</v>
      </c>
      <c r="I144" s="3">
        <v>269072.18683651806</v>
      </c>
      <c r="J144" s="3">
        <v>40205.944798301483</v>
      </c>
      <c r="K144" s="9">
        <v>0.12999931351685315</v>
      </c>
      <c r="L144" s="9">
        <v>0.87000068648314688</v>
      </c>
    </row>
    <row r="145" spans="1:12">
      <c r="A145" t="s">
        <v>10</v>
      </c>
      <c r="C145" t="s">
        <v>55</v>
      </c>
      <c r="D145" t="s">
        <v>54</v>
      </c>
      <c r="E145" s="3">
        <v>6896329</v>
      </c>
      <c r="F145" s="3">
        <v>18657</v>
      </c>
      <c r="G145" s="3">
        <v>20954.464968152868</v>
      </c>
      <c r="H145" s="3">
        <v>0</v>
      </c>
      <c r="I145" s="3">
        <v>82267.515923566883</v>
      </c>
      <c r="J145" s="3">
        <v>39611.464968152868</v>
      </c>
      <c r="K145" s="9">
        <v>0.3250065325320094</v>
      </c>
      <c r="L145" s="9">
        <v>0.6749934674679906</v>
      </c>
    </row>
    <row r="146" spans="1:12">
      <c r="A146" t="s">
        <v>30</v>
      </c>
      <c r="C146" t="s">
        <v>80</v>
      </c>
      <c r="D146" t="s">
        <v>54</v>
      </c>
      <c r="E146" s="3">
        <v>2921400</v>
      </c>
      <c r="F146" s="3">
        <v>12645</v>
      </c>
      <c r="G146" s="3">
        <v>14202.133757961785</v>
      </c>
      <c r="H146" s="3">
        <v>0</v>
      </c>
      <c r="I146" s="3">
        <v>24783.43949044586</v>
      </c>
      <c r="J146" s="3">
        <v>26847.133757961783</v>
      </c>
      <c r="K146" s="9">
        <v>0.51998519615099925</v>
      </c>
      <c r="L146" s="9">
        <v>0.48001480384900075</v>
      </c>
    </row>
    <row r="147" spans="1:12">
      <c r="A147" s="1"/>
      <c r="B147" s="18" t="s">
        <v>419</v>
      </c>
      <c r="C147" s="18" t="s">
        <v>355</v>
      </c>
      <c r="D147" s="18" t="s">
        <v>56</v>
      </c>
      <c r="E147" s="17">
        <v>55728300</v>
      </c>
      <c r="F147" s="17">
        <v>176226.36000000002</v>
      </c>
      <c r="G147" s="17">
        <v>292239.38</v>
      </c>
      <c r="H147" s="19"/>
      <c r="I147" s="17">
        <v>312310.03000000003</v>
      </c>
      <c r="J147" s="17">
        <v>468465.74</v>
      </c>
      <c r="K147" s="20">
        <f>SUM(J147/(J147+I147))</f>
        <v>0.60000035605613122</v>
      </c>
      <c r="L147" s="20">
        <f>SUM(1-K147)</f>
        <v>0.39999964394386878</v>
      </c>
    </row>
    <row r="148" spans="1:12">
      <c r="A148" t="s">
        <v>11</v>
      </c>
      <c r="C148" t="s">
        <v>57</v>
      </c>
      <c r="D148" t="s">
        <v>432</v>
      </c>
      <c r="E148" s="3">
        <v>59055000</v>
      </c>
      <c r="F148" s="3">
        <v>159761</v>
      </c>
      <c r="G148" s="3">
        <v>179434.32908704886</v>
      </c>
      <c r="H148" s="3">
        <v>0</v>
      </c>
      <c r="I148" s="3">
        <v>704484.07643312099</v>
      </c>
      <c r="J148" s="3">
        <v>339195.32908704889</v>
      </c>
      <c r="K148" s="9">
        <v>0.32499954228568295</v>
      </c>
      <c r="L148" s="9">
        <v>0.67500045771431705</v>
      </c>
    </row>
    <row r="149" spans="1:12">
      <c r="A149" s="18"/>
      <c r="B149" s="18" t="s">
        <v>415</v>
      </c>
      <c r="C149" s="18" t="s">
        <v>347</v>
      </c>
      <c r="D149" s="18" t="s">
        <v>56</v>
      </c>
      <c r="E149" s="19">
        <v>6355057</v>
      </c>
      <c r="F149" s="19">
        <v>33494</v>
      </c>
      <c r="G149" s="19">
        <v>55543</v>
      </c>
      <c r="H149" s="19">
        <v>0</v>
      </c>
      <c r="I149" s="19">
        <v>0</v>
      </c>
      <c r="J149" s="19">
        <v>89037</v>
      </c>
      <c r="K149" s="20">
        <v>1</v>
      </c>
      <c r="L149" s="20">
        <v>0</v>
      </c>
    </row>
    <row r="150" spans="1:12">
      <c r="A150" t="s">
        <v>27</v>
      </c>
      <c r="C150" t="s">
        <v>77</v>
      </c>
      <c r="D150" t="s">
        <v>432</v>
      </c>
      <c r="E150" s="3">
        <v>2167300</v>
      </c>
      <c r="F150" s="3">
        <v>11726</v>
      </c>
      <c r="G150" s="3">
        <v>13169.966029723992</v>
      </c>
      <c r="H150" s="3">
        <v>0</v>
      </c>
      <c r="I150" s="3">
        <v>13405.520169851377</v>
      </c>
      <c r="J150" s="3">
        <v>24895.96602972399</v>
      </c>
      <c r="K150" s="9">
        <v>0.65</v>
      </c>
      <c r="L150" s="9">
        <v>0.35</v>
      </c>
    </row>
    <row r="151" spans="1:12">
      <c r="A151" t="s">
        <v>39</v>
      </c>
      <c r="C151" t="s">
        <v>88</v>
      </c>
      <c r="D151" t="s">
        <v>432</v>
      </c>
      <c r="E151" s="3">
        <v>3530779</v>
      </c>
      <c r="F151" s="3">
        <v>11479</v>
      </c>
      <c r="G151" s="3">
        <v>12892.54989384289</v>
      </c>
      <c r="H151" s="3">
        <v>0</v>
      </c>
      <c r="I151" s="3">
        <v>38027.600849256902</v>
      </c>
      <c r="J151" s="3">
        <v>24371.54989384289</v>
      </c>
      <c r="K151" s="9">
        <v>0.39057502551888401</v>
      </c>
      <c r="L151" s="9">
        <v>0.60942497448111599</v>
      </c>
    </row>
    <row r="152" spans="1:12">
      <c r="A152" t="s">
        <v>37</v>
      </c>
      <c r="C152" t="s">
        <v>86</v>
      </c>
      <c r="D152" t="s">
        <v>432</v>
      </c>
      <c r="E152" s="3">
        <v>1500000</v>
      </c>
      <c r="F152" s="3">
        <v>4877</v>
      </c>
      <c r="G152" s="3">
        <v>5477.5647558386418</v>
      </c>
      <c r="H152" s="3">
        <v>0</v>
      </c>
      <c r="I152" s="3">
        <v>16154.989384288741</v>
      </c>
      <c r="J152" s="3">
        <v>10354.564755838641</v>
      </c>
      <c r="K152" s="9">
        <v>0.39059746916546539</v>
      </c>
      <c r="L152" s="9">
        <v>0.60940253083453455</v>
      </c>
    </row>
    <row r="153" spans="1:12">
      <c r="A153" t="s">
        <v>40</v>
      </c>
      <c r="C153" t="s">
        <v>89</v>
      </c>
      <c r="D153" t="s">
        <v>432</v>
      </c>
      <c r="E153" s="3">
        <v>410486</v>
      </c>
      <c r="F153" s="3">
        <v>1335</v>
      </c>
      <c r="G153" s="3">
        <v>1499.3949044585988</v>
      </c>
      <c r="H153" s="3">
        <v>0</v>
      </c>
      <c r="I153" s="3">
        <v>4420.3821656050959</v>
      </c>
      <c r="J153" s="3">
        <v>2834.3949044585988</v>
      </c>
      <c r="K153" s="9">
        <v>0.39069359086918348</v>
      </c>
      <c r="L153" s="9">
        <v>0.60930640913081646</v>
      </c>
    </row>
    <row r="154" spans="1:12">
      <c r="A154" t="s">
        <v>41</v>
      </c>
      <c r="C154" t="s">
        <v>90</v>
      </c>
      <c r="D154" t="s">
        <v>432</v>
      </c>
      <c r="E154" s="3">
        <v>103700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9">
        <v>0</v>
      </c>
      <c r="L154" s="9">
        <v>1</v>
      </c>
    </row>
    <row r="155" spans="1:12">
      <c r="A155" t="s">
        <v>322</v>
      </c>
      <c r="C155" t="s">
        <v>346</v>
      </c>
      <c r="D155" t="s">
        <v>115</v>
      </c>
      <c r="E155" s="3">
        <v>62829730</v>
      </c>
      <c r="F155" s="3">
        <v>134455.62</v>
      </c>
      <c r="G155" s="3">
        <v>232256.38</v>
      </c>
      <c r="H155" s="3">
        <v>197184.82</v>
      </c>
      <c r="I155" s="3">
        <v>563896.82000000007</v>
      </c>
      <c r="J155" s="3">
        <v>563896.82000000007</v>
      </c>
      <c r="K155" s="9">
        <v>0.5</v>
      </c>
      <c r="L155" s="9">
        <v>0.5</v>
      </c>
    </row>
    <row r="156" spans="1:12">
      <c r="A156" t="s">
        <v>125</v>
      </c>
      <c r="C156" t="s">
        <v>197</v>
      </c>
      <c r="D156" t="s">
        <v>115</v>
      </c>
      <c r="E156" s="3">
        <v>40716800</v>
      </c>
      <c r="F156" s="3">
        <v>43567</v>
      </c>
      <c r="G156" s="3">
        <v>75257</v>
      </c>
      <c r="H156" s="3">
        <v>63893</v>
      </c>
      <c r="I156" s="3">
        <v>548151</v>
      </c>
      <c r="J156" s="3">
        <v>182717</v>
      </c>
      <c r="K156" s="9">
        <v>0.25</v>
      </c>
      <c r="L156" s="9">
        <v>0.75</v>
      </c>
    </row>
    <row r="157" spans="1:12">
      <c r="A157" t="s">
        <v>124</v>
      </c>
      <c r="C157" t="s">
        <v>196</v>
      </c>
      <c r="D157" t="s">
        <v>115</v>
      </c>
      <c r="E157" s="3">
        <v>22359300</v>
      </c>
      <c r="F157" s="3">
        <v>43064</v>
      </c>
      <c r="G157" s="3">
        <v>74388</v>
      </c>
      <c r="H157" s="3">
        <v>63155</v>
      </c>
      <c r="I157" s="3">
        <v>220741.88888888893</v>
      </c>
      <c r="J157" s="3">
        <v>180607</v>
      </c>
      <c r="K157" s="9">
        <v>0.44999999999999996</v>
      </c>
      <c r="L157" s="9">
        <v>0.55000000000000004</v>
      </c>
    </row>
    <row r="158" spans="1:12">
      <c r="A158" t="s">
        <v>127</v>
      </c>
      <c r="C158" t="s">
        <v>340</v>
      </c>
      <c r="D158" t="s">
        <v>115</v>
      </c>
      <c r="E158" s="3">
        <v>37044800</v>
      </c>
      <c r="F158" s="3">
        <v>39638</v>
      </c>
      <c r="G158" s="3">
        <v>68470</v>
      </c>
      <c r="H158" s="3">
        <v>58131</v>
      </c>
      <c r="I158" s="3">
        <v>498717</v>
      </c>
      <c r="J158" s="3">
        <v>166239</v>
      </c>
      <c r="K158" s="9">
        <v>0.25</v>
      </c>
      <c r="L158" s="9">
        <v>0.75</v>
      </c>
    </row>
    <row r="159" spans="1:12">
      <c r="A159" t="s">
        <v>129</v>
      </c>
      <c r="C159" t="s">
        <v>198</v>
      </c>
      <c r="D159" t="s">
        <v>115</v>
      </c>
      <c r="E159" s="3">
        <v>25124700</v>
      </c>
      <c r="F159" s="3">
        <v>16130</v>
      </c>
      <c r="G159" s="3">
        <v>27863</v>
      </c>
      <c r="H159" s="3">
        <v>23655</v>
      </c>
      <c r="I159" s="3">
        <v>383338.66666666663</v>
      </c>
      <c r="J159" s="3">
        <v>67648</v>
      </c>
      <c r="K159" s="9">
        <v>0.15000000000000002</v>
      </c>
      <c r="L159" s="9">
        <v>0.85</v>
      </c>
    </row>
    <row r="160" spans="1:12">
      <c r="A160" t="s">
        <v>128</v>
      </c>
      <c r="C160" t="s">
        <v>198</v>
      </c>
      <c r="D160" t="s">
        <v>115</v>
      </c>
      <c r="E160" s="3">
        <v>16500000</v>
      </c>
      <c r="F160" s="3">
        <v>10594</v>
      </c>
      <c r="G160" s="3">
        <v>18298</v>
      </c>
      <c r="H160" s="3">
        <v>15535</v>
      </c>
      <c r="I160" s="3">
        <v>251752.99999999994</v>
      </c>
      <c r="J160" s="3">
        <v>44427</v>
      </c>
      <c r="K160" s="9">
        <v>0.15000000000000002</v>
      </c>
      <c r="L160" s="9">
        <v>0.85</v>
      </c>
    </row>
    <row r="161" spans="1:18">
      <c r="A161" t="s">
        <v>296</v>
      </c>
      <c r="C161" t="s">
        <v>335</v>
      </c>
      <c r="D161" t="s">
        <v>115</v>
      </c>
      <c r="E161" s="3">
        <v>6723551</v>
      </c>
      <c r="F161" s="3">
        <v>8601.7799999999988</v>
      </c>
      <c r="G161" s="3">
        <v>14858.55</v>
      </c>
      <c r="H161" s="3">
        <v>12614.86</v>
      </c>
      <c r="I161" s="3">
        <v>84612.54375910059</v>
      </c>
      <c r="J161" s="3">
        <v>36075.19</v>
      </c>
      <c r="K161" s="9">
        <v>0.29891347592960921</v>
      </c>
      <c r="L161" s="9">
        <v>0.70108652407039074</v>
      </c>
    </row>
    <row r="162" spans="1:18">
      <c r="A162" t="s">
        <v>126</v>
      </c>
      <c r="C162" t="s">
        <v>340</v>
      </c>
      <c r="D162" t="s">
        <v>115</v>
      </c>
      <c r="E162" s="3">
        <v>7419900</v>
      </c>
      <c r="F162" s="3">
        <v>7939</v>
      </c>
      <c r="G162" s="3">
        <v>13714</v>
      </c>
      <c r="H162" s="3">
        <v>11643</v>
      </c>
      <c r="I162" s="3">
        <v>99888</v>
      </c>
      <c r="J162" s="3">
        <v>33296</v>
      </c>
      <c r="K162" s="9">
        <v>0.25</v>
      </c>
      <c r="L162" s="9">
        <v>0.75</v>
      </c>
    </row>
    <row r="163" spans="1:18">
      <c r="A163" t="s">
        <v>311</v>
      </c>
      <c r="C163" t="s">
        <v>340</v>
      </c>
      <c r="D163" t="s">
        <v>115</v>
      </c>
      <c r="E163" s="3">
        <v>2169357</v>
      </c>
      <c r="F163" s="3">
        <v>2839.2000000000003</v>
      </c>
      <c r="G163" s="3">
        <v>5768.61</v>
      </c>
      <c r="H163" s="3">
        <v>7045.4600000000009</v>
      </c>
      <c r="I163" s="3">
        <v>35536.543824048596</v>
      </c>
      <c r="J163" s="3">
        <v>15653.27</v>
      </c>
      <c r="K163" s="9">
        <v>0.30578876597996552</v>
      </c>
      <c r="L163" s="9">
        <v>0.69421123402003448</v>
      </c>
    </row>
    <row r="165" spans="1:18">
      <c r="A165" s="1"/>
      <c r="C165" s="1"/>
      <c r="D165" s="14"/>
      <c r="E165" s="14"/>
      <c r="F165" s="14"/>
      <c r="G165" s="14"/>
      <c r="H165" s="23"/>
      <c r="I165" s="14"/>
      <c r="J165" s="14"/>
      <c r="K165" s="21"/>
      <c r="L165" s="14"/>
      <c r="M165" s="14"/>
      <c r="N165" s="24"/>
      <c r="O165" s="14"/>
      <c r="P165" s="14"/>
      <c r="Q165" s="21"/>
      <c r="R165" s="21"/>
    </row>
  </sheetData>
  <sortState ref="A2:L163">
    <sortCondition ref="D2:D163"/>
  </sortState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D1" workbookViewId="0">
      <pane ySplit="1" topLeftCell="A17" activePane="bottomLeft" state="frozen"/>
      <selection pane="bottomLeft" activeCell="J43" sqref="J43"/>
    </sheetView>
  </sheetViews>
  <sheetFormatPr baseColWidth="10" defaultColWidth="8.83203125" defaultRowHeight="14" x14ac:dyDescent="0"/>
  <cols>
    <col min="1" max="1" width="12.33203125" bestFit="1" customWidth="1"/>
    <col min="2" max="2" width="12.33203125" customWidth="1"/>
    <col min="3" max="3" width="20.83203125" customWidth="1"/>
    <col min="4" max="4" width="15" bestFit="1" customWidth="1"/>
    <col min="5" max="5" width="18.33203125" style="3" bestFit="1" customWidth="1"/>
    <col min="6" max="6" width="18.33203125" style="3" customWidth="1"/>
    <col min="7" max="7" width="17" style="3" customWidth="1"/>
    <col min="8" max="8" width="20.6640625" style="3" bestFit="1" customWidth="1"/>
    <col min="9" max="9" width="17.5" style="3" customWidth="1"/>
    <col min="10" max="10" width="19.33203125" style="3" customWidth="1"/>
    <col min="11" max="11" width="16.6640625" style="3" customWidth="1"/>
    <col min="12" max="13" width="14.1640625" style="3" customWidth="1"/>
    <col min="14" max="14" width="16.1640625" bestFit="1" customWidth="1"/>
  </cols>
  <sheetData>
    <row r="1" spans="1:15">
      <c r="A1" s="1" t="s">
        <v>0</v>
      </c>
      <c r="B1" s="1" t="s">
        <v>411</v>
      </c>
      <c r="C1" s="1" t="s">
        <v>1</v>
      </c>
      <c r="D1" s="1" t="s">
        <v>52</v>
      </c>
      <c r="E1" s="2" t="s">
        <v>43</v>
      </c>
      <c r="F1" s="2" t="s">
        <v>91</v>
      </c>
      <c r="G1" s="2" t="s">
        <v>62</v>
      </c>
      <c r="H1" s="2" t="s">
        <v>61</v>
      </c>
      <c r="I1" s="2" t="s">
        <v>92</v>
      </c>
      <c r="J1" s="2" t="s">
        <v>191</v>
      </c>
      <c r="K1" s="2" t="s">
        <v>348</v>
      </c>
      <c r="L1" s="2" t="s">
        <v>328</v>
      </c>
      <c r="M1" s="2" t="s">
        <v>333</v>
      </c>
      <c r="N1" s="2" t="s">
        <v>48</v>
      </c>
      <c r="O1" s="2" t="s">
        <v>349</v>
      </c>
    </row>
    <row r="2" spans="1:15">
      <c r="A2" t="s">
        <v>2</v>
      </c>
      <c r="B2" t="s">
        <v>551</v>
      </c>
      <c r="C2" t="s">
        <v>42</v>
      </c>
      <c r="D2" t="s">
        <v>53</v>
      </c>
      <c r="E2" s="3">
        <v>77000000</v>
      </c>
      <c r="F2" s="3">
        <f>SUM(G2+H2+I2)</f>
        <v>640948</v>
      </c>
      <c r="G2" s="3">
        <v>480711</v>
      </c>
      <c r="H2" s="3">
        <v>160237</v>
      </c>
      <c r="J2" s="3">
        <f>SUM(0.529*H2)/(0.471)</f>
        <v>179968.9447983015</v>
      </c>
      <c r="K2" s="3">
        <v>0</v>
      </c>
      <c r="L2" s="11">
        <f>SUM(O2)*((H2+J2+K2)/N2)</f>
        <v>1020617.8343949046</v>
      </c>
      <c r="M2" s="11">
        <f>SUM(H2+J2+K2)</f>
        <v>340205.9447983015</v>
      </c>
      <c r="N2" s="9">
        <v>0.25</v>
      </c>
      <c r="O2" s="6">
        <f>SUM(1-N2)</f>
        <v>0.75</v>
      </c>
    </row>
    <row r="3" spans="1:15">
      <c r="A3" t="s">
        <v>3</v>
      </c>
      <c r="B3" t="s">
        <v>552</v>
      </c>
      <c r="C3" t="s">
        <v>44</v>
      </c>
      <c r="D3" t="s">
        <v>53</v>
      </c>
      <c r="E3" s="3">
        <v>9000000</v>
      </c>
      <c r="F3" s="3">
        <f t="shared" ref="F3:F41" si="0">SUM(G3+H3+I3)</f>
        <v>74916</v>
      </c>
      <c r="G3" s="3">
        <v>56187</v>
      </c>
      <c r="H3" s="3">
        <v>18729</v>
      </c>
      <c r="J3" s="3">
        <f t="shared" ref="J3:J43" si="1">SUM(0.529*H3)/(0.471)</f>
        <v>21035.331210191081</v>
      </c>
      <c r="K3" s="3">
        <v>0</v>
      </c>
      <c r="L3" s="11">
        <f t="shared" ref="L3:L40" si="2">SUM(O3)*((H3+J3+K3)/N3)</f>
        <v>119292.99363057326</v>
      </c>
      <c r="M3" s="11">
        <f t="shared" ref="M3:M43" si="3">SUM(H3+J3+K3)</f>
        <v>39764.331210191085</v>
      </c>
      <c r="N3" s="9">
        <v>0.25</v>
      </c>
      <c r="O3" s="6">
        <f t="shared" ref="O3:O41" si="4">SUM(1-N3)</f>
        <v>0.75</v>
      </c>
    </row>
    <row r="4" spans="1:15">
      <c r="A4" t="s">
        <v>4</v>
      </c>
      <c r="B4" t="s">
        <v>553</v>
      </c>
      <c r="C4" t="s">
        <v>45</v>
      </c>
      <c r="D4" t="s">
        <v>53</v>
      </c>
      <c r="E4" s="3">
        <v>10051745</v>
      </c>
      <c r="F4" s="3">
        <f t="shared" si="0"/>
        <v>83671</v>
      </c>
      <c r="G4" s="3">
        <v>42244</v>
      </c>
      <c r="H4" s="3">
        <v>20918</v>
      </c>
      <c r="I4" s="3">
        <v>20509</v>
      </c>
      <c r="J4" s="3">
        <f t="shared" si="1"/>
        <v>23493.889596602978</v>
      </c>
      <c r="K4" s="3">
        <v>0</v>
      </c>
      <c r="L4" s="11">
        <f t="shared" si="2"/>
        <v>133233.54564755844</v>
      </c>
      <c r="M4" s="11">
        <f t="shared" si="3"/>
        <v>44411.889596602981</v>
      </c>
      <c r="N4" s="9">
        <v>0.2500029878930573</v>
      </c>
      <c r="O4" s="6">
        <f t="shared" si="4"/>
        <v>0.7499970121069427</v>
      </c>
    </row>
    <row r="5" spans="1:15">
      <c r="A5" t="s">
        <v>5</v>
      </c>
      <c r="B5" t="s">
        <v>554</v>
      </c>
      <c r="C5" t="s">
        <v>46</v>
      </c>
      <c r="D5" t="s">
        <v>53</v>
      </c>
      <c r="E5" s="3">
        <v>6746803</v>
      </c>
      <c r="F5" s="3">
        <f t="shared" si="0"/>
        <v>56160</v>
      </c>
      <c r="G5" s="3">
        <v>35802</v>
      </c>
      <c r="H5" s="3">
        <v>14040</v>
      </c>
      <c r="I5" s="3">
        <v>6318</v>
      </c>
      <c r="J5" s="3">
        <f t="shared" si="1"/>
        <v>15768.917197452232</v>
      </c>
      <c r="K5" s="3">
        <v>0</v>
      </c>
      <c r="L5" s="11">
        <f t="shared" si="2"/>
        <v>89426.751592356697</v>
      </c>
      <c r="M5" s="11">
        <f t="shared" si="3"/>
        <v>29808.917197452232</v>
      </c>
      <c r="N5" s="9">
        <v>0.25</v>
      </c>
      <c r="O5" s="6">
        <f t="shared" si="4"/>
        <v>0.75</v>
      </c>
    </row>
    <row r="6" spans="1:15">
      <c r="A6" t="s">
        <v>6</v>
      </c>
      <c r="B6" t="s">
        <v>555</v>
      </c>
      <c r="C6" t="s">
        <v>47</v>
      </c>
      <c r="D6" t="s">
        <v>53</v>
      </c>
      <c r="E6" s="3">
        <v>7112000</v>
      </c>
      <c r="F6" s="3">
        <f t="shared" si="0"/>
        <v>59200</v>
      </c>
      <c r="G6" s="3">
        <v>44400</v>
      </c>
      <c r="H6" s="3">
        <v>14800</v>
      </c>
      <c r="J6" s="3">
        <f t="shared" si="1"/>
        <v>16622.50530785563</v>
      </c>
      <c r="K6" s="3">
        <v>0</v>
      </c>
      <c r="L6" s="11">
        <f t="shared" si="2"/>
        <v>94267.515923566883</v>
      </c>
      <c r="M6" s="11">
        <f t="shared" si="3"/>
        <v>31422.50530785563</v>
      </c>
      <c r="N6" s="9">
        <v>0.25</v>
      </c>
      <c r="O6" s="6">
        <f t="shared" si="4"/>
        <v>0.75</v>
      </c>
    </row>
    <row r="7" spans="1:15">
      <c r="A7" t="s">
        <v>7</v>
      </c>
      <c r="B7" t="s">
        <v>556</v>
      </c>
      <c r="C7" t="s">
        <v>49</v>
      </c>
      <c r="D7" t="s">
        <v>53</v>
      </c>
      <c r="E7" s="3">
        <v>6980000</v>
      </c>
      <c r="F7" s="3">
        <f t="shared" si="0"/>
        <v>58101</v>
      </c>
      <c r="G7" s="3">
        <v>37044</v>
      </c>
      <c r="H7" s="3">
        <v>14520</v>
      </c>
      <c r="I7" s="3">
        <v>6537</v>
      </c>
      <c r="J7" s="3">
        <f t="shared" si="1"/>
        <v>16308.025477707008</v>
      </c>
      <c r="K7" s="3">
        <v>0</v>
      </c>
      <c r="L7" s="11">
        <f t="shared" si="2"/>
        <v>92528.66242038217</v>
      </c>
      <c r="M7" s="11">
        <f t="shared" si="3"/>
        <v>30828.025477707008</v>
      </c>
      <c r="N7" s="9">
        <v>0.24990964010946456</v>
      </c>
      <c r="O7" s="6">
        <f t="shared" si="4"/>
        <v>0.75009035989053541</v>
      </c>
    </row>
    <row r="8" spans="1:15">
      <c r="A8" t="s">
        <v>8</v>
      </c>
      <c r="B8" t="s">
        <v>557</v>
      </c>
      <c r="C8" t="s">
        <v>50</v>
      </c>
      <c r="D8" t="s">
        <v>53</v>
      </c>
      <c r="E8" s="3">
        <v>67518</v>
      </c>
      <c r="F8" s="3">
        <f t="shared" si="0"/>
        <v>562</v>
      </c>
      <c r="G8" s="3">
        <v>422</v>
      </c>
      <c r="H8" s="3">
        <v>140</v>
      </c>
      <c r="J8" s="3">
        <f t="shared" si="1"/>
        <v>157.23991507431001</v>
      </c>
      <c r="K8" s="3">
        <v>0</v>
      </c>
      <c r="L8" s="11">
        <f t="shared" si="2"/>
        <v>895.96602972399171</v>
      </c>
      <c r="M8" s="11">
        <f t="shared" si="3"/>
        <v>297.23991507431003</v>
      </c>
      <c r="N8" s="9">
        <v>0.24911032028469751</v>
      </c>
      <c r="O8" s="6">
        <f t="shared" si="4"/>
        <v>0.75088967971530252</v>
      </c>
    </row>
    <row r="9" spans="1:15">
      <c r="A9" t="s">
        <v>9</v>
      </c>
      <c r="B9" t="s">
        <v>558</v>
      </c>
      <c r="C9" t="s">
        <v>559</v>
      </c>
      <c r="D9" t="s">
        <v>54</v>
      </c>
      <c r="E9" s="3">
        <v>17500000</v>
      </c>
      <c r="F9" s="3">
        <f t="shared" si="0"/>
        <v>145670</v>
      </c>
      <c r="G9" s="3">
        <v>126733</v>
      </c>
      <c r="H9" s="3">
        <v>18937</v>
      </c>
      <c r="J9" s="3">
        <f t="shared" si="1"/>
        <v>21268.944798301487</v>
      </c>
      <c r="K9" s="3">
        <v>0</v>
      </c>
      <c r="L9" s="11">
        <f t="shared" si="2"/>
        <v>269072.18683651806</v>
      </c>
      <c r="M9" s="11">
        <f t="shared" si="3"/>
        <v>40205.944798301483</v>
      </c>
      <c r="N9" s="9">
        <v>0.12999931351685315</v>
      </c>
      <c r="O9" s="6">
        <f t="shared" si="4"/>
        <v>0.87000068648314688</v>
      </c>
    </row>
    <row r="10" spans="1:15">
      <c r="A10" t="s">
        <v>10</v>
      </c>
      <c r="B10" t="s">
        <v>560</v>
      </c>
      <c r="C10" t="s">
        <v>55</v>
      </c>
      <c r="D10" t="s">
        <v>54</v>
      </c>
      <c r="E10" s="3">
        <v>6896329</v>
      </c>
      <c r="F10" s="3">
        <f t="shared" si="0"/>
        <v>57405</v>
      </c>
      <c r="G10" s="3">
        <v>38748</v>
      </c>
      <c r="H10" s="3">
        <v>18657</v>
      </c>
      <c r="J10" s="3">
        <f t="shared" si="1"/>
        <v>20954.464968152868</v>
      </c>
      <c r="K10" s="3">
        <v>0</v>
      </c>
      <c r="L10" s="11">
        <f t="shared" si="2"/>
        <v>82267.515923566883</v>
      </c>
      <c r="M10" s="11">
        <f t="shared" si="3"/>
        <v>39611.464968152868</v>
      </c>
      <c r="N10" s="9">
        <v>0.3250065325320094</v>
      </c>
      <c r="O10" s="6">
        <f t="shared" si="4"/>
        <v>0.6749934674679906</v>
      </c>
    </row>
    <row r="11" spans="1:15">
      <c r="A11" t="s">
        <v>11</v>
      </c>
      <c r="B11" t="s">
        <v>561</v>
      </c>
      <c r="C11" t="s">
        <v>57</v>
      </c>
      <c r="D11" t="s">
        <v>56</v>
      </c>
      <c r="E11" s="3">
        <v>59055000</v>
      </c>
      <c r="F11" s="3">
        <f t="shared" si="0"/>
        <v>491573</v>
      </c>
      <c r="G11" s="3">
        <v>331812</v>
      </c>
      <c r="H11" s="3">
        <v>159761</v>
      </c>
      <c r="J11" s="3">
        <f t="shared" si="1"/>
        <v>179434.32908704886</v>
      </c>
      <c r="K11" s="3">
        <v>0</v>
      </c>
      <c r="L11" s="11">
        <f t="shared" si="2"/>
        <v>704484.07643312099</v>
      </c>
      <c r="M11" s="11">
        <f t="shared" si="3"/>
        <v>339195.32908704889</v>
      </c>
      <c r="N11" s="9">
        <v>0.32499954228568295</v>
      </c>
      <c r="O11" s="6">
        <f t="shared" si="4"/>
        <v>0.67500045771431705</v>
      </c>
    </row>
    <row r="12" spans="1:15">
      <c r="A12" t="s">
        <v>12</v>
      </c>
      <c r="B12" t="s">
        <v>562</v>
      </c>
      <c r="C12" t="s">
        <v>59</v>
      </c>
      <c r="D12" t="s">
        <v>58</v>
      </c>
      <c r="E12" s="3">
        <v>11982100</v>
      </c>
      <c r="F12" s="3">
        <f t="shared" si="0"/>
        <v>60198</v>
      </c>
      <c r="G12" s="3">
        <v>31604</v>
      </c>
      <c r="H12" s="3">
        <v>28594</v>
      </c>
      <c r="J12" s="11">
        <f>SUM(1.8615)*(H12)</f>
        <v>53227.731</v>
      </c>
      <c r="K12" s="3">
        <f>SUM(G12)*(0.218152)</f>
        <v>6894.4758080000001</v>
      </c>
      <c r="L12" s="11">
        <f t="shared" si="2"/>
        <v>98055.081484228605</v>
      </c>
      <c r="M12" s="11">
        <f t="shared" si="3"/>
        <v>88716.206808000003</v>
      </c>
      <c r="N12" s="9">
        <v>0.47499916940762149</v>
      </c>
      <c r="O12" s="6">
        <f t="shared" si="4"/>
        <v>0.52500083059237856</v>
      </c>
    </row>
    <row r="13" spans="1:15">
      <c r="A13" t="s">
        <v>13</v>
      </c>
      <c r="B13" t="s">
        <v>563</v>
      </c>
      <c r="C13" t="s">
        <v>60</v>
      </c>
      <c r="D13" t="s">
        <v>58</v>
      </c>
      <c r="E13" s="3">
        <v>85089300</v>
      </c>
      <c r="F13" s="3">
        <f t="shared" si="0"/>
        <v>427488</v>
      </c>
      <c r="G13" s="3">
        <v>31108</v>
      </c>
      <c r="H13" s="3">
        <v>396380</v>
      </c>
      <c r="J13" s="11">
        <f t="shared" ref="J13:J21" si="5">SUM(1.8615)*(H13)</f>
        <v>737861.37</v>
      </c>
      <c r="K13" s="3">
        <f t="shared" ref="K13:K21" si="6">SUM(G13)*(0.218152)</f>
        <v>6786.2724160000007</v>
      </c>
      <c r="L13" s="11">
        <f t="shared" si="2"/>
        <v>89548.130330180458</v>
      </c>
      <c r="M13" s="11">
        <f t="shared" si="3"/>
        <v>1141027.6424160001</v>
      </c>
      <c r="N13" s="9">
        <v>0.92723070589115952</v>
      </c>
      <c r="O13" s="6">
        <f t="shared" si="4"/>
        <v>7.2769294108840477E-2</v>
      </c>
    </row>
    <row r="14" spans="1:15">
      <c r="A14" t="s">
        <v>14</v>
      </c>
      <c r="B14" t="s">
        <v>564</v>
      </c>
      <c r="C14" t="s">
        <v>63</v>
      </c>
      <c r="D14" t="s">
        <v>58</v>
      </c>
      <c r="E14" s="3">
        <v>39256500</v>
      </c>
      <c r="F14" s="3">
        <f t="shared" si="0"/>
        <v>197225</v>
      </c>
      <c r="G14" s="3">
        <v>84807</v>
      </c>
      <c r="H14" s="3">
        <v>112418</v>
      </c>
      <c r="J14" s="11">
        <f t="shared" si="5"/>
        <v>209266.10699999999</v>
      </c>
      <c r="K14" s="3">
        <f t="shared" si="6"/>
        <v>18500.816664000002</v>
      </c>
      <c r="L14" s="11">
        <f t="shared" si="2"/>
        <v>256632.0591112886</v>
      </c>
      <c r="M14" s="11">
        <f t="shared" si="3"/>
        <v>340184.92366399994</v>
      </c>
      <c r="N14" s="9">
        <v>0.56999873241221954</v>
      </c>
      <c r="O14" s="6">
        <f t="shared" si="4"/>
        <v>0.43000126758778046</v>
      </c>
    </row>
    <row r="15" spans="1:15">
      <c r="A15" t="s">
        <v>15</v>
      </c>
      <c r="B15" t="s">
        <v>565</v>
      </c>
      <c r="C15" t="s">
        <v>64</v>
      </c>
      <c r="D15" t="s">
        <v>58</v>
      </c>
      <c r="E15" s="3">
        <v>2784000</v>
      </c>
      <c r="F15" s="3">
        <f t="shared" si="0"/>
        <v>13986</v>
      </c>
      <c r="G15" s="3">
        <v>6014</v>
      </c>
      <c r="H15" s="3">
        <v>7972</v>
      </c>
      <c r="J15" s="11">
        <f t="shared" si="5"/>
        <v>14839.877999999999</v>
      </c>
      <c r="K15" s="3">
        <f t="shared" si="6"/>
        <v>1311.966128</v>
      </c>
      <c r="L15" s="11">
        <f t="shared" si="2"/>
        <v>18198.795607851476</v>
      </c>
      <c r="M15" s="11">
        <f t="shared" si="3"/>
        <v>24123.844127999997</v>
      </c>
      <c r="N15" s="9">
        <v>0.56999856999857001</v>
      </c>
      <c r="O15" s="6">
        <f t="shared" si="4"/>
        <v>0.43000143000142999</v>
      </c>
    </row>
    <row r="16" spans="1:15">
      <c r="A16" t="s">
        <v>16</v>
      </c>
      <c r="B16" t="s">
        <v>566</v>
      </c>
      <c r="C16" t="s">
        <v>65</v>
      </c>
      <c r="D16" t="s">
        <v>58</v>
      </c>
      <c r="E16" s="3">
        <v>1210300</v>
      </c>
      <c r="F16" s="3">
        <f t="shared" si="0"/>
        <v>6081</v>
      </c>
      <c r="G16" s="3">
        <v>2615</v>
      </c>
      <c r="H16" s="3">
        <v>3466</v>
      </c>
      <c r="J16" s="11">
        <f t="shared" si="5"/>
        <v>6451.9589999999998</v>
      </c>
      <c r="K16" s="3">
        <f t="shared" si="6"/>
        <v>570.46748000000002</v>
      </c>
      <c r="L16" s="11">
        <f t="shared" si="2"/>
        <v>7913.2242484708577</v>
      </c>
      <c r="M16" s="11">
        <f t="shared" si="3"/>
        <v>10488.426479999998</v>
      </c>
      <c r="N16" s="9">
        <v>0.56997204407169877</v>
      </c>
      <c r="O16" s="6">
        <f t="shared" si="4"/>
        <v>0.43002795592830123</v>
      </c>
    </row>
    <row r="17" spans="1:15">
      <c r="A17" t="s">
        <v>17</v>
      </c>
      <c r="B17" t="s">
        <v>567</v>
      </c>
      <c r="C17" t="s">
        <v>66</v>
      </c>
      <c r="D17" t="s">
        <v>58</v>
      </c>
      <c r="E17" s="3">
        <v>2459200</v>
      </c>
      <c r="F17" s="3">
        <f t="shared" si="0"/>
        <v>12355</v>
      </c>
      <c r="G17" s="3">
        <v>5313</v>
      </c>
      <c r="H17" s="3">
        <v>7042</v>
      </c>
      <c r="J17" s="11">
        <f t="shared" si="5"/>
        <v>13108.682999999999</v>
      </c>
      <c r="K17" s="3">
        <f t="shared" si="6"/>
        <v>1159.0415760000001</v>
      </c>
      <c r="L17" s="11">
        <f t="shared" si="2"/>
        <v>16077.61526161431</v>
      </c>
      <c r="M17" s="11">
        <f t="shared" si="3"/>
        <v>21309.724575999997</v>
      </c>
      <c r="N17" s="9">
        <v>0.56997167138810201</v>
      </c>
      <c r="O17" s="6">
        <f t="shared" si="4"/>
        <v>0.43002832861189799</v>
      </c>
    </row>
    <row r="18" spans="1:15">
      <c r="A18" t="s">
        <v>18</v>
      </c>
      <c r="B18" t="s">
        <v>568</v>
      </c>
      <c r="C18" t="s">
        <v>67</v>
      </c>
      <c r="D18" t="s">
        <v>58</v>
      </c>
      <c r="E18" s="3">
        <v>1228073</v>
      </c>
      <c r="F18" s="3">
        <f t="shared" si="0"/>
        <v>6170</v>
      </c>
      <c r="G18" s="3">
        <v>3239</v>
      </c>
      <c r="H18" s="3">
        <v>2931</v>
      </c>
      <c r="J18" s="11">
        <f t="shared" si="5"/>
        <v>5456.0564999999997</v>
      </c>
      <c r="K18" s="3">
        <f t="shared" si="6"/>
        <v>706.59432800000002</v>
      </c>
      <c r="L18" s="11">
        <f t="shared" si="2"/>
        <v>10049.24429610781</v>
      </c>
      <c r="M18" s="11">
        <f t="shared" si="3"/>
        <v>9093.650827999998</v>
      </c>
      <c r="N18" s="9">
        <v>0.47504051863857372</v>
      </c>
      <c r="O18" s="6">
        <f t="shared" si="4"/>
        <v>0.52495948136142623</v>
      </c>
    </row>
    <row r="19" spans="1:15">
      <c r="A19" t="s">
        <v>19</v>
      </c>
      <c r="B19" t="s">
        <v>569</v>
      </c>
      <c r="C19" t="s">
        <v>68</v>
      </c>
      <c r="D19" t="s">
        <v>58</v>
      </c>
      <c r="E19" s="3">
        <v>2919400</v>
      </c>
      <c r="F19" s="3">
        <f t="shared" si="0"/>
        <v>14667</v>
      </c>
      <c r="G19" s="3">
        <v>6307</v>
      </c>
      <c r="H19" s="3">
        <v>8360</v>
      </c>
      <c r="J19" s="11">
        <f t="shared" si="5"/>
        <v>15562.14</v>
      </c>
      <c r="K19" s="3">
        <f t="shared" si="6"/>
        <v>1375.8846640000002</v>
      </c>
      <c r="L19" s="11">
        <f t="shared" si="2"/>
        <v>19085.483439694744</v>
      </c>
      <c r="M19" s="11">
        <f t="shared" si="3"/>
        <v>25298.024664</v>
      </c>
      <c r="N19" s="9">
        <v>0.5699870457489602</v>
      </c>
      <c r="O19" s="6">
        <f t="shared" si="4"/>
        <v>0.4300129542510398</v>
      </c>
    </row>
    <row r="20" spans="1:15">
      <c r="A20" t="s">
        <v>20</v>
      </c>
      <c r="B20" t="s">
        <v>570</v>
      </c>
      <c r="C20" t="s">
        <v>69</v>
      </c>
      <c r="D20" t="s">
        <v>58</v>
      </c>
      <c r="E20" s="3">
        <v>18451703</v>
      </c>
      <c r="F20" s="3">
        <f t="shared" si="0"/>
        <v>92701</v>
      </c>
      <c r="G20" s="3">
        <v>29453</v>
      </c>
      <c r="H20" s="3">
        <v>33795</v>
      </c>
      <c r="I20" s="3">
        <v>29453</v>
      </c>
      <c r="J20" s="11">
        <f t="shared" si="5"/>
        <v>62909.392499999994</v>
      </c>
      <c r="K20" s="3">
        <f t="shared" si="6"/>
        <v>6425.2308560000001</v>
      </c>
      <c r="L20" s="11">
        <f t="shared" si="2"/>
        <v>179758.94639468958</v>
      </c>
      <c r="M20" s="11">
        <f t="shared" si="3"/>
        <v>103129.62335599998</v>
      </c>
      <c r="N20" s="9">
        <v>0.36455917411894156</v>
      </c>
      <c r="O20" s="6">
        <f t="shared" si="4"/>
        <v>0.63544082588105844</v>
      </c>
    </row>
    <row r="21" spans="1:15">
      <c r="A21" t="s">
        <v>21</v>
      </c>
      <c r="B21" t="s">
        <v>571</v>
      </c>
      <c r="C21" t="s">
        <v>67</v>
      </c>
      <c r="D21" t="s">
        <v>58</v>
      </c>
      <c r="E21" s="3">
        <v>2641500</v>
      </c>
      <c r="F21" s="3">
        <f t="shared" si="0"/>
        <v>13271</v>
      </c>
      <c r="G21" s="3">
        <v>6967</v>
      </c>
      <c r="H21" s="3">
        <v>6304</v>
      </c>
      <c r="J21" s="11">
        <f t="shared" si="5"/>
        <v>11734.895999999999</v>
      </c>
      <c r="K21" s="3">
        <f t="shared" si="6"/>
        <v>1519.864984</v>
      </c>
      <c r="L21" s="11">
        <f t="shared" si="2"/>
        <v>21615.781690280455</v>
      </c>
      <c r="M21" s="11">
        <f t="shared" si="3"/>
        <v>19558.760984</v>
      </c>
      <c r="N21" s="9">
        <v>0.47502072187476452</v>
      </c>
      <c r="O21" s="6">
        <f t="shared" si="4"/>
        <v>0.52497927812523548</v>
      </c>
    </row>
    <row r="22" spans="1:15">
      <c r="A22" t="s">
        <v>22</v>
      </c>
      <c r="B22" t="s">
        <v>572</v>
      </c>
      <c r="C22" t="s">
        <v>71</v>
      </c>
      <c r="D22" t="s">
        <v>70</v>
      </c>
      <c r="E22" s="3">
        <v>9946903</v>
      </c>
      <c r="F22" s="3">
        <f t="shared" si="0"/>
        <v>52034</v>
      </c>
      <c r="G22" s="3">
        <v>48689</v>
      </c>
      <c r="H22" s="3">
        <v>3345</v>
      </c>
      <c r="J22" s="3">
        <f>SUM(H22)*(1.7877)</f>
        <v>5979.8564999999999</v>
      </c>
      <c r="K22" s="3">
        <f>SUM(H22)*(0.6401)</f>
        <v>2141.1345000000001</v>
      </c>
      <c r="L22" s="11">
        <f t="shared" si="2"/>
        <v>166896.15420000002</v>
      </c>
      <c r="M22" s="11">
        <f t="shared" si="3"/>
        <v>11465.991</v>
      </c>
      <c r="N22" s="9">
        <v>6.4284890648422188E-2</v>
      </c>
      <c r="O22" s="6">
        <f t="shared" si="4"/>
        <v>0.93571510935157787</v>
      </c>
    </row>
    <row r="23" spans="1:15">
      <c r="A23" t="s">
        <v>23</v>
      </c>
      <c r="B23" t="s">
        <v>573</v>
      </c>
      <c r="C23" t="s">
        <v>72</v>
      </c>
      <c r="D23" t="s">
        <v>70</v>
      </c>
      <c r="E23" s="3">
        <v>1549538</v>
      </c>
      <c r="F23" s="3">
        <f t="shared" si="0"/>
        <v>8106</v>
      </c>
      <c r="G23" s="3">
        <v>7585</v>
      </c>
      <c r="H23" s="3">
        <v>521</v>
      </c>
      <c r="J23" s="3">
        <f>SUM(H23)*(1.7877)</f>
        <v>931.39170000000001</v>
      </c>
      <c r="K23" s="3">
        <f>SUM(H23)*(0.6401)</f>
        <v>333.49209999999999</v>
      </c>
      <c r="L23" s="11">
        <f t="shared" si="2"/>
        <v>25999.863000000005</v>
      </c>
      <c r="M23" s="11">
        <f t="shared" si="3"/>
        <v>1785.8838000000001</v>
      </c>
      <c r="N23" s="9">
        <v>6.4273377744880331E-2</v>
      </c>
      <c r="O23" s="6">
        <f t="shared" si="4"/>
        <v>0.93572662225511971</v>
      </c>
    </row>
    <row r="24" spans="1:15">
      <c r="A24" t="s">
        <v>24</v>
      </c>
      <c r="B24" t="s">
        <v>574</v>
      </c>
      <c r="C24" t="s">
        <v>73</v>
      </c>
      <c r="D24" t="s">
        <v>58</v>
      </c>
      <c r="E24" s="3">
        <v>75247600</v>
      </c>
      <c r="F24" s="3">
        <f t="shared" si="0"/>
        <v>378044</v>
      </c>
      <c r="G24" s="3">
        <v>142933</v>
      </c>
      <c r="H24" s="3">
        <v>170120</v>
      </c>
      <c r="I24" s="3">
        <v>64991</v>
      </c>
      <c r="J24" s="11">
        <f t="shared" ref="J24" si="7">SUM(1.8615)*(H24)</f>
        <v>316678.38</v>
      </c>
      <c r="K24" s="3">
        <f t="shared" ref="K24" si="8">SUM(G24)*(0.218152)</f>
        <v>31181.119816000002</v>
      </c>
      <c r="L24" s="11">
        <f t="shared" si="2"/>
        <v>633084.70209112391</v>
      </c>
      <c r="M24" s="11">
        <f t="shared" si="3"/>
        <v>517979.499816</v>
      </c>
      <c r="N24" s="9">
        <v>0.45000052903894783</v>
      </c>
      <c r="O24" s="6">
        <f t="shared" si="4"/>
        <v>0.54999947096105217</v>
      </c>
    </row>
    <row r="25" spans="1:15">
      <c r="A25" t="s">
        <v>25</v>
      </c>
      <c r="B25" t="s">
        <v>575</v>
      </c>
      <c r="C25" t="s">
        <v>74</v>
      </c>
      <c r="D25" t="s">
        <v>75</v>
      </c>
      <c r="E25" s="3">
        <v>7143000</v>
      </c>
      <c r="F25" s="3">
        <v>36175</v>
      </c>
      <c r="L25" s="11"/>
      <c r="M25" s="11">
        <f t="shared" si="3"/>
        <v>0</v>
      </c>
      <c r="N25" s="9">
        <v>0</v>
      </c>
      <c r="O25" s="6">
        <f t="shared" si="4"/>
        <v>1</v>
      </c>
    </row>
    <row r="26" spans="1:15">
      <c r="A26" t="s">
        <v>26</v>
      </c>
      <c r="B26" t="s">
        <v>576</v>
      </c>
      <c r="C26" t="s">
        <v>76</v>
      </c>
      <c r="D26" t="s">
        <v>58</v>
      </c>
      <c r="E26" s="3">
        <v>3174400</v>
      </c>
      <c r="F26" s="3">
        <f t="shared" si="0"/>
        <v>15948</v>
      </c>
      <c r="G26" s="3">
        <v>2392</v>
      </c>
      <c r="H26" s="3">
        <v>13556</v>
      </c>
      <c r="J26" s="11">
        <f t="shared" ref="J26" si="9">SUM(1.8615)*(H26)</f>
        <v>25234.493999999999</v>
      </c>
      <c r="K26" s="3">
        <f t="shared" ref="K26" si="10">SUM(G26)*(0.218152)</f>
        <v>521.81958400000008</v>
      </c>
      <c r="L26" s="11">
        <f t="shared" si="2"/>
        <v>6936.7847516175825</v>
      </c>
      <c r="M26" s="11">
        <f t="shared" si="3"/>
        <v>39312.313583999996</v>
      </c>
      <c r="N26" s="9">
        <v>0.8500125407574618</v>
      </c>
      <c r="O26" s="6">
        <f t="shared" si="4"/>
        <v>0.1499874592425382</v>
      </c>
    </row>
    <row r="27" spans="1:15">
      <c r="A27" t="s">
        <v>27</v>
      </c>
      <c r="B27" t="s">
        <v>577</v>
      </c>
      <c r="C27" t="s">
        <v>77</v>
      </c>
      <c r="D27" t="s">
        <v>56</v>
      </c>
      <c r="E27" s="3">
        <v>2167300</v>
      </c>
      <c r="F27" s="3">
        <f t="shared" si="0"/>
        <v>18040</v>
      </c>
      <c r="G27" s="3">
        <v>6314</v>
      </c>
      <c r="H27" s="3">
        <v>11726</v>
      </c>
      <c r="J27" s="3">
        <f t="shared" si="1"/>
        <v>13169.966029723992</v>
      </c>
      <c r="K27" s="3">
        <v>0</v>
      </c>
      <c r="L27" s="11">
        <f t="shared" si="2"/>
        <v>13405.520169851377</v>
      </c>
      <c r="M27" s="11">
        <f t="shared" si="3"/>
        <v>24895.96602972399</v>
      </c>
      <c r="N27" s="9">
        <v>0.65</v>
      </c>
      <c r="O27" s="6">
        <f t="shared" si="4"/>
        <v>0.35</v>
      </c>
    </row>
    <row r="28" spans="1:15">
      <c r="A28" t="s">
        <v>28</v>
      </c>
      <c r="B28" t="s">
        <v>578</v>
      </c>
      <c r="C28" t="s">
        <v>78</v>
      </c>
      <c r="D28" t="s">
        <v>53</v>
      </c>
      <c r="E28" s="3">
        <v>5600000</v>
      </c>
      <c r="F28" s="3">
        <f t="shared" si="0"/>
        <v>46614</v>
      </c>
      <c r="G28" s="3">
        <v>16315</v>
      </c>
      <c r="H28" s="3">
        <v>30299</v>
      </c>
      <c r="J28" s="3">
        <f t="shared" si="1"/>
        <v>34030.087048832276</v>
      </c>
      <c r="K28" s="3">
        <v>0</v>
      </c>
      <c r="L28" s="11">
        <f t="shared" si="2"/>
        <v>34639.06581740977</v>
      </c>
      <c r="M28" s="11">
        <f t="shared" si="3"/>
        <v>64329.087048832276</v>
      </c>
      <c r="N28" s="9">
        <v>0.64999785472175742</v>
      </c>
      <c r="O28" s="6">
        <f t="shared" si="4"/>
        <v>0.35000214527824258</v>
      </c>
    </row>
    <row r="29" spans="1:15">
      <c r="A29" t="s">
        <v>29</v>
      </c>
      <c r="B29" t="s">
        <v>579</v>
      </c>
      <c r="C29" t="s">
        <v>79</v>
      </c>
      <c r="D29" t="s">
        <v>58</v>
      </c>
      <c r="E29" s="3">
        <v>5305000</v>
      </c>
      <c r="F29" s="3">
        <f t="shared" si="0"/>
        <v>26652</v>
      </c>
      <c r="G29" s="3">
        <v>3998</v>
      </c>
      <c r="H29" s="3">
        <v>22654</v>
      </c>
      <c r="J29" s="11">
        <f t="shared" ref="J29" si="11">SUM(1.8615)*(H29)</f>
        <v>42170.421000000002</v>
      </c>
      <c r="K29" s="3">
        <f t="shared" ref="K29" si="12">SUM(G29)*(0.218152)</f>
        <v>872.171696</v>
      </c>
      <c r="L29" s="11">
        <f t="shared" si="2"/>
        <v>11594.198710982966</v>
      </c>
      <c r="M29" s="11">
        <f t="shared" si="3"/>
        <v>65696.592696000007</v>
      </c>
      <c r="N29" s="9">
        <v>0.84999249587272996</v>
      </c>
      <c r="O29" s="6">
        <f t="shared" si="4"/>
        <v>0.15000750412727004</v>
      </c>
    </row>
    <row r="30" spans="1:15">
      <c r="A30" t="s">
        <v>30</v>
      </c>
      <c r="B30" t="s">
        <v>580</v>
      </c>
      <c r="C30" t="s">
        <v>80</v>
      </c>
      <c r="D30" t="s">
        <v>54</v>
      </c>
      <c r="E30" s="3">
        <v>2921400</v>
      </c>
      <c r="F30" s="3">
        <f t="shared" si="0"/>
        <v>24318</v>
      </c>
      <c r="G30" s="3">
        <v>11673</v>
      </c>
      <c r="H30" s="3">
        <v>12645</v>
      </c>
      <c r="J30" s="3">
        <f t="shared" si="1"/>
        <v>14202.133757961785</v>
      </c>
      <c r="K30" s="3">
        <v>0</v>
      </c>
      <c r="L30" s="11">
        <f t="shared" si="2"/>
        <v>24783.43949044586</v>
      </c>
      <c r="M30" s="11">
        <f t="shared" si="3"/>
        <v>26847.133757961783</v>
      </c>
      <c r="N30" s="9">
        <v>0.51998519615099925</v>
      </c>
      <c r="O30" s="6">
        <f t="shared" si="4"/>
        <v>0.48001480384900075</v>
      </c>
    </row>
    <row r="31" spans="1:15">
      <c r="A31" t="s">
        <v>31</v>
      </c>
      <c r="B31" t="s">
        <v>581</v>
      </c>
      <c r="C31" t="s">
        <v>81</v>
      </c>
      <c r="D31" t="s">
        <v>58</v>
      </c>
      <c r="E31" s="3">
        <v>65184300</v>
      </c>
      <c r="F31" s="3">
        <f t="shared" si="0"/>
        <v>327486</v>
      </c>
      <c r="G31" s="3">
        <v>99662</v>
      </c>
      <c r="H31" s="3">
        <v>128162</v>
      </c>
      <c r="I31" s="3">
        <v>99662</v>
      </c>
      <c r="J31" s="11">
        <f t="shared" ref="J31:J32" si="13">SUM(1.8615)*(H31)</f>
        <v>238573.56299999999</v>
      </c>
      <c r="K31" s="3">
        <f t="shared" ref="K31:K32" si="14">SUM(G31)*(0.218152)</f>
        <v>21741.464624</v>
      </c>
      <c r="L31" s="11">
        <f t="shared" si="2"/>
        <v>604179.04725368018</v>
      </c>
      <c r="M31" s="11">
        <f t="shared" si="3"/>
        <v>388477.02762399998</v>
      </c>
      <c r="N31" s="9">
        <v>0.39135108065688307</v>
      </c>
      <c r="O31" s="6">
        <f t="shared" si="4"/>
        <v>0.60864891934311693</v>
      </c>
    </row>
    <row r="32" spans="1:15">
      <c r="A32" t="s">
        <v>32</v>
      </c>
      <c r="B32" t="s">
        <v>582</v>
      </c>
      <c r="C32" t="s">
        <v>76</v>
      </c>
      <c r="D32" t="s">
        <v>58</v>
      </c>
      <c r="E32" s="3">
        <v>32123300</v>
      </c>
      <c r="F32" s="3">
        <f t="shared" si="0"/>
        <v>161388</v>
      </c>
      <c r="G32" s="3">
        <v>56486</v>
      </c>
      <c r="H32" s="3">
        <v>48416</v>
      </c>
      <c r="I32" s="3">
        <v>56486</v>
      </c>
      <c r="J32" s="11">
        <f t="shared" si="13"/>
        <v>90126.383999999991</v>
      </c>
      <c r="K32" s="3">
        <f t="shared" si="14"/>
        <v>12322.533872</v>
      </c>
      <c r="L32" s="11">
        <f t="shared" si="2"/>
        <v>352022.2963862273</v>
      </c>
      <c r="M32" s="11">
        <f t="shared" si="3"/>
        <v>150864.91787199999</v>
      </c>
      <c r="N32" s="9">
        <v>0.29999752150097903</v>
      </c>
      <c r="O32" s="6">
        <f t="shared" si="4"/>
        <v>0.70000247849902097</v>
      </c>
    </row>
    <row r="33" spans="1:15">
      <c r="A33" t="s">
        <v>33</v>
      </c>
      <c r="B33" t="s">
        <v>583</v>
      </c>
      <c r="C33" t="s">
        <v>83</v>
      </c>
      <c r="D33" t="s">
        <v>82</v>
      </c>
      <c r="E33" s="3">
        <v>6660000</v>
      </c>
      <c r="F33" s="3">
        <f t="shared" si="0"/>
        <v>33460</v>
      </c>
      <c r="G33" s="3">
        <v>11042</v>
      </c>
      <c r="H33" s="3">
        <v>11376</v>
      </c>
      <c r="I33" s="3">
        <v>11042</v>
      </c>
      <c r="J33" s="11">
        <f>SUM(1.8615)*(H33)</f>
        <v>21176.423999999999</v>
      </c>
      <c r="K33" s="3">
        <f>SUM(G33)*(0.218152)</f>
        <v>2408.8343840000002</v>
      </c>
      <c r="L33" s="11">
        <f t="shared" si="2"/>
        <v>67869.587741935291</v>
      </c>
      <c r="M33" s="11">
        <f t="shared" si="3"/>
        <v>34961.258384000001</v>
      </c>
      <c r="N33" s="9">
        <v>0.33998804542737598</v>
      </c>
      <c r="O33" s="6">
        <f t="shared" si="4"/>
        <v>0.66001195457262396</v>
      </c>
    </row>
    <row r="34" spans="1:15">
      <c r="A34" t="s">
        <v>34</v>
      </c>
      <c r="B34" t="s">
        <v>584</v>
      </c>
      <c r="C34" t="s">
        <v>84</v>
      </c>
      <c r="D34" t="s">
        <v>82</v>
      </c>
      <c r="E34" s="3">
        <v>52067845</v>
      </c>
      <c r="F34" s="3">
        <f t="shared" si="0"/>
        <v>261589</v>
      </c>
      <c r="G34" s="3">
        <v>80791</v>
      </c>
      <c r="H34" s="3">
        <v>100007</v>
      </c>
      <c r="I34" s="3">
        <v>80791</v>
      </c>
      <c r="J34" s="11">
        <f t="shared" ref="J34:J36" si="15">SUM(1.8615)*(H34)</f>
        <v>186163.03049999999</v>
      </c>
      <c r="K34" s="3">
        <f t="shared" ref="K34:K36" si="16">SUM(G34)*(0.218152)</f>
        <v>17624.718231999999</v>
      </c>
      <c r="L34" s="11">
        <f t="shared" si="2"/>
        <v>490843.2718671094</v>
      </c>
      <c r="M34" s="11">
        <f t="shared" si="3"/>
        <v>303794.74873200001</v>
      </c>
      <c r="N34" s="9">
        <v>0.38230583090267561</v>
      </c>
      <c r="O34" s="6">
        <f t="shared" si="4"/>
        <v>0.61769416909732433</v>
      </c>
    </row>
    <row r="35" spans="1:15">
      <c r="A35" t="s">
        <v>35</v>
      </c>
      <c r="B35" t="s">
        <v>585</v>
      </c>
      <c r="C35" t="s">
        <v>85</v>
      </c>
      <c r="D35" t="s">
        <v>82</v>
      </c>
      <c r="E35" s="3">
        <v>3001400</v>
      </c>
      <c r="F35" s="3">
        <f t="shared" si="0"/>
        <v>15079</v>
      </c>
      <c r="G35" s="3">
        <v>4976</v>
      </c>
      <c r="H35" s="3">
        <v>5127</v>
      </c>
      <c r="I35" s="3">
        <v>4976</v>
      </c>
      <c r="J35" s="11">
        <f t="shared" si="15"/>
        <v>9543.9105</v>
      </c>
      <c r="K35" s="3">
        <f t="shared" si="16"/>
        <v>1085.5243520000001</v>
      </c>
      <c r="L35" s="11">
        <f t="shared" si="2"/>
        <v>30584.755148645207</v>
      </c>
      <c r="M35" s="11">
        <f t="shared" si="3"/>
        <v>15756.434852</v>
      </c>
      <c r="N35" s="9">
        <v>0.34000928443530742</v>
      </c>
      <c r="O35" s="6">
        <f t="shared" si="4"/>
        <v>0.65999071556469258</v>
      </c>
    </row>
    <row r="36" spans="1:15">
      <c r="A36" t="s">
        <v>36</v>
      </c>
      <c r="B36" t="s">
        <v>584</v>
      </c>
      <c r="C36" t="s">
        <v>84</v>
      </c>
      <c r="D36" t="s">
        <v>82</v>
      </c>
      <c r="E36" s="3">
        <v>22070625</v>
      </c>
      <c r="F36" s="3">
        <f t="shared" si="0"/>
        <v>110882</v>
      </c>
      <c r="G36" s="3">
        <v>28167</v>
      </c>
      <c r="H36" s="3">
        <v>54548</v>
      </c>
      <c r="I36" s="3">
        <v>28167</v>
      </c>
      <c r="J36" s="11">
        <f t="shared" si="15"/>
        <v>101541.102</v>
      </c>
      <c r="K36" s="3">
        <f t="shared" si="16"/>
        <v>6144.6873840000007</v>
      </c>
      <c r="L36" s="11">
        <f t="shared" si="2"/>
        <v>167545.61654246267</v>
      </c>
      <c r="M36" s="11">
        <f t="shared" si="3"/>
        <v>162233.789384</v>
      </c>
      <c r="N36" s="9">
        <v>0.49194639346332142</v>
      </c>
      <c r="O36" s="6">
        <f t="shared" si="4"/>
        <v>0.50805360653667853</v>
      </c>
    </row>
    <row r="37" spans="1:15">
      <c r="A37" t="s">
        <v>37</v>
      </c>
      <c r="B37" t="s">
        <v>586</v>
      </c>
      <c r="C37" t="s">
        <v>86</v>
      </c>
      <c r="D37" t="s">
        <v>56</v>
      </c>
      <c r="E37" s="3">
        <v>1500000</v>
      </c>
      <c r="F37" s="3">
        <f t="shared" si="0"/>
        <v>12486</v>
      </c>
      <c r="G37" s="3">
        <v>7609</v>
      </c>
      <c r="H37" s="3">
        <v>4877</v>
      </c>
      <c r="J37" s="3">
        <f t="shared" si="1"/>
        <v>5477.5647558386418</v>
      </c>
      <c r="K37" s="3">
        <v>0</v>
      </c>
      <c r="L37" s="11">
        <f t="shared" si="2"/>
        <v>16154.989384288741</v>
      </c>
      <c r="M37" s="11">
        <f t="shared" si="3"/>
        <v>10354.564755838641</v>
      </c>
      <c r="N37" s="9">
        <v>0.39059746916546539</v>
      </c>
      <c r="O37" s="6">
        <f t="shared" si="4"/>
        <v>0.60940253083453455</v>
      </c>
    </row>
    <row r="38" spans="1:15">
      <c r="A38" t="s">
        <v>38</v>
      </c>
      <c r="B38" t="s">
        <v>587</v>
      </c>
      <c r="C38" t="s">
        <v>87</v>
      </c>
      <c r="D38" t="s">
        <v>53</v>
      </c>
      <c r="E38" s="3">
        <v>4254200</v>
      </c>
      <c r="F38" s="3">
        <f t="shared" si="0"/>
        <v>35412</v>
      </c>
      <c r="G38" s="3">
        <v>670</v>
      </c>
      <c r="H38" s="3">
        <v>6267</v>
      </c>
      <c r="I38" s="3">
        <v>28475</v>
      </c>
      <c r="J38" s="3">
        <f t="shared" si="1"/>
        <v>7038.7324840764331</v>
      </c>
      <c r="K38" s="3">
        <v>0</v>
      </c>
      <c r="L38" s="11">
        <f t="shared" si="2"/>
        <v>61878.980891719752</v>
      </c>
      <c r="M38" s="11">
        <f t="shared" si="3"/>
        <v>13305.732484076434</v>
      </c>
      <c r="N38" s="9">
        <v>0.1769739071501186</v>
      </c>
      <c r="O38" s="6">
        <f t="shared" si="4"/>
        <v>0.82302609284988137</v>
      </c>
    </row>
    <row r="39" spans="1:15">
      <c r="A39" t="s">
        <v>39</v>
      </c>
      <c r="B39" t="s">
        <v>588</v>
      </c>
      <c r="C39" t="s">
        <v>88</v>
      </c>
      <c r="D39" t="s">
        <v>56</v>
      </c>
      <c r="E39" s="3">
        <v>3530779</v>
      </c>
      <c r="F39" s="3">
        <f t="shared" si="0"/>
        <v>29390</v>
      </c>
      <c r="G39" s="3">
        <v>17911</v>
      </c>
      <c r="H39" s="3">
        <v>11479</v>
      </c>
      <c r="J39" s="3">
        <f t="shared" si="1"/>
        <v>12892.54989384289</v>
      </c>
      <c r="K39" s="3">
        <v>0</v>
      </c>
      <c r="L39" s="11">
        <f t="shared" si="2"/>
        <v>38027.600849256902</v>
      </c>
      <c r="M39" s="11">
        <f t="shared" si="3"/>
        <v>24371.54989384289</v>
      </c>
      <c r="N39" s="9">
        <v>0.39057502551888401</v>
      </c>
      <c r="O39" s="6">
        <f t="shared" si="4"/>
        <v>0.60942497448111599</v>
      </c>
    </row>
    <row r="40" spans="1:15">
      <c r="A40" t="s">
        <v>40</v>
      </c>
      <c r="B40" t="s">
        <v>589</v>
      </c>
      <c r="C40" t="s">
        <v>89</v>
      </c>
      <c r="D40" t="s">
        <v>56</v>
      </c>
      <c r="E40" s="3">
        <v>410486</v>
      </c>
      <c r="F40" s="3">
        <f t="shared" si="0"/>
        <v>3417</v>
      </c>
      <c r="G40" s="3">
        <v>2082</v>
      </c>
      <c r="H40" s="3">
        <v>1335</v>
      </c>
      <c r="J40" s="3">
        <f t="shared" si="1"/>
        <v>1499.3949044585988</v>
      </c>
      <c r="K40" s="3">
        <v>0</v>
      </c>
      <c r="L40" s="11">
        <f t="shared" si="2"/>
        <v>4420.3821656050959</v>
      </c>
      <c r="M40" s="11">
        <f t="shared" si="3"/>
        <v>2834.3949044585988</v>
      </c>
      <c r="N40" s="9">
        <v>0.39069359086918348</v>
      </c>
      <c r="O40" s="6">
        <f t="shared" si="4"/>
        <v>0.60930640913081646</v>
      </c>
    </row>
    <row r="41" spans="1:15">
      <c r="A41" t="s">
        <v>41</v>
      </c>
      <c r="B41" t="s">
        <v>590</v>
      </c>
      <c r="C41" t="s">
        <v>90</v>
      </c>
      <c r="D41" t="s">
        <v>56</v>
      </c>
      <c r="E41" s="3">
        <v>103700</v>
      </c>
      <c r="F41" s="3">
        <f t="shared" si="0"/>
        <v>863</v>
      </c>
      <c r="G41" s="3">
        <v>863</v>
      </c>
      <c r="H41" s="3">
        <v>0</v>
      </c>
      <c r="J41" s="3">
        <f t="shared" si="1"/>
        <v>0</v>
      </c>
      <c r="K41" s="3">
        <v>0</v>
      </c>
      <c r="L41" s="11">
        <v>0</v>
      </c>
      <c r="M41" s="11">
        <f t="shared" si="3"/>
        <v>0</v>
      </c>
      <c r="N41" s="9">
        <v>0</v>
      </c>
      <c r="O41" s="6">
        <f t="shared" si="4"/>
        <v>1</v>
      </c>
    </row>
    <row r="42" spans="1:15">
      <c r="L42" s="11"/>
      <c r="M42" s="11"/>
      <c r="N42" s="4"/>
    </row>
    <row r="43" spans="1:15">
      <c r="A43" t="s">
        <v>93</v>
      </c>
      <c r="E43" s="3">
        <f>SUM(E2:E41)</f>
        <v>672393247</v>
      </c>
      <c r="F43" s="3">
        <f t="shared" ref="F43:I43" si="17">SUM(F2:F41)</f>
        <v>4109731</v>
      </c>
      <c r="G43" s="3">
        <f t="shared" si="17"/>
        <v>1951688</v>
      </c>
      <c r="H43" s="3">
        <f t="shared" si="17"/>
        <v>1684461</v>
      </c>
      <c r="I43" s="3">
        <f t="shared" si="17"/>
        <v>437407</v>
      </c>
      <c r="J43" s="3">
        <f t="shared" si="1"/>
        <v>1891889.3184713379</v>
      </c>
      <c r="L43" s="11">
        <f>SUM(L2:L40)</f>
        <v>6073887.6671590405</v>
      </c>
      <c r="M43" s="11">
        <f t="shared" si="3"/>
        <v>3576350.3184713377</v>
      </c>
      <c r="N43" s="4">
        <f>SUM(H43/F43*100)</f>
        <v>40.987135167727523</v>
      </c>
    </row>
    <row r="44" spans="1:15">
      <c r="A44" t="s">
        <v>94</v>
      </c>
      <c r="H44" s="3">
        <v>208075</v>
      </c>
      <c r="L44" s="11"/>
      <c r="M44" s="11"/>
    </row>
    <row r="45" spans="1:15">
      <c r="A45" t="s">
        <v>95</v>
      </c>
      <c r="H45" s="2">
        <f>SUM(H43+H44)</f>
        <v>1892536</v>
      </c>
    </row>
    <row r="46" spans="1:15">
      <c r="G46" s="3">
        <f>SUM(G43*0.123526161)</f>
        <v>241084.52610976799</v>
      </c>
    </row>
    <row r="47" spans="1:15">
      <c r="A47" t="s">
        <v>363</v>
      </c>
      <c r="G47" s="3">
        <f>SUM(G43:G46)</f>
        <v>2192772.5261097681</v>
      </c>
    </row>
    <row r="49" spans="12:12">
      <c r="L49" s="12"/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9"/>
  <sheetViews>
    <sheetView workbookViewId="0">
      <pane ySplit="1" topLeftCell="A2" activePane="bottomLeft" state="frozen"/>
      <selection pane="bottomLeft" activeCell="K80" sqref="K13:K80"/>
    </sheetView>
  </sheetViews>
  <sheetFormatPr baseColWidth="10" defaultColWidth="8.83203125" defaultRowHeight="14" x14ac:dyDescent="0"/>
  <cols>
    <col min="1" max="2" width="19.1640625" customWidth="1"/>
    <col min="3" max="3" width="25.33203125" customWidth="1"/>
    <col min="4" max="4" width="10.83203125" customWidth="1"/>
    <col min="5" max="5" width="18.1640625" customWidth="1"/>
    <col min="6" max="6" width="16" customWidth="1"/>
    <col min="7" max="8" width="18.1640625" customWidth="1"/>
    <col min="9" max="11" width="20.33203125" customWidth="1"/>
    <col min="12" max="12" width="18.1640625" customWidth="1"/>
    <col min="14" max="14" width="11.5" customWidth="1"/>
    <col min="15" max="15" width="14.33203125" customWidth="1"/>
    <col min="16" max="16" width="11.5" customWidth="1"/>
    <col min="17" max="17" width="10.6640625" customWidth="1"/>
    <col min="19" max="19" width="14.1640625" customWidth="1"/>
    <col min="21" max="21" width="11.1640625" customWidth="1"/>
    <col min="22" max="22" width="11" customWidth="1"/>
    <col min="23" max="23" width="9" customWidth="1"/>
  </cols>
  <sheetData>
    <row r="1" spans="1:37">
      <c r="A1" s="1" t="s">
        <v>96</v>
      </c>
      <c r="B1" s="1" t="s">
        <v>411</v>
      </c>
      <c r="C1" s="1" t="s">
        <v>1</v>
      </c>
      <c r="D1" s="1" t="s">
        <v>52</v>
      </c>
      <c r="E1" s="1" t="s">
        <v>326</v>
      </c>
      <c r="F1" s="1" t="s">
        <v>62</v>
      </c>
      <c r="G1" s="1" t="s">
        <v>61</v>
      </c>
      <c r="H1" s="1" t="s">
        <v>191</v>
      </c>
      <c r="I1" s="1" t="s">
        <v>192</v>
      </c>
      <c r="J1" s="1" t="s">
        <v>328</v>
      </c>
      <c r="K1" s="1" t="s">
        <v>333</v>
      </c>
      <c r="L1" s="1" t="s">
        <v>190</v>
      </c>
      <c r="M1" s="1">
        <v>2016</v>
      </c>
      <c r="N1" s="1" t="s">
        <v>97</v>
      </c>
      <c r="O1" s="1" t="s">
        <v>98</v>
      </c>
      <c r="P1" s="1" t="s">
        <v>99</v>
      </c>
      <c r="Q1" s="1" t="s">
        <v>100</v>
      </c>
      <c r="R1" s="1" t="s">
        <v>101</v>
      </c>
      <c r="S1" s="1" t="s">
        <v>102</v>
      </c>
      <c r="T1" s="1" t="s">
        <v>103</v>
      </c>
      <c r="U1" s="1" t="s">
        <v>104</v>
      </c>
      <c r="V1" s="1" t="s">
        <v>105</v>
      </c>
      <c r="W1" s="1" t="s">
        <v>327</v>
      </c>
      <c r="X1" s="1" t="s">
        <v>106</v>
      </c>
      <c r="Y1" s="1" t="s">
        <v>107</v>
      </c>
      <c r="Z1" s="1" t="s">
        <v>108</v>
      </c>
      <c r="AA1" s="1" t="s">
        <v>109</v>
      </c>
      <c r="AB1" s="1" t="s">
        <v>110</v>
      </c>
      <c r="AC1" s="1" t="s">
        <v>111</v>
      </c>
      <c r="AD1" s="1" t="s">
        <v>112</v>
      </c>
      <c r="AE1" s="1" t="s">
        <v>113</v>
      </c>
      <c r="AF1" s="1" t="s">
        <v>114</v>
      </c>
      <c r="AG1" s="1" t="s">
        <v>115</v>
      </c>
      <c r="AH1" s="1" t="s">
        <v>116</v>
      </c>
      <c r="AI1" s="1" t="s">
        <v>117</v>
      </c>
      <c r="AJ1" s="1" t="s">
        <v>118</v>
      </c>
      <c r="AK1" s="1" t="s">
        <v>119</v>
      </c>
    </row>
    <row r="2" spans="1:37">
      <c r="A2" t="s">
        <v>202</v>
      </c>
      <c r="B2" t="s">
        <v>445</v>
      </c>
      <c r="C2" t="s">
        <v>457</v>
      </c>
      <c r="D2" t="s">
        <v>119</v>
      </c>
      <c r="E2" s="5">
        <v>338344500</v>
      </c>
      <c r="F2" s="5">
        <f t="shared" ref="F2:F33" si="0">SUM((1-L2)*G2)/L2</f>
        <v>724057</v>
      </c>
      <c r="G2" s="5">
        <f t="shared" ref="G2:G33" si="1">SUM(N2+O2)</f>
        <v>724057</v>
      </c>
      <c r="H2" s="7">
        <f t="shared" ref="H2:H33" si="2">SUM(U2:W2)</f>
        <v>1250724</v>
      </c>
      <c r="I2" s="7">
        <f t="shared" ref="I2:I33" si="3">SUM(P2:T2,X2:AK2)</f>
        <v>592103</v>
      </c>
      <c r="J2" s="7">
        <f t="shared" ref="J2:J33" si="4">SUM(M2)*((G2+H2+I2)/L2)</f>
        <v>2566884</v>
      </c>
      <c r="K2" s="7">
        <f t="shared" ref="K2:K33" si="5">SUM(G2:I2)</f>
        <v>2566884</v>
      </c>
      <c r="L2" s="9">
        <f>SUM(1-M2)</f>
        <v>0.5</v>
      </c>
      <c r="M2" s="6">
        <v>0.5</v>
      </c>
      <c r="N2" s="7">
        <v>16917</v>
      </c>
      <c r="O2" s="7">
        <v>707140</v>
      </c>
      <c r="P2" t="s">
        <v>121</v>
      </c>
      <c r="Q2" t="s">
        <v>121</v>
      </c>
      <c r="R2" t="s">
        <v>121</v>
      </c>
      <c r="S2" t="s">
        <v>121</v>
      </c>
      <c r="T2" t="s">
        <v>121</v>
      </c>
      <c r="U2" t="s">
        <v>121</v>
      </c>
      <c r="V2" t="s">
        <v>121</v>
      </c>
      <c r="W2" s="7">
        <v>1250724</v>
      </c>
      <c r="X2" t="s">
        <v>121</v>
      </c>
      <c r="Y2" t="s">
        <v>121</v>
      </c>
      <c r="Z2" t="s">
        <v>121</v>
      </c>
      <c r="AA2" t="s">
        <v>121</v>
      </c>
      <c r="AB2" t="s">
        <v>121</v>
      </c>
      <c r="AC2" t="s">
        <v>121</v>
      </c>
      <c r="AD2" s="7">
        <v>203007</v>
      </c>
      <c r="AE2" t="s">
        <v>121</v>
      </c>
      <c r="AF2" t="s">
        <v>121</v>
      </c>
      <c r="AK2" s="7">
        <v>389096</v>
      </c>
    </row>
    <row r="3" spans="1:37">
      <c r="A3" t="s">
        <v>186</v>
      </c>
      <c r="B3" t="s">
        <v>507</v>
      </c>
      <c r="C3" t="s">
        <v>277</v>
      </c>
      <c r="D3" t="s">
        <v>119</v>
      </c>
      <c r="E3" s="5">
        <v>19446000</v>
      </c>
      <c r="F3" s="5">
        <f t="shared" si="0"/>
        <v>79058.999999999927</v>
      </c>
      <c r="G3" s="5">
        <f t="shared" si="1"/>
        <v>4161</v>
      </c>
      <c r="H3" s="7">
        <f t="shared" si="2"/>
        <v>7188</v>
      </c>
      <c r="I3" s="7">
        <f t="shared" si="3"/>
        <v>3403</v>
      </c>
      <c r="J3" s="7">
        <f t="shared" si="4"/>
        <v>280287.99999999971</v>
      </c>
      <c r="K3" s="7">
        <f t="shared" si="5"/>
        <v>14752</v>
      </c>
      <c r="L3" s="9">
        <f>SUM(1-M3)</f>
        <v>5.0000000000000044E-2</v>
      </c>
      <c r="M3" s="6">
        <v>0.95</v>
      </c>
      <c r="N3">
        <v>97</v>
      </c>
      <c r="O3" s="7">
        <v>4064</v>
      </c>
      <c r="P3" t="s">
        <v>121</v>
      </c>
      <c r="Q3" t="s">
        <v>121</v>
      </c>
      <c r="R3" t="s">
        <v>121</v>
      </c>
      <c r="S3" t="s">
        <v>121</v>
      </c>
      <c r="T3" t="s">
        <v>121</v>
      </c>
      <c r="U3" t="s">
        <v>121</v>
      </c>
      <c r="V3" t="s">
        <v>121</v>
      </c>
      <c r="W3" s="7">
        <v>7188</v>
      </c>
      <c r="X3" t="s">
        <v>121</v>
      </c>
      <c r="Y3" t="s">
        <v>121</v>
      </c>
      <c r="Z3" t="s">
        <v>121</v>
      </c>
      <c r="AA3" t="s">
        <v>121</v>
      </c>
      <c r="AB3" t="s">
        <v>121</v>
      </c>
      <c r="AC3" t="s">
        <v>121</v>
      </c>
      <c r="AD3" s="7">
        <v>1167</v>
      </c>
      <c r="AE3" t="s">
        <v>121</v>
      </c>
      <c r="AF3" t="s">
        <v>121</v>
      </c>
      <c r="AK3" s="7">
        <v>2236</v>
      </c>
    </row>
    <row r="4" spans="1:37">
      <c r="A4" t="s">
        <v>187</v>
      </c>
      <c r="B4" t="s">
        <v>508</v>
      </c>
      <c r="C4" t="s">
        <v>278</v>
      </c>
      <c r="D4" t="s">
        <v>119</v>
      </c>
      <c r="E4" s="5">
        <v>41038000</v>
      </c>
      <c r="F4" s="5">
        <f t="shared" si="0"/>
        <v>166857.99999999985</v>
      </c>
      <c r="G4" s="5">
        <f t="shared" si="1"/>
        <v>8782</v>
      </c>
      <c r="H4" s="7">
        <f t="shared" si="2"/>
        <v>15170</v>
      </c>
      <c r="I4" s="7">
        <f t="shared" si="3"/>
        <v>7181</v>
      </c>
      <c r="J4" s="7">
        <f t="shared" si="4"/>
        <v>591526.99999999942</v>
      </c>
      <c r="K4" s="7">
        <f t="shared" si="5"/>
        <v>31133</v>
      </c>
      <c r="L4" s="9">
        <f>SUM(1-M4)</f>
        <v>5.0000000000000044E-2</v>
      </c>
      <c r="M4" s="6">
        <v>0.95</v>
      </c>
      <c r="N4">
        <v>205</v>
      </c>
      <c r="O4" s="7">
        <v>8577</v>
      </c>
      <c r="P4" t="s">
        <v>121</v>
      </c>
      <c r="Q4" t="s">
        <v>121</v>
      </c>
      <c r="R4" t="s">
        <v>121</v>
      </c>
      <c r="S4" t="s">
        <v>121</v>
      </c>
      <c r="T4" t="s">
        <v>121</v>
      </c>
      <c r="U4" t="s">
        <v>121</v>
      </c>
      <c r="V4" t="s">
        <v>121</v>
      </c>
      <c r="W4" s="7">
        <v>15170</v>
      </c>
      <c r="X4" t="s">
        <v>121</v>
      </c>
      <c r="Y4" t="s">
        <v>121</v>
      </c>
      <c r="Z4" t="s">
        <v>121</v>
      </c>
      <c r="AA4" t="s">
        <v>121</v>
      </c>
      <c r="AB4" t="s">
        <v>121</v>
      </c>
      <c r="AC4" t="s">
        <v>121</v>
      </c>
      <c r="AD4" s="7">
        <v>2462</v>
      </c>
      <c r="AE4" t="s">
        <v>121</v>
      </c>
      <c r="AF4" t="s">
        <v>121</v>
      </c>
      <c r="AK4" s="7">
        <v>4719</v>
      </c>
    </row>
    <row r="5" spans="1:37">
      <c r="A5" t="s">
        <v>189</v>
      </c>
      <c r="B5" t="s">
        <v>510</v>
      </c>
      <c r="C5" t="s">
        <v>280</v>
      </c>
      <c r="D5" t="s">
        <v>119</v>
      </c>
      <c r="E5" s="5">
        <v>17516300</v>
      </c>
      <c r="F5" s="5">
        <f t="shared" si="0"/>
        <v>44981.999999999993</v>
      </c>
      <c r="G5" s="5">
        <f t="shared" si="1"/>
        <v>29988</v>
      </c>
      <c r="H5" s="7">
        <f t="shared" si="2"/>
        <v>51801</v>
      </c>
      <c r="I5" s="7">
        <f t="shared" si="3"/>
        <v>16115</v>
      </c>
      <c r="J5" s="7">
        <f t="shared" si="4"/>
        <v>146856</v>
      </c>
      <c r="K5" s="7">
        <f t="shared" si="5"/>
        <v>97904</v>
      </c>
      <c r="L5" s="9">
        <f>SUM(1-M5)</f>
        <v>0.4</v>
      </c>
      <c r="M5" s="6">
        <v>0.6</v>
      </c>
      <c r="N5">
        <v>701</v>
      </c>
      <c r="O5" s="7">
        <v>29287</v>
      </c>
      <c r="P5" t="s">
        <v>121</v>
      </c>
      <c r="Q5" t="s">
        <v>121</v>
      </c>
      <c r="R5" t="s">
        <v>121</v>
      </c>
      <c r="S5" t="s">
        <v>121</v>
      </c>
      <c r="T5" t="s">
        <v>121</v>
      </c>
      <c r="U5" t="s">
        <v>121</v>
      </c>
      <c r="V5" t="s">
        <v>121</v>
      </c>
      <c r="W5" s="7">
        <v>51801</v>
      </c>
      <c r="X5" t="s">
        <v>121</v>
      </c>
      <c r="Y5" t="s">
        <v>121</v>
      </c>
      <c r="Z5" t="s">
        <v>121</v>
      </c>
      <c r="AA5" t="s">
        <v>121</v>
      </c>
      <c r="AB5" t="s">
        <v>121</v>
      </c>
      <c r="AC5" t="s">
        <v>121</v>
      </c>
      <c r="AD5" t="s">
        <v>121</v>
      </c>
      <c r="AE5" t="s">
        <v>121</v>
      </c>
      <c r="AF5" t="s">
        <v>121</v>
      </c>
      <c r="AK5" s="7">
        <v>16115</v>
      </c>
    </row>
    <row r="6" spans="1:37">
      <c r="A6" t="s">
        <v>290</v>
      </c>
      <c r="B6" t="s">
        <v>511</v>
      </c>
      <c r="C6" t="s">
        <v>329</v>
      </c>
      <c r="D6" t="s">
        <v>119</v>
      </c>
      <c r="E6" s="7">
        <v>31356776</v>
      </c>
      <c r="F6" s="5">
        <f t="shared" si="0"/>
        <v>123683.69259963233</v>
      </c>
      <c r="G6" s="5">
        <f t="shared" si="1"/>
        <v>10523.88</v>
      </c>
      <c r="H6" s="7">
        <f t="shared" si="2"/>
        <v>21382.07</v>
      </c>
      <c r="I6" s="7">
        <f t="shared" si="3"/>
        <v>16336.53</v>
      </c>
      <c r="J6" s="7">
        <f t="shared" si="4"/>
        <v>566977.96502467827</v>
      </c>
      <c r="K6" s="7">
        <f t="shared" si="5"/>
        <v>48242.479999999996</v>
      </c>
      <c r="L6" s="9">
        <v>7.8414949291980784E-2</v>
      </c>
      <c r="M6" s="6">
        <f t="shared" ref="M6:M12" si="6">SUM(1-L6)</f>
        <v>0.92158505070801922</v>
      </c>
      <c r="N6" s="3">
        <v>245.88</v>
      </c>
      <c r="O6" s="3">
        <v>10278</v>
      </c>
      <c r="P6" s="7"/>
      <c r="Q6" s="7"/>
      <c r="R6" s="10">
        <v>1455.63</v>
      </c>
      <c r="S6" s="10">
        <v>8733.7999999999993</v>
      </c>
      <c r="T6">
        <v>491.77</v>
      </c>
      <c r="U6">
        <v>24.59</v>
      </c>
      <c r="V6" s="10">
        <v>21357.48</v>
      </c>
      <c r="W6" s="3" t="s">
        <v>121</v>
      </c>
      <c r="X6" s="7"/>
      <c r="Y6" t="s">
        <v>121</v>
      </c>
      <c r="Z6" s="7"/>
      <c r="AA6" s="7"/>
      <c r="AB6" s="7"/>
      <c r="AD6" s="7"/>
      <c r="AE6" t="s">
        <v>121</v>
      </c>
      <c r="AF6" t="s">
        <v>121</v>
      </c>
      <c r="AH6" s="7"/>
      <c r="AJ6" s="7"/>
      <c r="AK6" s="10">
        <v>5655.33</v>
      </c>
    </row>
    <row r="7" spans="1:37">
      <c r="A7" t="s">
        <v>295</v>
      </c>
      <c r="B7" t="s">
        <v>508</v>
      </c>
      <c r="C7" t="s">
        <v>278</v>
      </c>
      <c r="D7" t="s">
        <v>119</v>
      </c>
      <c r="E7" s="7">
        <v>9970374</v>
      </c>
      <c r="F7" s="5">
        <f t="shared" si="0"/>
        <v>13189.927535786224</v>
      </c>
      <c r="G7" s="5">
        <f t="shared" si="1"/>
        <v>29483.27</v>
      </c>
      <c r="H7" s="7">
        <f t="shared" si="2"/>
        <v>50928.91</v>
      </c>
      <c r="I7" s="7">
        <f t="shared" si="3"/>
        <v>15843.81</v>
      </c>
      <c r="J7" s="7">
        <f t="shared" si="4"/>
        <v>43062.032569160867</v>
      </c>
      <c r="K7" s="7">
        <f t="shared" si="5"/>
        <v>96255.99</v>
      </c>
      <c r="L7" s="9">
        <v>0.69090838518193998</v>
      </c>
      <c r="M7" s="6">
        <f t="shared" si="6"/>
        <v>0.30909161481806002</v>
      </c>
      <c r="N7" s="3">
        <v>688.86</v>
      </c>
      <c r="O7" s="3">
        <v>28794.41</v>
      </c>
      <c r="R7" t="s">
        <v>121</v>
      </c>
      <c r="S7" t="s">
        <v>121</v>
      </c>
      <c r="T7" t="s">
        <v>121</v>
      </c>
      <c r="U7" t="s">
        <v>121</v>
      </c>
      <c r="V7" t="s">
        <v>121</v>
      </c>
      <c r="W7" s="3">
        <v>50928.91</v>
      </c>
      <c r="Y7" t="s">
        <v>121</v>
      </c>
      <c r="AE7" t="s">
        <v>121</v>
      </c>
      <c r="AF7" t="s">
        <v>121</v>
      </c>
      <c r="AK7" s="10">
        <v>15843.81</v>
      </c>
    </row>
    <row r="8" spans="1:37">
      <c r="A8" t="s">
        <v>305</v>
      </c>
      <c r="B8" t="s">
        <v>520</v>
      </c>
      <c r="C8" t="s">
        <v>332</v>
      </c>
      <c r="D8" t="s">
        <v>119</v>
      </c>
      <c r="E8" s="7">
        <v>2932413</v>
      </c>
      <c r="F8" s="5">
        <f t="shared" si="0"/>
        <v>8515.6680132503025</v>
      </c>
      <c r="G8" s="5">
        <f t="shared" si="1"/>
        <v>4035.0600000000004</v>
      </c>
      <c r="H8" s="7">
        <f t="shared" si="2"/>
        <v>6970.09</v>
      </c>
      <c r="I8" s="7">
        <f t="shared" si="3"/>
        <v>2168.37</v>
      </c>
      <c r="J8" s="7">
        <f t="shared" si="4"/>
        <v>27801.649265664728</v>
      </c>
      <c r="K8" s="7">
        <f t="shared" si="5"/>
        <v>13173.52</v>
      </c>
      <c r="L8" s="9">
        <v>0.32150007519404666</v>
      </c>
      <c r="M8" s="6">
        <f t="shared" si="6"/>
        <v>0.67849992480595334</v>
      </c>
      <c r="N8" s="3">
        <v>94.28</v>
      </c>
      <c r="O8" s="3">
        <v>3940.78</v>
      </c>
      <c r="R8" t="s">
        <v>121</v>
      </c>
      <c r="S8" t="s">
        <v>121</v>
      </c>
      <c r="T8" t="s">
        <v>121</v>
      </c>
      <c r="U8" t="s">
        <v>121</v>
      </c>
      <c r="V8" t="s">
        <v>121</v>
      </c>
      <c r="W8" s="3">
        <v>6970.09</v>
      </c>
      <c r="Y8" t="s">
        <v>121</v>
      </c>
      <c r="AE8" t="s">
        <v>121</v>
      </c>
      <c r="AF8" t="s">
        <v>121</v>
      </c>
      <c r="AK8" s="10">
        <v>2168.37</v>
      </c>
    </row>
    <row r="9" spans="1:37">
      <c r="A9" t="s">
        <v>306</v>
      </c>
      <c r="B9" t="s">
        <v>520</v>
      </c>
      <c r="C9" t="s">
        <v>332</v>
      </c>
      <c r="D9" t="s">
        <v>119</v>
      </c>
      <c r="E9" s="7">
        <v>6146187</v>
      </c>
      <c r="F9" s="5">
        <f t="shared" si="0"/>
        <v>15640.445687613921</v>
      </c>
      <c r="G9" s="5">
        <f t="shared" si="1"/>
        <v>10665.24</v>
      </c>
      <c r="H9" s="7">
        <f t="shared" si="2"/>
        <v>18422.95</v>
      </c>
      <c r="I9" s="7">
        <f t="shared" si="3"/>
        <v>5731.32</v>
      </c>
      <c r="J9" s="7">
        <f t="shared" si="4"/>
        <v>51062.391003327619</v>
      </c>
      <c r="K9" s="7">
        <f t="shared" si="5"/>
        <v>34819.51</v>
      </c>
      <c r="L9" s="9">
        <v>0.40543478420035056</v>
      </c>
      <c r="M9" s="6">
        <f t="shared" si="6"/>
        <v>0.59456521579964949</v>
      </c>
      <c r="N9" s="3">
        <v>249.19</v>
      </c>
      <c r="O9" s="3">
        <v>10416.049999999999</v>
      </c>
      <c r="R9" t="s">
        <v>121</v>
      </c>
      <c r="S9" t="s">
        <v>121</v>
      </c>
      <c r="T9" t="s">
        <v>121</v>
      </c>
      <c r="U9" t="s">
        <v>121</v>
      </c>
      <c r="V9" t="s">
        <v>121</v>
      </c>
      <c r="W9" s="3">
        <v>18422.95</v>
      </c>
      <c r="Y9" t="s">
        <v>121</v>
      </c>
      <c r="AE9" t="s">
        <v>121</v>
      </c>
      <c r="AF9" t="s">
        <v>121</v>
      </c>
      <c r="AK9" s="10">
        <v>5731.32</v>
      </c>
    </row>
    <row r="10" spans="1:37">
      <c r="A10" t="s">
        <v>312</v>
      </c>
      <c r="B10" t="s">
        <v>524</v>
      </c>
      <c r="C10" t="s">
        <v>332</v>
      </c>
      <c r="D10" t="s">
        <v>119</v>
      </c>
      <c r="E10" s="7">
        <v>6307222</v>
      </c>
      <c r="F10" s="5">
        <f t="shared" si="0"/>
        <v>17254.94528205047</v>
      </c>
      <c r="G10" s="5">
        <f t="shared" si="1"/>
        <v>9739.9599999999991</v>
      </c>
      <c r="H10" s="7">
        <f t="shared" si="2"/>
        <v>16824.650000000001</v>
      </c>
      <c r="I10" s="7">
        <f t="shared" si="3"/>
        <v>5234.09</v>
      </c>
      <c r="J10" s="7">
        <f t="shared" si="4"/>
        <v>56333.375962564358</v>
      </c>
      <c r="K10" s="7">
        <f t="shared" si="5"/>
        <v>31798.7</v>
      </c>
      <c r="L10" s="9">
        <v>0.36080734117175517</v>
      </c>
      <c r="M10" s="6">
        <f t="shared" si="6"/>
        <v>0.63919265882824483</v>
      </c>
      <c r="N10" s="3">
        <v>227.57</v>
      </c>
      <c r="O10" s="3">
        <v>9512.39</v>
      </c>
      <c r="R10" t="s">
        <v>121</v>
      </c>
      <c r="S10" t="s">
        <v>121</v>
      </c>
      <c r="T10" t="s">
        <v>121</v>
      </c>
      <c r="U10" t="s">
        <v>121</v>
      </c>
      <c r="V10" t="s">
        <v>121</v>
      </c>
      <c r="W10" s="3">
        <v>16824.650000000001</v>
      </c>
      <c r="Y10" t="s">
        <v>121</v>
      </c>
      <c r="AE10" t="s">
        <v>121</v>
      </c>
      <c r="AF10" t="s">
        <v>121</v>
      </c>
      <c r="AK10" s="10">
        <v>5234.09</v>
      </c>
    </row>
    <row r="11" spans="1:37">
      <c r="A11" t="s">
        <v>323</v>
      </c>
      <c r="B11" t="s">
        <v>532</v>
      </c>
      <c r="C11" t="s">
        <v>347</v>
      </c>
      <c r="D11" t="s">
        <v>119</v>
      </c>
      <c r="E11" s="7">
        <v>15094293</v>
      </c>
      <c r="F11" s="5">
        <f t="shared" si="0"/>
        <v>32301.775720001213</v>
      </c>
      <c r="G11" s="5">
        <f t="shared" si="1"/>
        <v>32301.78</v>
      </c>
      <c r="H11" s="7">
        <f t="shared" si="2"/>
        <v>55797.56</v>
      </c>
      <c r="I11" s="7">
        <f t="shared" si="3"/>
        <v>17358.439999999999</v>
      </c>
      <c r="J11" s="7">
        <f t="shared" si="4"/>
        <v>105457.7660268019</v>
      </c>
      <c r="K11" s="7">
        <f t="shared" si="5"/>
        <v>105457.78</v>
      </c>
      <c r="L11" s="9">
        <v>0.50000003312510233</v>
      </c>
      <c r="M11" s="6">
        <f t="shared" si="6"/>
        <v>0.49999996687489767</v>
      </c>
      <c r="N11" s="3">
        <v>754.71</v>
      </c>
      <c r="O11" s="3">
        <v>31547.07</v>
      </c>
      <c r="R11" t="s">
        <v>121</v>
      </c>
      <c r="S11" t="s">
        <v>121</v>
      </c>
      <c r="T11" t="s">
        <v>121</v>
      </c>
      <c r="U11" t="s">
        <v>121</v>
      </c>
      <c r="V11" t="s">
        <v>121</v>
      </c>
      <c r="W11" s="3">
        <v>55797.56</v>
      </c>
      <c r="Y11" t="s">
        <v>121</v>
      </c>
      <c r="AE11" t="s">
        <v>121</v>
      </c>
      <c r="AF11" t="s">
        <v>121</v>
      </c>
      <c r="AK11" s="10">
        <v>17358.439999999999</v>
      </c>
    </row>
    <row r="12" spans="1:37">
      <c r="A12" t="s">
        <v>325</v>
      </c>
      <c r="B12" t="s">
        <v>534</v>
      </c>
      <c r="C12" t="s">
        <v>336</v>
      </c>
      <c r="D12" t="s">
        <v>119</v>
      </c>
      <c r="E12" s="7">
        <v>34012650</v>
      </c>
      <c r="F12" s="5">
        <f t="shared" si="0"/>
        <v>61049.342344453085</v>
      </c>
      <c r="G12" s="5">
        <f t="shared" si="1"/>
        <v>84524.800000000003</v>
      </c>
      <c r="H12" s="7">
        <f t="shared" si="2"/>
        <v>146006.72</v>
      </c>
      <c r="I12" s="7">
        <f t="shared" si="3"/>
        <v>45422.21</v>
      </c>
      <c r="J12" s="7">
        <f t="shared" si="4"/>
        <v>199311.84379021038</v>
      </c>
      <c r="K12" s="7">
        <f t="shared" si="5"/>
        <v>275953.73000000004</v>
      </c>
      <c r="L12" s="9">
        <v>0.5806305889132426</v>
      </c>
      <c r="M12" s="6">
        <f t="shared" si="6"/>
        <v>0.4193694110867574</v>
      </c>
      <c r="N12" s="3">
        <v>1974.88</v>
      </c>
      <c r="O12" s="3">
        <v>82549.919999999998</v>
      </c>
      <c r="R12" t="s">
        <v>121</v>
      </c>
      <c r="S12" t="s">
        <v>121</v>
      </c>
      <c r="T12" t="s">
        <v>121</v>
      </c>
      <c r="U12" t="s">
        <v>121</v>
      </c>
      <c r="V12" t="s">
        <v>121</v>
      </c>
      <c r="W12" s="3">
        <v>146006.72</v>
      </c>
      <c r="Y12" t="s">
        <v>121</v>
      </c>
      <c r="AE12" t="s">
        <v>121</v>
      </c>
      <c r="AF12" t="s">
        <v>121</v>
      </c>
      <c r="AK12" s="10">
        <v>45422.21</v>
      </c>
    </row>
    <row r="13" spans="1:37">
      <c r="A13" t="s">
        <v>133</v>
      </c>
      <c r="B13" t="s">
        <v>448</v>
      </c>
      <c r="C13" t="s">
        <v>205</v>
      </c>
      <c r="D13" t="s">
        <v>206</v>
      </c>
      <c r="E13" s="5">
        <v>33060000</v>
      </c>
      <c r="F13" s="5">
        <f t="shared" si="0"/>
        <v>127350.00000000003</v>
      </c>
      <c r="G13" s="5">
        <f t="shared" si="1"/>
        <v>14150</v>
      </c>
      <c r="H13" s="7">
        <f t="shared" si="2"/>
        <v>28749</v>
      </c>
      <c r="I13" s="7">
        <f t="shared" si="3"/>
        <v>20973</v>
      </c>
      <c r="J13" s="7">
        <f t="shared" si="4"/>
        <v>574848.00000000012</v>
      </c>
      <c r="K13" s="7">
        <f t="shared" si="5"/>
        <v>63872</v>
      </c>
      <c r="L13" s="9">
        <f t="shared" ref="L13:L44" si="7">SUM(1-M13)</f>
        <v>9.9999999999999978E-2</v>
      </c>
      <c r="M13" s="6">
        <v>0.9</v>
      </c>
      <c r="N13">
        <v>331</v>
      </c>
      <c r="O13" s="7">
        <v>13819</v>
      </c>
      <c r="P13" t="s">
        <v>121</v>
      </c>
      <c r="Q13" s="7">
        <v>6612</v>
      </c>
      <c r="R13" s="7">
        <v>1957</v>
      </c>
      <c r="S13" s="7">
        <v>11743</v>
      </c>
      <c r="T13">
        <v>661</v>
      </c>
      <c r="U13">
        <v>33</v>
      </c>
      <c r="V13" s="7">
        <v>28716</v>
      </c>
      <c r="W13" t="s">
        <v>121</v>
      </c>
      <c r="X13" t="s">
        <v>121</v>
      </c>
      <c r="Y13" t="s">
        <v>121</v>
      </c>
      <c r="Z13" t="s">
        <v>121</v>
      </c>
      <c r="AA13" t="s">
        <v>121</v>
      </c>
      <c r="AB13" t="s">
        <v>121</v>
      </c>
      <c r="AC13" t="s">
        <v>121</v>
      </c>
      <c r="AD13" t="s">
        <v>121</v>
      </c>
      <c r="AE13" t="s">
        <v>121</v>
      </c>
      <c r="AF13" t="s">
        <v>121</v>
      </c>
    </row>
    <row r="14" spans="1:37">
      <c r="A14" t="s">
        <v>134</v>
      </c>
      <c r="B14" t="s">
        <v>449</v>
      </c>
      <c r="C14" t="s">
        <v>207</v>
      </c>
      <c r="D14" t="s">
        <v>206</v>
      </c>
      <c r="E14" s="5">
        <v>30030000</v>
      </c>
      <c r="F14" s="5">
        <f t="shared" si="0"/>
        <v>115677.00000000003</v>
      </c>
      <c r="G14" s="5">
        <f t="shared" si="1"/>
        <v>12853</v>
      </c>
      <c r="H14" s="7">
        <f t="shared" si="2"/>
        <v>26114</v>
      </c>
      <c r="I14" s="7">
        <f t="shared" si="3"/>
        <v>19052</v>
      </c>
      <c r="J14" s="7">
        <f t="shared" si="4"/>
        <v>522171.00000000012</v>
      </c>
      <c r="K14" s="7">
        <f t="shared" si="5"/>
        <v>58019</v>
      </c>
      <c r="L14" s="9">
        <f t="shared" si="7"/>
        <v>9.9999999999999978E-2</v>
      </c>
      <c r="M14" s="6">
        <v>0.9</v>
      </c>
      <c r="N14">
        <v>300</v>
      </c>
      <c r="O14" s="7">
        <v>12553</v>
      </c>
      <c r="P14" t="s">
        <v>121</v>
      </c>
      <c r="Q14" s="7">
        <v>6006</v>
      </c>
      <c r="R14" s="7">
        <v>1778</v>
      </c>
      <c r="S14" s="7">
        <v>10667</v>
      </c>
      <c r="T14">
        <v>601</v>
      </c>
      <c r="U14">
        <v>30</v>
      </c>
      <c r="V14" s="7">
        <v>26084</v>
      </c>
      <c r="W14" t="s">
        <v>121</v>
      </c>
      <c r="X14" t="s">
        <v>121</v>
      </c>
      <c r="Y14" t="s">
        <v>121</v>
      </c>
      <c r="Z14" t="s">
        <v>121</v>
      </c>
      <c r="AA14" t="s">
        <v>121</v>
      </c>
      <c r="AB14" t="s">
        <v>121</v>
      </c>
      <c r="AC14" t="s">
        <v>121</v>
      </c>
      <c r="AD14" t="s">
        <v>121</v>
      </c>
      <c r="AE14" t="s">
        <v>121</v>
      </c>
      <c r="AF14" t="s">
        <v>121</v>
      </c>
    </row>
    <row r="15" spans="1:37">
      <c r="A15" t="s">
        <v>135</v>
      </c>
      <c r="B15" t="s">
        <v>450</v>
      </c>
      <c r="C15" t="s">
        <v>208</v>
      </c>
      <c r="D15" t="s">
        <v>206</v>
      </c>
      <c r="E15" s="5">
        <v>1600000</v>
      </c>
      <c r="F15" s="5">
        <f t="shared" si="0"/>
        <v>6165.0000000000018</v>
      </c>
      <c r="G15" s="5">
        <f t="shared" si="1"/>
        <v>685</v>
      </c>
      <c r="H15" s="7">
        <f t="shared" si="2"/>
        <v>1392</v>
      </c>
      <c r="I15" s="7">
        <f t="shared" si="3"/>
        <v>1015</v>
      </c>
      <c r="J15" s="7">
        <f t="shared" si="4"/>
        <v>27828.000000000007</v>
      </c>
      <c r="K15" s="7">
        <f t="shared" si="5"/>
        <v>3092</v>
      </c>
      <c r="L15" s="9">
        <f t="shared" si="7"/>
        <v>9.9999999999999978E-2</v>
      </c>
      <c r="M15" s="6">
        <v>0.9</v>
      </c>
      <c r="N15">
        <v>16</v>
      </c>
      <c r="O15">
        <v>669</v>
      </c>
      <c r="P15" t="s">
        <v>121</v>
      </c>
      <c r="Q15">
        <v>320</v>
      </c>
      <c r="R15">
        <v>95</v>
      </c>
      <c r="S15">
        <v>568</v>
      </c>
      <c r="T15">
        <v>32</v>
      </c>
      <c r="U15">
        <v>2</v>
      </c>
      <c r="V15" s="7">
        <v>1390</v>
      </c>
      <c r="W15" t="s">
        <v>121</v>
      </c>
      <c r="X15" t="s">
        <v>121</v>
      </c>
      <c r="Y15" t="s">
        <v>121</v>
      </c>
      <c r="Z15" t="s">
        <v>121</v>
      </c>
      <c r="AA15" t="s">
        <v>121</v>
      </c>
      <c r="AB15" t="s">
        <v>121</v>
      </c>
      <c r="AC15" t="s">
        <v>121</v>
      </c>
      <c r="AD15" t="s">
        <v>121</v>
      </c>
      <c r="AE15" t="s">
        <v>121</v>
      </c>
      <c r="AF15" t="s">
        <v>121</v>
      </c>
    </row>
    <row r="16" spans="1:37">
      <c r="A16" t="s">
        <v>136</v>
      </c>
      <c r="B16" t="s">
        <v>451</v>
      </c>
      <c r="C16" t="s">
        <v>459</v>
      </c>
      <c r="D16" t="s">
        <v>206</v>
      </c>
      <c r="E16" s="5">
        <v>4150000</v>
      </c>
      <c r="F16" s="5">
        <f t="shared" si="0"/>
        <v>15993.000000000004</v>
      </c>
      <c r="G16" s="5">
        <f t="shared" si="1"/>
        <v>1777</v>
      </c>
      <c r="H16" s="7">
        <f t="shared" si="2"/>
        <v>3609</v>
      </c>
      <c r="I16" s="7">
        <f t="shared" si="3"/>
        <v>2633</v>
      </c>
      <c r="J16" s="7">
        <f t="shared" si="4"/>
        <v>72171.000000000015</v>
      </c>
      <c r="K16" s="7">
        <f t="shared" si="5"/>
        <v>8019</v>
      </c>
      <c r="L16" s="9">
        <f t="shared" si="7"/>
        <v>9.9999999999999978E-2</v>
      </c>
      <c r="M16" s="6">
        <v>0.9</v>
      </c>
      <c r="N16">
        <v>42</v>
      </c>
      <c r="O16" s="7">
        <v>1735</v>
      </c>
      <c r="P16" t="s">
        <v>121</v>
      </c>
      <c r="Q16">
        <v>830</v>
      </c>
      <c r="R16">
        <v>246</v>
      </c>
      <c r="S16" s="7">
        <v>1474</v>
      </c>
      <c r="T16">
        <v>83</v>
      </c>
      <c r="U16">
        <v>4</v>
      </c>
      <c r="V16" s="7">
        <v>3605</v>
      </c>
      <c r="W16" t="s">
        <v>121</v>
      </c>
      <c r="X16" t="s">
        <v>121</v>
      </c>
      <c r="Y16" t="s">
        <v>121</v>
      </c>
      <c r="Z16" t="s">
        <v>121</v>
      </c>
      <c r="AA16" t="s">
        <v>121</v>
      </c>
      <c r="AB16" t="s">
        <v>121</v>
      </c>
      <c r="AC16" t="s">
        <v>121</v>
      </c>
      <c r="AD16" t="s">
        <v>121</v>
      </c>
      <c r="AE16" t="s">
        <v>121</v>
      </c>
      <c r="AF16" t="s">
        <v>121</v>
      </c>
    </row>
    <row r="17" spans="1:32">
      <c r="A17" t="s">
        <v>137</v>
      </c>
      <c r="B17" t="s">
        <v>452</v>
      </c>
      <c r="C17" t="s">
        <v>210</v>
      </c>
      <c r="D17" t="s">
        <v>206</v>
      </c>
      <c r="E17" s="5">
        <v>12300200</v>
      </c>
      <c r="F17" s="5">
        <f t="shared" si="0"/>
        <v>47376.000000000015</v>
      </c>
      <c r="G17" s="5">
        <f t="shared" si="1"/>
        <v>5264</v>
      </c>
      <c r="H17" s="7">
        <f t="shared" si="2"/>
        <v>10696</v>
      </c>
      <c r="I17" s="7">
        <f t="shared" si="3"/>
        <v>7803</v>
      </c>
      <c r="J17" s="7">
        <f t="shared" si="4"/>
        <v>213867.00000000006</v>
      </c>
      <c r="K17" s="7">
        <f t="shared" si="5"/>
        <v>23763</v>
      </c>
      <c r="L17" s="9">
        <f t="shared" si="7"/>
        <v>9.9999999999999978E-2</v>
      </c>
      <c r="M17" s="6">
        <v>0.9</v>
      </c>
      <c r="N17">
        <v>123</v>
      </c>
      <c r="O17" s="7">
        <v>5141</v>
      </c>
      <c r="P17" t="s">
        <v>121</v>
      </c>
      <c r="Q17" s="7">
        <v>2460</v>
      </c>
      <c r="R17">
        <v>728</v>
      </c>
      <c r="S17" s="7">
        <v>4369</v>
      </c>
      <c r="T17">
        <v>246</v>
      </c>
      <c r="U17">
        <v>12</v>
      </c>
      <c r="V17" s="7">
        <v>10684</v>
      </c>
      <c r="W17" t="s">
        <v>121</v>
      </c>
      <c r="X17" t="s">
        <v>121</v>
      </c>
      <c r="Y17" t="s">
        <v>121</v>
      </c>
      <c r="Z17" t="s">
        <v>121</v>
      </c>
      <c r="AA17" t="s">
        <v>121</v>
      </c>
      <c r="AB17" t="s">
        <v>121</v>
      </c>
      <c r="AC17" t="s">
        <v>121</v>
      </c>
      <c r="AD17" t="s">
        <v>121</v>
      </c>
      <c r="AE17" t="s">
        <v>121</v>
      </c>
      <c r="AF17" t="s">
        <v>121</v>
      </c>
    </row>
    <row r="18" spans="1:32">
      <c r="A18" t="s">
        <v>138</v>
      </c>
      <c r="B18" t="s">
        <v>453</v>
      </c>
      <c r="C18" t="s">
        <v>211</v>
      </c>
      <c r="D18" t="s">
        <v>206</v>
      </c>
      <c r="E18" s="5">
        <v>12460300</v>
      </c>
      <c r="F18" s="5">
        <f t="shared" si="0"/>
        <v>47997.000000000007</v>
      </c>
      <c r="G18" s="5">
        <f t="shared" si="1"/>
        <v>5333</v>
      </c>
      <c r="H18" s="7">
        <f t="shared" si="2"/>
        <v>10835</v>
      </c>
      <c r="I18" s="7">
        <f t="shared" si="3"/>
        <v>7905</v>
      </c>
      <c r="J18" s="7">
        <f t="shared" si="4"/>
        <v>216657.00000000006</v>
      </c>
      <c r="K18" s="7">
        <f t="shared" si="5"/>
        <v>24073</v>
      </c>
      <c r="L18" s="9">
        <f t="shared" si="7"/>
        <v>9.9999999999999978E-2</v>
      </c>
      <c r="M18" s="6">
        <v>0.9</v>
      </c>
      <c r="N18">
        <v>125</v>
      </c>
      <c r="O18" s="7">
        <v>5208</v>
      </c>
      <c r="P18" t="s">
        <v>121</v>
      </c>
      <c r="Q18" s="7">
        <v>2492</v>
      </c>
      <c r="R18">
        <v>738</v>
      </c>
      <c r="S18" s="7">
        <v>4426</v>
      </c>
      <c r="T18">
        <v>249</v>
      </c>
      <c r="U18">
        <v>12</v>
      </c>
      <c r="V18" s="7">
        <v>10823</v>
      </c>
      <c r="W18" t="s">
        <v>121</v>
      </c>
      <c r="X18" t="s">
        <v>121</v>
      </c>
      <c r="Y18" t="s">
        <v>121</v>
      </c>
      <c r="Z18" t="s">
        <v>121</v>
      </c>
      <c r="AA18" t="s">
        <v>121</v>
      </c>
      <c r="AB18" t="s">
        <v>121</v>
      </c>
      <c r="AC18" t="s">
        <v>121</v>
      </c>
      <c r="AD18" t="s">
        <v>121</v>
      </c>
      <c r="AE18" t="s">
        <v>121</v>
      </c>
      <c r="AF18" t="s">
        <v>121</v>
      </c>
    </row>
    <row r="19" spans="1:32">
      <c r="A19" t="s">
        <v>139</v>
      </c>
      <c r="B19" t="s">
        <v>454</v>
      </c>
      <c r="C19" t="s">
        <v>209</v>
      </c>
      <c r="D19" t="s">
        <v>206</v>
      </c>
      <c r="E19" s="5">
        <v>19310000</v>
      </c>
      <c r="F19" s="5">
        <f t="shared" si="0"/>
        <v>74385.000000000015</v>
      </c>
      <c r="G19" s="5">
        <f t="shared" si="1"/>
        <v>8265</v>
      </c>
      <c r="H19" s="7">
        <f t="shared" si="2"/>
        <v>16792</v>
      </c>
      <c r="I19" s="7">
        <f t="shared" si="3"/>
        <v>12250</v>
      </c>
      <c r="J19" s="7">
        <f t="shared" si="4"/>
        <v>335763.00000000006</v>
      </c>
      <c r="K19" s="7">
        <f t="shared" si="5"/>
        <v>37307</v>
      </c>
      <c r="L19" s="9">
        <f t="shared" si="7"/>
        <v>9.9999999999999978E-2</v>
      </c>
      <c r="M19" s="6">
        <v>0.9</v>
      </c>
      <c r="N19">
        <v>193</v>
      </c>
      <c r="O19" s="7">
        <v>8072</v>
      </c>
      <c r="P19" t="s">
        <v>121</v>
      </c>
      <c r="Q19" s="7">
        <v>3862</v>
      </c>
      <c r="R19" s="7">
        <v>1143</v>
      </c>
      <c r="S19" s="7">
        <v>6859</v>
      </c>
      <c r="T19">
        <v>386</v>
      </c>
      <c r="U19">
        <v>19</v>
      </c>
      <c r="V19" s="7">
        <v>16773</v>
      </c>
      <c r="W19" t="s">
        <v>121</v>
      </c>
      <c r="X19" t="s">
        <v>121</v>
      </c>
      <c r="Y19" t="s">
        <v>121</v>
      </c>
      <c r="Z19" t="s">
        <v>121</v>
      </c>
      <c r="AA19" t="s">
        <v>121</v>
      </c>
      <c r="AB19" t="s">
        <v>121</v>
      </c>
      <c r="AC19" t="s">
        <v>121</v>
      </c>
      <c r="AD19" t="s">
        <v>121</v>
      </c>
      <c r="AE19" t="s">
        <v>121</v>
      </c>
      <c r="AF19" t="s">
        <v>121</v>
      </c>
    </row>
    <row r="20" spans="1:32">
      <c r="A20" t="s">
        <v>140</v>
      </c>
      <c r="B20" t="s">
        <v>455</v>
      </c>
      <c r="C20" t="s">
        <v>462</v>
      </c>
      <c r="D20" t="s">
        <v>206</v>
      </c>
      <c r="E20" s="5">
        <v>6300600</v>
      </c>
      <c r="F20" s="5">
        <f t="shared" si="0"/>
        <v>24273.000000000007</v>
      </c>
      <c r="G20" s="5">
        <f t="shared" si="1"/>
        <v>2697</v>
      </c>
      <c r="H20" s="7">
        <f t="shared" si="2"/>
        <v>5479</v>
      </c>
      <c r="I20" s="7">
        <f t="shared" si="3"/>
        <v>3997</v>
      </c>
      <c r="J20" s="7">
        <f t="shared" si="4"/>
        <v>109557.00000000003</v>
      </c>
      <c r="K20" s="7">
        <f t="shared" si="5"/>
        <v>12173</v>
      </c>
      <c r="L20" s="9">
        <f t="shared" si="7"/>
        <v>9.9999999999999978E-2</v>
      </c>
      <c r="M20" s="6">
        <v>0.9</v>
      </c>
      <c r="N20">
        <v>63</v>
      </c>
      <c r="O20" s="7">
        <v>2634</v>
      </c>
      <c r="P20" t="s">
        <v>121</v>
      </c>
      <c r="Q20" s="7">
        <v>1260</v>
      </c>
      <c r="R20">
        <v>373</v>
      </c>
      <c r="S20" s="7">
        <v>2238</v>
      </c>
      <c r="T20">
        <v>126</v>
      </c>
      <c r="U20">
        <v>6</v>
      </c>
      <c r="V20" s="7">
        <v>5473</v>
      </c>
      <c r="W20" t="s">
        <v>121</v>
      </c>
      <c r="X20" t="s">
        <v>121</v>
      </c>
      <c r="Y20" t="s">
        <v>121</v>
      </c>
      <c r="Z20" t="s">
        <v>121</v>
      </c>
      <c r="AA20" t="s">
        <v>121</v>
      </c>
      <c r="AB20" t="s">
        <v>121</v>
      </c>
      <c r="AC20" t="s">
        <v>121</v>
      </c>
      <c r="AD20" t="s">
        <v>121</v>
      </c>
      <c r="AE20" t="s">
        <v>121</v>
      </c>
      <c r="AF20" t="s">
        <v>121</v>
      </c>
    </row>
    <row r="21" spans="1:32">
      <c r="A21" t="s">
        <v>141</v>
      </c>
      <c r="B21" t="s">
        <v>456</v>
      </c>
      <c r="C21" t="s">
        <v>214</v>
      </c>
      <c r="D21" t="s">
        <v>206</v>
      </c>
      <c r="E21" s="5">
        <v>15800000</v>
      </c>
      <c r="F21" s="5">
        <f t="shared" si="0"/>
        <v>60858.000000000015</v>
      </c>
      <c r="G21" s="5">
        <f t="shared" si="1"/>
        <v>6762</v>
      </c>
      <c r="H21" s="7">
        <f t="shared" si="2"/>
        <v>13740</v>
      </c>
      <c r="I21" s="7">
        <f t="shared" si="3"/>
        <v>10023</v>
      </c>
      <c r="J21" s="7">
        <f t="shared" si="4"/>
        <v>274725.00000000006</v>
      </c>
      <c r="K21" s="7">
        <f t="shared" si="5"/>
        <v>30525</v>
      </c>
      <c r="L21" s="9">
        <f t="shared" si="7"/>
        <v>9.9999999999999978E-2</v>
      </c>
      <c r="M21" s="6">
        <v>0.9</v>
      </c>
      <c r="N21">
        <v>158</v>
      </c>
      <c r="O21" s="7">
        <v>6604</v>
      </c>
      <c r="P21" t="s">
        <v>121</v>
      </c>
      <c r="Q21" s="7">
        <v>3160</v>
      </c>
      <c r="R21">
        <v>935</v>
      </c>
      <c r="S21" s="7">
        <v>5612</v>
      </c>
      <c r="T21">
        <v>316</v>
      </c>
      <c r="U21">
        <v>16</v>
      </c>
      <c r="V21" s="7">
        <v>13724</v>
      </c>
      <c r="W21" t="s">
        <v>121</v>
      </c>
      <c r="X21" t="s">
        <v>121</v>
      </c>
      <c r="Y21" t="s">
        <v>121</v>
      </c>
      <c r="Z21" t="s">
        <v>121</v>
      </c>
      <c r="AA21" t="s">
        <v>121</v>
      </c>
      <c r="AB21" t="s">
        <v>121</v>
      </c>
      <c r="AC21" t="s">
        <v>121</v>
      </c>
      <c r="AD21" t="s">
        <v>121</v>
      </c>
      <c r="AE21" t="s">
        <v>121</v>
      </c>
      <c r="AF21" t="s">
        <v>121</v>
      </c>
    </row>
    <row r="22" spans="1:32">
      <c r="A22" t="s">
        <v>142</v>
      </c>
      <c r="B22" t="s">
        <v>458</v>
      </c>
      <c r="C22" t="s">
        <v>212</v>
      </c>
      <c r="D22" t="s">
        <v>206</v>
      </c>
      <c r="E22" s="5">
        <v>4440900</v>
      </c>
      <c r="F22" s="5">
        <f t="shared" si="0"/>
        <v>18049.999999999985</v>
      </c>
      <c r="G22" s="5">
        <f t="shared" si="1"/>
        <v>950</v>
      </c>
      <c r="H22" s="7">
        <f t="shared" si="2"/>
        <v>1931</v>
      </c>
      <c r="I22" s="7">
        <f t="shared" si="3"/>
        <v>1408</v>
      </c>
      <c r="J22" s="7">
        <f t="shared" si="4"/>
        <v>81490.999999999927</v>
      </c>
      <c r="K22" s="7">
        <f t="shared" si="5"/>
        <v>4289</v>
      </c>
      <c r="L22" s="9">
        <f t="shared" si="7"/>
        <v>5.0000000000000044E-2</v>
      </c>
      <c r="M22" s="6">
        <v>0.95</v>
      </c>
      <c r="N22">
        <v>22</v>
      </c>
      <c r="O22">
        <v>928</v>
      </c>
      <c r="P22" t="s">
        <v>121</v>
      </c>
      <c r="Q22">
        <v>444</v>
      </c>
      <c r="R22">
        <v>131</v>
      </c>
      <c r="S22">
        <v>789</v>
      </c>
      <c r="T22">
        <v>44</v>
      </c>
      <c r="U22">
        <v>2</v>
      </c>
      <c r="V22" s="7">
        <v>1929</v>
      </c>
      <c r="W22" t="s">
        <v>121</v>
      </c>
      <c r="X22" t="s">
        <v>121</v>
      </c>
      <c r="Y22" t="s">
        <v>121</v>
      </c>
      <c r="Z22" t="s">
        <v>121</v>
      </c>
      <c r="AA22" t="s">
        <v>121</v>
      </c>
      <c r="AB22" t="s">
        <v>121</v>
      </c>
      <c r="AC22" t="s">
        <v>121</v>
      </c>
      <c r="AD22" t="s">
        <v>121</v>
      </c>
      <c r="AE22" t="s">
        <v>121</v>
      </c>
      <c r="AF22" t="s">
        <v>121</v>
      </c>
    </row>
    <row r="23" spans="1:32">
      <c r="A23" t="s">
        <v>143</v>
      </c>
      <c r="B23" t="s">
        <v>458</v>
      </c>
      <c r="C23" t="s">
        <v>212</v>
      </c>
      <c r="D23" t="s">
        <v>206</v>
      </c>
      <c r="E23" s="5">
        <v>187000000</v>
      </c>
      <c r="F23" s="5">
        <f t="shared" si="0"/>
        <v>760341.9999999993</v>
      </c>
      <c r="G23" s="5">
        <f t="shared" si="1"/>
        <v>40018</v>
      </c>
      <c r="H23" s="7">
        <f t="shared" si="2"/>
        <v>81308</v>
      </c>
      <c r="I23" s="7">
        <f t="shared" si="3"/>
        <v>59316</v>
      </c>
      <c r="J23" s="7">
        <f t="shared" si="4"/>
        <v>3432197.9999999967</v>
      </c>
      <c r="K23" s="7">
        <f t="shared" si="5"/>
        <v>180642</v>
      </c>
      <c r="L23" s="9">
        <f t="shared" si="7"/>
        <v>5.0000000000000044E-2</v>
      </c>
      <c r="M23" s="6">
        <v>0.95</v>
      </c>
      <c r="N23">
        <v>935</v>
      </c>
      <c r="O23" s="7">
        <v>39083</v>
      </c>
      <c r="P23" t="s">
        <v>121</v>
      </c>
      <c r="Q23" s="7">
        <v>18700</v>
      </c>
      <c r="R23" s="7">
        <v>5535</v>
      </c>
      <c r="S23" s="7">
        <v>33211</v>
      </c>
      <c r="T23" s="7">
        <v>1870</v>
      </c>
      <c r="U23">
        <v>94</v>
      </c>
      <c r="V23" s="7">
        <v>81214</v>
      </c>
      <c r="W23" t="s">
        <v>121</v>
      </c>
      <c r="X23" t="s">
        <v>121</v>
      </c>
      <c r="Y23" t="s">
        <v>121</v>
      </c>
      <c r="Z23" t="s">
        <v>121</v>
      </c>
      <c r="AA23" t="s">
        <v>121</v>
      </c>
      <c r="AB23" t="s">
        <v>121</v>
      </c>
      <c r="AC23" t="s">
        <v>121</v>
      </c>
      <c r="AD23" t="s">
        <v>121</v>
      </c>
      <c r="AE23" t="s">
        <v>121</v>
      </c>
      <c r="AF23" t="s">
        <v>121</v>
      </c>
    </row>
    <row r="24" spans="1:32">
      <c r="A24" t="s">
        <v>144</v>
      </c>
      <c r="B24" t="s">
        <v>458</v>
      </c>
      <c r="C24" t="s">
        <v>212</v>
      </c>
      <c r="D24" t="s">
        <v>206</v>
      </c>
      <c r="E24" s="5">
        <v>337500</v>
      </c>
      <c r="F24" s="5">
        <f t="shared" si="0"/>
        <v>1296.0000000000002</v>
      </c>
      <c r="G24" s="5">
        <f t="shared" si="1"/>
        <v>144</v>
      </c>
      <c r="H24" s="7">
        <f t="shared" si="2"/>
        <v>293</v>
      </c>
      <c r="I24" s="7">
        <f t="shared" si="3"/>
        <v>215</v>
      </c>
      <c r="J24" s="7">
        <f t="shared" si="4"/>
        <v>5868.0000000000018</v>
      </c>
      <c r="K24" s="7">
        <f t="shared" si="5"/>
        <v>652</v>
      </c>
      <c r="L24" s="9">
        <f t="shared" si="7"/>
        <v>9.9999999999999978E-2</v>
      </c>
      <c r="M24" s="6">
        <v>0.9</v>
      </c>
      <c r="N24">
        <v>3</v>
      </c>
      <c r="O24">
        <v>141</v>
      </c>
      <c r="P24" t="s">
        <v>121</v>
      </c>
      <c r="Q24">
        <v>68</v>
      </c>
      <c r="R24">
        <v>20</v>
      </c>
      <c r="S24">
        <v>120</v>
      </c>
      <c r="T24">
        <v>7</v>
      </c>
      <c r="U24">
        <v>0</v>
      </c>
      <c r="V24">
        <v>293</v>
      </c>
      <c r="W24" t="s">
        <v>121</v>
      </c>
      <c r="X24" t="s">
        <v>121</v>
      </c>
      <c r="Y24" t="s">
        <v>121</v>
      </c>
      <c r="Z24" t="s">
        <v>121</v>
      </c>
      <c r="AA24" t="s">
        <v>121</v>
      </c>
      <c r="AB24" t="s">
        <v>121</v>
      </c>
      <c r="AC24" t="s">
        <v>121</v>
      </c>
      <c r="AD24" t="s">
        <v>121</v>
      </c>
      <c r="AE24" t="s">
        <v>121</v>
      </c>
      <c r="AF24" t="s">
        <v>121</v>
      </c>
    </row>
    <row r="25" spans="1:32">
      <c r="A25" t="s">
        <v>145</v>
      </c>
      <c r="B25" t="s">
        <v>458</v>
      </c>
      <c r="C25" t="s">
        <v>212</v>
      </c>
      <c r="D25" t="s">
        <v>206</v>
      </c>
      <c r="E25" s="5">
        <v>8343000</v>
      </c>
      <c r="F25" s="5">
        <f t="shared" si="0"/>
        <v>32130.000000000007</v>
      </c>
      <c r="G25" s="5">
        <f t="shared" si="1"/>
        <v>3570</v>
      </c>
      <c r="H25" s="7">
        <f t="shared" si="2"/>
        <v>7255</v>
      </c>
      <c r="I25" s="7">
        <f t="shared" si="3"/>
        <v>5293</v>
      </c>
      <c r="J25" s="7">
        <f t="shared" si="4"/>
        <v>145062.00000000003</v>
      </c>
      <c r="K25" s="7">
        <f t="shared" si="5"/>
        <v>16118</v>
      </c>
      <c r="L25" s="9">
        <f t="shared" si="7"/>
        <v>9.9999999999999978E-2</v>
      </c>
      <c r="M25" s="6">
        <v>0.9</v>
      </c>
      <c r="N25">
        <v>83</v>
      </c>
      <c r="O25" s="7">
        <v>3487</v>
      </c>
      <c r="P25" t="s">
        <v>121</v>
      </c>
      <c r="Q25" s="7">
        <v>1669</v>
      </c>
      <c r="R25">
        <v>494</v>
      </c>
      <c r="S25" s="7">
        <v>2963</v>
      </c>
      <c r="T25">
        <v>167</v>
      </c>
      <c r="U25">
        <v>8</v>
      </c>
      <c r="V25" s="7">
        <v>7247</v>
      </c>
      <c r="W25" t="s">
        <v>121</v>
      </c>
      <c r="X25" t="s">
        <v>121</v>
      </c>
      <c r="Y25" t="s">
        <v>121</v>
      </c>
      <c r="Z25" t="s">
        <v>121</v>
      </c>
      <c r="AA25" t="s">
        <v>121</v>
      </c>
      <c r="AB25" t="s">
        <v>121</v>
      </c>
      <c r="AC25" t="s">
        <v>121</v>
      </c>
      <c r="AD25" t="s">
        <v>121</v>
      </c>
      <c r="AE25" t="s">
        <v>121</v>
      </c>
      <c r="AF25" t="s">
        <v>121</v>
      </c>
    </row>
    <row r="26" spans="1:32">
      <c r="A26" t="s">
        <v>146</v>
      </c>
      <c r="B26" t="s">
        <v>461</v>
      </c>
      <c r="C26" t="s">
        <v>460</v>
      </c>
      <c r="D26" t="s">
        <v>206</v>
      </c>
      <c r="E26" s="5">
        <v>16270000</v>
      </c>
      <c r="F26" s="5">
        <f t="shared" si="0"/>
        <v>62676.000000000015</v>
      </c>
      <c r="G26" s="5">
        <f t="shared" si="1"/>
        <v>6964</v>
      </c>
      <c r="H26" s="7">
        <f t="shared" si="2"/>
        <v>14148</v>
      </c>
      <c r="I26" s="7">
        <f t="shared" si="3"/>
        <v>10321</v>
      </c>
      <c r="J26" s="7">
        <f t="shared" si="4"/>
        <v>282897.00000000006</v>
      </c>
      <c r="K26" s="7">
        <f t="shared" si="5"/>
        <v>31433</v>
      </c>
      <c r="L26" s="9">
        <f t="shared" si="7"/>
        <v>9.9999999999999978E-2</v>
      </c>
      <c r="M26" s="6">
        <v>0.9</v>
      </c>
      <c r="N26">
        <v>163</v>
      </c>
      <c r="O26" s="7">
        <v>6801</v>
      </c>
      <c r="P26" t="s">
        <v>121</v>
      </c>
      <c r="Q26" s="7">
        <v>3254</v>
      </c>
      <c r="R26">
        <v>963</v>
      </c>
      <c r="S26" s="7">
        <v>5779</v>
      </c>
      <c r="T26">
        <v>325</v>
      </c>
      <c r="U26">
        <v>16</v>
      </c>
      <c r="V26" s="7">
        <v>14132</v>
      </c>
      <c r="W26" t="s">
        <v>121</v>
      </c>
      <c r="X26" t="s">
        <v>121</v>
      </c>
      <c r="Y26" t="s">
        <v>121</v>
      </c>
      <c r="Z26" t="s">
        <v>121</v>
      </c>
      <c r="AA26" t="s">
        <v>121</v>
      </c>
      <c r="AB26" t="s">
        <v>121</v>
      </c>
      <c r="AC26" t="s">
        <v>121</v>
      </c>
      <c r="AD26" t="s">
        <v>121</v>
      </c>
      <c r="AE26" t="s">
        <v>121</v>
      </c>
      <c r="AF26" t="s">
        <v>121</v>
      </c>
    </row>
    <row r="27" spans="1:32">
      <c r="A27" t="s">
        <v>147</v>
      </c>
      <c r="B27" t="s">
        <v>229</v>
      </c>
      <c r="C27" t="s">
        <v>229</v>
      </c>
      <c r="D27" t="s">
        <v>206</v>
      </c>
      <c r="E27" s="5">
        <v>100000</v>
      </c>
      <c r="F27" s="5">
        <f t="shared" si="0"/>
        <v>387.00000000000011</v>
      </c>
      <c r="G27" s="5">
        <f t="shared" si="1"/>
        <v>43</v>
      </c>
      <c r="H27" s="7">
        <f t="shared" si="2"/>
        <v>87</v>
      </c>
      <c r="I27" s="7">
        <f t="shared" si="3"/>
        <v>64</v>
      </c>
      <c r="J27" s="7">
        <f t="shared" si="4"/>
        <v>1746.0000000000005</v>
      </c>
      <c r="K27" s="7">
        <f t="shared" si="5"/>
        <v>194</v>
      </c>
      <c r="L27" s="9">
        <f t="shared" si="7"/>
        <v>9.9999999999999978E-2</v>
      </c>
      <c r="M27" s="6">
        <v>0.9</v>
      </c>
      <c r="N27">
        <v>1</v>
      </c>
      <c r="O27">
        <v>42</v>
      </c>
      <c r="P27" t="s">
        <v>121</v>
      </c>
      <c r="Q27">
        <v>20</v>
      </c>
      <c r="R27">
        <v>6</v>
      </c>
      <c r="S27">
        <v>36</v>
      </c>
      <c r="T27">
        <v>2</v>
      </c>
      <c r="U27">
        <v>0</v>
      </c>
      <c r="V27">
        <v>87</v>
      </c>
      <c r="W27" t="s">
        <v>121</v>
      </c>
      <c r="X27" t="s">
        <v>121</v>
      </c>
      <c r="Y27" t="s">
        <v>121</v>
      </c>
      <c r="Z27" t="s">
        <v>121</v>
      </c>
      <c r="AA27" t="s">
        <v>121</v>
      </c>
      <c r="AB27" t="s">
        <v>121</v>
      </c>
      <c r="AC27" t="s">
        <v>121</v>
      </c>
      <c r="AD27" t="s">
        <v>121</v>
      </c>
      <c r="AE27" t="s">
        <v>121</v>
      </c>
      <c r="AF27" t="s">
        <v>121</v>
      </c>
    </row>
    <row r="28" spans="1:32">
      <c r="A28" t="s">
        <v>148</v>
      </c>
      <c r="B28" t="s">
        <v>463</v>
      </c>
      <c r="C28" t="s">
        <v>230</v>
      </c>
      <c r="D28" t="s">
        <v>206</v>
      </c>
      <c r="E28" s="5">
        <v>7900000</v>
      </c>
      <c r="F28" s="5">
        <f t="shared" si="0"/>
        <v>30429.000000000007</v>
      </c>
      <c r="G28" s="5">
        <f t="shared" si="1"/>
        <v>3381</v>
      </c>
      <c r="H28" s="7">
        <f t="shared" si="2"/>
        <v>6870</v>
      </c>
      <c r="I28" s="7">
        <f t="shared" si="3"/>
        <v>5012</v>
      </c>
      <c r="J28" s="7">
        <f t="shared" si="4"/>
        <v>137367.00000000003</v>
      </c>
      <c r="K28" s="7">
        <f t="shared" si="5"/>
        <v>15263</v>
      </c>
      <c r="L28" s="9">
        <f t="shared" si="7"/>
        <v>9.9999999999999978E-2</v>
      </c>
      <c r="M28" s="6">
        <v>0.9</v>
      </c>
      <c r="N28">
        <v>79</v>
      </c>
      <c r="O28" s="7">
        <v>3302</v>
      </c>
      <c r="P28" t="s">
        <v>121</v>
      </c>
      <c r="Q28" s="7">
        <v>1580</v>
      </c>
      <c r="R28">
        <v>468</v>
      </c>
      <c r="S28" s="7">
        <v>2806</v>
      </c>
      <c r="T28">
        <v>158</v>
      </c>
      <c r="U28">
        <v>8</v>
      </c>
      <c r="V28" s="7">
        <v>6862</v>
      </c>
      <c r="W28" t="s">
        <v>121</v>
      </c>
      <c r="X28" t="s">
        <v>121</v>
      </c>
      <c r="Y28" t="s">
        <v>121</v>
      </c>
      <c r="Z28" t="s">
        <v>121</v>
      </c>
      <c r="AA28" t="s">
        <v>121</v>
      </c>
      <c r="AB28" t="s">
        <v>121</v>
      </c>
      <c r="AC28" t="s">
        <v>121</v>
      </c>
      <c r="AD28" t="s">
        <v>121</v>
      </c>
      <c r="AE28" t="s">
        <v>121</v>
      </c>
      <c r="AF28" t="s">
        <v>121</v>
      </c>
    </row>
    <row r="29" spans="1:32">
      <c r="A29" t="s">
        <v>149</v>
      </c>
      <c r="B29" t="s">
        <v>464</v>
      </c>
      <c r="C29" t="s">
        <v>465</v>
      </c>
      <c r="D29" t="s">
        <v>206</v>
      </c>
      <c r="E29" s="5">
        <v>13275800</v>
      </c>
      <c r="F29" s="5">
        <f t="shared" si="0"/>
        <v>45460.000000000007</v>
      </c>
      <c r="G29" s="5">
        <f t="shared" si="1"/>
        <v>11365</v>
      </c>
      <c r="H29" s="7">
        <f t="shared" si="2"/>
        <v>23090</v>
      </c>
      <c r="I29" s="7">
        <f t="shared" si="3"/>
        <v>20434</v>
      </c>
      <c r="J29" s="7">
        <f t="shared" si="4"/>
        <v>219556.00000000006</v>
      </c>
      <c r="K29" s="7">
        <f t="shared" si="5"/>
        <v>54889</v>
      </c>
      <c r="L29" s="9">
        <f t="shared" si="7"/>
        <v>0.19999999999999996</v>
      </c>
      <c r="M29" s="6">
        <v>0.8</v>
      </c>
      <c r="N29">
        <v>266</v>
      </c>
      <c r="O29" s="7">
        <v>11099</v>
      </c>
      <c r="P29" t="s">
        <v>121</v>
      </c>
      <c r="Q29" t="s">
        <v>121</v>
      </c>
      <c r="R29" s="7">
        <v>1572</v>
      </c>
      <c r="S29" s="7">
        <v>9431</v>
      </c>
      <c r="T29" s="7">
        <v>9431</v>
      </c>
      <c r="U29">
        <v>27</v>
      </c>
      <c r="V29" s="7">
        <v>23063</v>
      </c>
      <c r="W29" t="s">
        <v>121</v>
      </c>
      <c r="X29" t="s">
        <v>121</v>
      </c>
      <c r="Y29" t="s">
        <v>121</v>
      </c>
      <c r="Z29" t="s">
        <v>121</v>
      </c>
      <c r="AA29" t="s">
        <v>121</v>
      </c>
      <c r="AB29" t="s">
        <v>121</v>
      </c>
      <c r="AC29" t="s">
        <v>121</v>
      </c>
      <c r="AD29" t="s">
        <v>121</v>
      </c>
      <c r="AE29" t="s">
        <v>121</v>
      </c>
      <c r="AF29" t="s">
        <v>121</v>
      </c>
    </row>
    <row r="30" spans="1:32">
      <c r="A30" t="s">
        <v>150</v>
      </c>
      <c r="B30" t="s">
        <v>466</v>
      </c>
      <c r="C30" t="s">
        <v>232</v>
      </c>
      <c r="D30" t="s">
        <v>206</v>
      </c>
      <c r="E30" s="5">
        <v>68000000</v>
      </c>
      <c r="F30" s="5">
        <f t="shared" si="0"/>
        <v>232832.00000000006</v>
      </c>
      <c r="G30" s="5">
        <f t="shared" si="1"/>
        <v>58208</v>
      </c>
      <c r="H30" s="7">
        <f t="shared" si="2"/>
        <v>118266</v>
      </c>
      <c r="I30" s="7">
        <f t="shared" si="3"/>
        <v>86278</v>
      </c>
      <c r="J30" s="7">
        <f t="shared" si="4"/>
        <v>1051008.0000000002</v>
      </c>
      <c r="K30" s="7">
        <f t="shared" si="5"/>
        <v>262752</v>
      </c>
      <c r="L30" s="9">
        <f t="shared" si="7"/>
        <v>0.19999999999999996</v>
      </c>
      <c r="M30" s="6">
        <v>0.8</v>
      </c>
      <c r="N30" s="7">
        <v>1360</v>
      </c>
      <c r="O30" s="7">
        <v>56848</v>
      </c>
      <c r="P30" t="s">
        <v>121</v>
      </c>
      <c r="Q30" s="7">
        <v>27200</v>
      </c>
      <c r="R30" s="7">
        <v>8051</v>
      </c>
      <c r="S30" s="7">
        <v>48307</v>
      </c>
      <c r="T30" s="7">
        <v>2720</v>
      </c>
      <c r="U30">
        <v>136</v>
      </c>
      <c r="V30" s="7">
        <v>118130</v>
      </c>
      <c r="W30" t="s">
        <v>121</v>
      </c>
      <c r="X30" t="s">
        <v>121</v>
      </c>
      <c r="Y30" t="s">
        <v>121</v>
      </c>
      <c r="Z30" t="s">
        <v>121</v>
      </c>
      <c r="AA30" t="s">
        <v>121</v>
      </c>
      <c r="AB30" t="s">
        <v>121</v>
      </c>
      <c r="AC30" t="s">
        <v>121</v>
      </c>
      <c r="AD30" t="s">
        <v>121</v>
      </c>
      <c r="AE30" t="s">
        <v>121</v>
      </c>
      <c r="AF30" t="s">
        <v>121</v>
      </c>
    </row>
    <row r="31" spans="1:32">
      <c r="A31" t="s">
        <v>151</v>
      </c>
      <c r="B31" t="s">
        <v>467</v>
      </c>
      <c r="C31" t="s">
        <v>233</v>
      </c>
      <c r="D31" t="s">
        <v>206</v>
      </c>
      <c r="E31" s="5">
        <v>4521000</v>
      </c>
      <c r="F31" s="5">
        <f t="shared" si="0"/>
        <v>17415.000000000004</v>
      </c>
      <c r="G31" s="5">
        <f t="shared" si="1"/>
        <v>1935</v>
      </c>
      <c r="H31" s="7">
        <f t="shared" si="2"/>
        <v>3932</v>
      </c>
      <c r="I31" s="7">
        <f t="shared" si="3"/>
        <v>2868</v>
      </c>
      <c r="J31" s="7">
        <f t="shared" si="4"/>
        <v>78615.000000000015</v>
      </c>
      <c r="K31" s="7">
        <f t="shared" si="5"/>
        <v>8735</v>
      </c>
      <c r="L31" s="9">
        <f t="shared" si="7"/>
        <v>9.9999999999999978E-2</v>
      </c>
      <c r="M31" s="6">
        <v>0.9</v>
      </c>
      <c r="N31">
        <v>45</v>
      </c>
      <c r="O31" s="7">
        <v>1890</v>
      </c>
      <c r="P31" t="s">
        <v>121</v>
      </c>
      <c r="Q31" t="s">
        <v>121</v>
      </c>
      <c r="R31">
        <v>268</v>
      </c>
      <c r="S31" s="7">
        <v>1606</v>
      </c>
      <c r="T31">
        <v>90</v>
      </c>
      <c r="U31">
        <v>5</v>
      </c>
      <c r="V31" s="7">
        <v>3927</v>
      </c>
      <c r="W31" t="s">
        <v>121</v>
      </c>
      <c r="X31" t="s">
        <v>121</v>
      </c>
      <c r="Y31" t="s">
        <v>121</v>
      </c>
      <c r="Z31">
        <v>904</v>
      </c>
      <c r="AA31" t="s">
        <v>121</v>
      </c>
      <c r="AB31" t="s">
        <v>121</v>
      </c>
      <c r="AC31" t="s">
        <v>121</v>
      </c>
      <c r="AD31" t="s">
        <v>121</v>
      </c>
      <c r="AE31" t="s">
        <v>121</v>
      </c>
      <c r="AF31" t="s">
        <v>121</v>
      </c>
    </row>
    <row r="32" spans="1:32">
      <c r="A32" t="s">
        <v>152</v>
      </c>
      <c r="B32" t="s">
        <v>468</v>
      </c>
      <c r="C32" t="s">
        <v>233</v>
      </c>
      <c r="D32" t="s">
        <v>206</v>
      </c>
      <c r="E32" s="5">
        <v>31187800</v>
      </c>
      <c r="F32" s="5">
        <f t="shared" si="0"/>
        <v>120141.00000000003</v>
      </c>
      <c r="G32" s="5">
        <f t="shared" si="1"/>
        <v>13349</v>
      </c>
      <c r="H32" s="7">
        <f t="shared" si="2"/>
        <v>27121</v>
      </c>
      <c r="I32" s="7">
        <f t="shared" si="3"/>
        <v>19786</v>
      </c>
      <c r="J32" s="7">
        <f t="shared" si="4"/>
        <v>542304.00000000012</v>
      </c>
      <c r="K32" s="7">
        <f t="shared" si="5"/>
        <v>60256</v>
      </c>
      <c r="L32" s="9">
        <f t="shared" si="7"/>
        <v>9.9999999999999978E-2</v>
      </c>
      <c r="M32" s="6">
        <v>0.9</v>
      </c>
      <c r="N32">
        <v>312</v>
      </c>
      <c r="O32" s="7">
        <v>13037</v>
      </c>
      <c r="P32" t="s">
        <v>121</v>
      </c>
      <c r="Q32" t="s">
        <v>121</v>
      </c>
      <c r="R32" s="7">
        <v>1846</v>
      </c>
      <c r="S32" s="7">
        <v>11078</v>
      </c>
      <c r="T32">
        <v>624</v>
      </c>
      <c r="U32">
        <v>31</v>
      </c>
      <c r="V32" s="7">
        <v>27090</v>
      </c>
      <c r="W32" t="s">
        <v>121</v>
      </c>
      <c r="X32" t="s">
        <v>121</v>
      </c>
      <c r="Y32" t="s">
        <v>121</v>
      </c>
      <c r="Z32" s="7">
        <v>6238</v>
      </c>
      <c r="AA32" t="s">
        <v>121</v>
      </c>
      <c r="AB32" t="s">
        <v>121</v>
      </c>
      <c r="AC32" t="s">
        <v>121</v>
      </c>
      <c r="AD32" t="s">
        <v>121</v>
      </c>
      <c r="AE32" t="s">
        <v>121</v>
      </c>
      <c r="AF32" t="s">
        <v>121</v>
      </c>
    </row>
    <row r="33" spans="1:32">
      <c r="A33" t="s">
        <v>236</v>
      </c>
      <c r="B33" t="s">
        <v>469</v>
      </c>
      <c r="C33" t="s">
        <v>234</v>
      </c>
      <c r="D33" t="s">
        <v>206</v>
      </c>
      <c r="E33" s="5">
        <v>57000000</v>
      </c>
      <c r="F33" s="5">
        <f t="shared" si="0"/>
        <v>219564.00000000006</v>
      </c>
      <c r="G33" s="5">
        <f t="shared" si="1"/>
        <v>24396</v>
      </c>
      <c r="H33" s="7">
        <f t="shared" si="2"/>
        <v>49567</v>
      </c>
      <c r="I33" s="7">
        <f t="shared" si="3"/>
        <v>36160</v>
      </c>
      <c r="J33" s="7">
        <f t="shared" si="4"/>
        <v>991107.00000000023</v>
      </c>
      <c r="K33" s="7">
        <f t="shared" si="5"/>
        <v>110123</v>
      </c>
      <c r="L33" s="9">
        <f t="shared" si="7"/>
        <v>9.9999999999999978E-2</v>
      </c>
      <c r="M33" s="6">
        <v>0.9</v>
      </c>
      <c r="N33">
        <v>570</v>
      </c>
      <c r="O33" s="7">
        <v>23826</v>
      </c>
      <c r="P33" t="s">
        <v>121</v>
      </c>
      <c r="Q33" s="7">
        <v>11400</v>
      </c>
      <c r="R33" s="7">
        <v>3374</v>
      </c>
      <c r="S33" s="7">
        <v>20246</v>
      </c>
      <c r="T33" s="7">
        <v>1140</v>
      </c>
      <c r="U33">
        <v>57</v>
      </c>
      <c r="V33" s="7">
        <v>49510</v>
      </c>
      <c r="W33" t="s">
        <v>121</v>
      </c>
      <c r="X33" t="s">
        <v>121</v>
      </c>
      <c r="Y33" t="s">
        <v>121</v>
      </c>
      <c r="Z33" t="s">
        <v>121</v>
      </c>
      <c r="AA33" t="s">
        <v>121</v>
      </c>
      <c r="AB33" t="s">
        <v>121</v>
      </c>
      <c r="AC33" t="s">
        <v>121</v>
      </c>
      <c r="AD33" t="s">
        <v>121</v>
      </c>
      <c r="AE33" t="s">
        <v>121</v>
      </c>
      <c r="AF33" t="s">
        <v>121</v>
      </c>
    </row>
    <row r="34" spans="1:32">
      <c r="A34" t="s">
        <v>235</v>
      </c>
      <c r="B34" t="s">
        <v>470</v>
      </c>
      <c r="C34" t="s">
        <v>237</v>
      </c>
      <c r="D34" t="s">
        <v>206</v>
      </c>
      <c r="E34" s="5">
        <v>41952000</v>
      </c>
      <c r="F34" s="5">
        <f t="shared" ref="F34:F65" si="8">SUM((1-L34)*G34)/L34</f>
        <v>143644.00000000006</v>
      </c>
      <c r="G34" s="5">
        <f t="shared" ref="G34:G65" si="9">SUM(N34+O34)</f>
        <v>35911</v>
      </c>
      <c r="H34" s="7">
        <f t="shared" ref="H34:H65" si="10">SUM(U34:W34)</f>
        <v>72963</v>
      </c>
      <c r="I34" s="7">
        <f t="shared" ref="I34:I65" si="11">SUM(P34:T34,X34:AK34)</f>
        <v>53229</v>
      </c>
      <c r="J34" s="7">
        <f t="shared" ref="J34:J65" si="12">SUM(M34)*((G34+H34+I34)/L34)</f>
        <v>648412.00000000023</v>
      </c>
      <c r="K34" s="7">
        <f t="shared" ref="K34:K65" si="13">SUM(G34:I34)</f>
        <v>162103</v>
      </c>
      <c r="L34" s="9">
        <f t="shared" si="7"/>
        <v>0.19999999999999996</v>
      </c>
      <c r="M34" s="6">
        <v>0.8</v>
      </c>
      <c r="N34">
        <v>839</v>
      </c>
      <c r="O34" s="7">
        <v>35072</v>
      </c>
      <c r="P34" t="s">
        <v>121</v>
      </c>
      <c r="Q34" t="s">
        <v>121</v>
      </c>
      <c r="R34" s="7">
        <v>4967</v>
      </c>
      <c r="S34" s="7">
        <v>29803</v>
      </c>
      <c r="T34" s="7">
        <v>1678</v>
      </c>
      <c r="U34">
        <v>84</v>
      </c>
      <c r="V34" s="7">
        <v>72879</v>
      </c>
      <c r="W34" t="s">
        <v>121</v>
      </c>
      <c r="X34" t="s">
        <v>121</v>
      </c>
      <c r="Y34" t="s">
        <v>121</v>
      </c>
      <c r="Z34" s="7">
        <v>16781</v>
      </c>
      <c r="AA34" t="s">
        <v>121</v>
      </c>
      <c r="AB34" t="s">
        <v>121</v>
      </c>
      <c r="AC34" t="s">
        <v>121</v>
      </c>
      <c r="AD34" t="s">
        <v>121</v>
      </c>
      <c r="AE34" t="s">
        <v>121</v>
      </c>
      <c r="AF34" t="s">
        <v>121</v>
      </c>
    </row>
    <row r="35" spans="1:32">
      <c r="A35" t="s">
        <v>153</v>
      </c>
      <c r="B35" t="s">
        <v>471</v>
      </c>
      <c r="C35" t="s">
        <v>472</v>
      </c>
      <c r="D35" t="s">
        <v>206</v>
      </c>
      <c r="E35" s="5">
        <v>32163700</v>
      </c>
      <c r="F35" s="5">
        <f t="shared" si="8"/>
        <v>130776.99999999987</v>
      </c>
      <c r="G35" s="5">
        <f t="shared" si="9"/>
        <v>6883</v>
      </c>
      <c r="H35" s="7">
        <f t="shared" si="10"/>
        <v>13985</v>
      </c>
      <c r="I35" s="7">
        <f t="shared" si="11"/>
        <v>6986</v>
      </c>
      <c r="J35" s="7">
        <f t="shared" si="12"/>
        <v>529225.99999999953</v>
      </c>
      <c r="K35" s="7">
        <f t="shared" si="13"/>
        <v>27854</v>
      </c>
      <c r="L35" s="9">
        <f t="shared" si="7"/>
        <v>5.0000000000000044E-2</v>
      </c>
      <c r="M35" s="6">
        <v>0.95</v>
      </c>
      <c r="N35">
        <v>161</v>
      </c>
      <c r="O35" s="7">
        <v>6722</v>
      </c>
      <c r="P35" t="s">
        <v>121</v>
      </c>
      <c r="Q35" t="s">
        <v>121</v>
      </c>
      <c r="R35">
        <v>952</v>
      </c>
      <c r="S35" s="7">
        <v>5712</v>
      </c>
      <c r="T35">
        <v>322</v>
      </c>
      <c r="U35">
        <v>16</v>
      </c>
      <c r="V35" s="7">
        <v>13969</v>
      </c>
      <c r="W35" t="s">
        <v>121</v>
      </c>
      <c r="X35" t="s">
        <v>121</v>
      </c>
      <c r="Y35" t="s">
        <v>121</v>
      </c>
      <c r="Z35" t="s">
        <v>121</v>
      </c>
      <c r="AA35" t="s">
        <v>121</v>
      </c>
      <c r="AB35" t="s">
        <v>121</v>
      </c>
      <c r="AC35" t="s">
        <v>121</v>
      </c>
      <c r="AD35" t="s">
        <v>121</v>
      </c>
      <c r="AE35" t="s">
        <v>121</v>
      </c>
      <c r="AF35" t="s">
        <v>121</v>
      </c>
    </row>
    <row r="36" spans="1:32">
      <c r="A36" t="s">
        <v>241</v>
      </c>
      <c r="B36" t="s">
        <v>475</v>
      </c>
      <c r="C36" t="s">
        <v>244</v>
      </c>
      <c r="D36" t="s">
        <v>206</v>
      </c>
      <c r="E36" s="5">
        <v>226915000</v>
      </c>
      <c r="F36" s="5">
        <f t="shared" si="8"/>
        <v>582718.5</v>
      </c>
      <c r="G36" s="5">
        <f t="shared" si="9"/>
        <v>388479</v>
      </c>
      <c r="H36" s="7">
        <f t="shared" si="10"/>
        <v>789301</v>
      </c>
      <c r="I36" s="7">
        <f t="shared" si="11"/>
        <v>575819</v>
      </c>
      <c r="J36" s="7">
        <f t="shared" si="12"/>
        <v>2630398.5</v>
      </c>
      <c r="K36" s="7">
        <f t="shared" si="13"/>
        <v>1753599</v>
      </c>
      <c r="L36" s="9">
        <f t="shared" si="7"/>
        <v>0.4</v>
      </c>
      <c r="M36" s="6">
        <v>0.6</v>
      </c>
      <c r="N36" s="7">
        <v>9077</v>
      </c>
      <c r="O36" s="7">
        <v>379402</v>
      </c>
      <c r="P36" t="s">
        <v>121</v>
      </c>
      <c r="Q36" t="s">
        <v>121</v>
      </c>
      <c r="R36" s="7">
        <v>53733</v>
      </c>
      <c r="S36" s="7">
        <v>322401</v>
      </c>
      <c r="T36" s="7">
        <v>18153</v>
      </c>
      <c r="U36">
        <v>908</v>
      </c>
      <c r="V36" s="7">
        <v>788393</v>
      </c>
      <c r="W36" t="s">
        <v>121</v>
      </c>
      <c r="X36" t="s">
        <v>121</v>
      </c>
      <c r="Y36" t="s">
        <v>121</v>
      </c>
      <c r="Z36" s="7">
        <v>181532</v>
      </c>
      <c r="AA36" t="s">
        <v>121</v>
      </c>
      <c r="AB36" t="s">
        <v>121</v>
      </c>
      <c r="AC36" t="s">
        <v>121</v>
      </c>
      <c r="AD36" t="s">
        <v>121</v>
      </c>
      <c r="AE36" t="s">
        <v>121</v>
      </c>
      <c r="AF36" t="s">
        <v>121</v>
      </c>
    </row>
    <row r="37" spans="1:32">
      <c r="A37" t="s">
        <v>242</v>
      </c>
      <c r="B37" t="s">
        <v>476</v>
      </c>
      <c r="C37" t="s">
        <v>535</v>
      </c>
      <c r="D37" t="s">
        <v>206</v>
      </c>
      <c r="E37" s="5">
        <v>61517000</v>
      </c>
      <c r="F37" s="5">
        <f t="shared" si="8"/>
        <v>144810.11111111112</v>
      </c>
      <c r="G37" s="5">
        <f t="shared" si="9"/>
        <v>118481</v>
      </c>
      <c r="H37" s="7">
        <f t="shared" si="10"/>
        <v>240728</v>
      </c>
      <c r="I37" s="7">
        <f t="shared" si="11"/>
        <v>175619</v>
      </c>
      <c r="J37" s="7">
        <f t="shared" si="12"/>
        <v>653678.66666666674</v>
      </c>
      <c r="K37" s="7">
        <f t="shared" si="13"/>
        <v>534828</v>
      </c>
      <c r="L37" s="9">
        <f t="shared" si="7"/>
        <v>0.44999999999999996</v>
      </c>
      <c r="M37" s="6">
        <v>0.55000000000000004</v>
      </c>
      <c r="N37" s="7">
        <v>2768</v>
      </c>
      <c r="O37" s="7">
        <v>115713</v>
      </c>
      <c r="P37" t="s">
        <v>121</v>
      </c>
      <c r="Q37" s="7">
        <v>55365</v>
      </c>
      <c r="R37" s="7">
        <v>16388</v>
      </c>
      <c r="S37" s="7">
        <v>98329</v>
      </c>
      <c r="T37" s="7">
        <v>5537</v>
      </c>
      <c r="U37">
        <v>277</v>
      </c>
      <c r="V37" s="7">
        <v>240451</v>
      </c>
      <c r="W37" t="s">
        <v>121</v>
      </c>
      <c r="X37" t="s">
        <v>121</v>
      </c>
      <c r="Y37" t="s">
        <v>121</v>
      </c>
      <c r="Z37" t="s">
        <v>121</v>
      </c>
      <c r="AA37" t="s">
        <v>121</v>
      </c>
      <c r="AB37" t="s">
        <v>121</v>
      </c>
      <c r="AC37" t="s">
        <v>121</v>
      </c>
      <c r="AD37" t="s">
        <v>121</v>
      </c>
      <c r="AE37" t="s">
        <v>121</v>
      </c>
      <c r="AF37" t="s">
        <v>121</v>
      </c>
    </row>
    <row r="38" spans="1:32">
      <c r="A38" t="s">
        <v>159</v>
      </c>
      <c r="B38" t="s">
        <v>481</v>
      </c>
      <c r="C38" t="s">
        <v>251</v>
      </c>
      <c r="D38" t="s">
        <v>206</v>
      </c>
      <c r="E38" s="5">
        <v>111927000</v>
      </c>
      <c r="F38" s="5">
        <f t="shared" si="8"/>
        <v>359286</v>
      </c>
      <c r="G38" s="5">
        <f t="shared" si="9"/>
        <v>119762</v>
      </c>
      <c r="H38" s="7">
        <f t="shared" si="10"/>
        <v>243329</v>
      </c>
      <c r="I38" s="7">
        <f t="shared" si="11"/>
        <v>155130</v>
      </c>
      <c r="J38" s="7">
        <f t="shared" si="12"/>
        <v>1554663</v>
      </c>
      <c r="K38" s="7">
        <f t="shared" si="13"/>
        <v>518221</v>
      </c>
      <c r="L38" s="9">
        <f t="shared" si="7"/>
        <v>0.25</v>
      </c>
      <c r="M38" s="6">
        <v>0.75</v>
      </c>
      <c r="N38" s="7">
        <v>2798</v>
      </c>
      <c r="O38" s="7">
        <v>116964</v>
      </c>
      <c r="P38" t="s">
        <v>121</v>
      </c>
      <c r="Q38" t="s">
        <v>121</v>
      </c>
      <c r="R38" s="7">
        <v>16565</v>
      </c>
      <c r="S38" s="7">
        <v>99391</v>
      </c>
      <c r="T38" s="7">
        <v>5596</v>
      </c>
      <c r="U38">
        <v>280</v>
      </c>
      <c r="V38" s="7">
        <v>243049</v>
      </c>
      <c r="W38" t="s">
        <v>121</v>
      </c>
      <c r="X38" s="7">
        <v>33578</v>
      </c>
      <c r="Y38" t="s">
        <v>121</v>
      </c>
      <c r="Z38" t="s">
        <v>121</v>
      </c>
      <c r="AA38" t="s">
        <v>121</v>
      </c>
      <c r="AB38" t="s">
        <v>121</v>
      </c>
      <c r="AC38" t="s">
        <v>121</v>
      </c>
      <c r="AD38" t="s">
        <v>121</v>
      </c>
      <c r="AE38" t="s">
        <v>121</v>
      </c>
      <c r="AF38" t="s">
        <v>121</v>
      </c>
    </row>
    <row r="39" spans="1:32">
      <c r="A39" t="s">
        <v>160</v>
      </c>
      <c r="B39" t="s">
        <v>481</v>
      </c>
      <c r="C39" t="s">
        <v>251</v>
      </c>
      <c r="D39" t="s">
        <v>206</v>
      </c>
      <c r="E39" s="5">
        <v>2880200</v>
      </c>
      <c r="F39" s="5">
        <f t="shared" si="8"/>
        <v>9246</v>
      </c>
      <c r="G39" s="5">
        <f t="shared" si="9"/>
        <v>3082</v>
      </c>
      <c r="H39" s="7">
        <f t="shared" si="10"/>
        <v>6261</v>
      </c>
      <c r="I39" s="7">
        <f t="shared" si="11"/>
        <v>3992</v>
      </c>
      <c r="J39" s="7">
        <f t="shared" si="12"/>
        <v>40005</v>
      </c>
      <c r="K39" s="7">
        <f t="shared" si="13"/>
        <v>13335</v>
      </c>
      <c r="L39" s="9">
        <f t="shared" si="7"/>
        <v>0.25</v>
      </c>
      <c r="M39" s="6">
        <v>0.75</v>
      </c>
      <c r="N39">
        <v>72</v>
      </c>
      <c r="O39" s="7">
        <v>3010</v>
      </c>
      <c r="P39" t="s">
        <v>121</v>
      </c>
      <c r="Q39" t="s">
        <v>121</v>
      </c>
      <c r="R39">
        <v>426</v>
      </c>
      <c r="S39" s="7">
        <v>2558</v>
      </c>
      <c r="T39">
        <v>144</v>
      </c>
      <c r="U39">
        <v>7</v>
      </c>
      <c r="V39" s="7">
        <v>6254</v>
      </c>
      <c r="W39" t="s">
        <v>121</v>
      </c>
      <c r="X39">
        <v>864</v>
      </c>
      <c r="Y39" t="s">
        <v>121</v>
      </c>
      <c r="Z39" t="s">
        <v>121</v>
      </c>
      <c r="AA39" t="s">
        <v>121</v>
      </c>
      <c r="AB39" t="s">
        <v>121</v>
      </c>
      <c r="AC39" t="s">
        <v>121</v>
      </c>
      <c r="AD39" t="s">
        <v>121</v>
      </c>
      <c r="AE39" t="s">
        <v>121</v>
      </c>
      <c r="AF39" t="s">
        <v>121</v>
      </c>
    </row>
    <row r="40" spans="1:32">
      <c r="A40" t="s">
        <v>161</v>
      </c>
      <c r="B40" t="s">
        <v>482</v>
      </c>
      <c r="C40" t="s">
        <v>252</v>
      </c>
      <c r="D40" t="s">
        <v>206</v>
      </c>
      <c r="E40" s="5">
        <v>135494500</v>
      </c>
      <c r="F40" s="5">
        <f t="shared" si="8"/>
        <v>434937</v>
      </c>
      <c r="G40" s="5">
        <f t="shared" si="9"/>
        <v>144979</v>
      </c>
      <c r="H40" s="7">
        <f t="shared" si="10"/>
        <v>294565</v>
      </c>
      <c r="I40" s="7">
        <f t="shared" si="11"/>
        <v>187795</v>
      </c>
      <c r="J40" s="7">
        <f t="shared" si="12"/>
        <v>1882017</v>
      </c>
      <c r="K40" s="7">
        <f t="shared" si="13"/>
        <v>627339</v>
      </c>
      <c r="L40" s="9">
        <f t="shared" si="7"/>
        <v>0.25</v>
      </c>
      <c r="M40" s="6">
        <v>0.75</v>
      </c>
      <c r="N40" s="7">
        <v>3387</v>
      </c>
      <c r="O40" s="7">
        <v>141592</v>
      </c>
      <c r="P40" t="s">
        <v>121</v>
      </c>
      <c r="Q40" t="s">
        <v>121</v>
      </c>
      <c r="R40" s="7">
        <v>20053</v>
      </c>
      <c r="S40" s="7">
        <v>120319</v>
      </c>
      <c r="T40" s="7">
        <v>6775</v>
      </c>
      <c r="U40">
        <v>339</v>
      </c>
      <c r="V40" s="7">
        <v>294226</v>
      </c>
      <c r="W40" t="s">
        <v>121</v>
      </c>
      <c r="X40" s="7">
        <v>40648</v>
      </c>
      <c r="Y40" t="s">
        <v>121</v>
      </c>
      <c r="Z40" t="s">
        <v>121</v>
      </c>
      <c r="AA40" t="s">
        <v>121</v>
      </c>
      <c r="AB40" t="s">
        <v>121</v>
      </c>
      <c r="AC40" t="s">
        <v>121</v>
      </c>
      <c r="AD40" t="s">
        <v>121</v>
      </c>
      <c r="AE40" t="s">
        <v>121</v>
      </c>
      <c r="AF40" t="s">
        <v>121</v>
      </c>
    </row>
    <row r="41" spans="1:32">
      <c r="A41" t="s">
        <v>162</v>
      </c>
      <c r="B41" t="s">
        <v>483</v>
      </c>
      <c r="C41" t="s">
        <v>536</v>
      </c>
      <c r="D41" t="s">
        <v>206</v>
      </c>
      <c r="E41" s="5">
        <v>93350900</v>
      </c>
      <c r="F41" s="5">
        <f t="shared" si="8"/>
        <v>199771</v>
      </c>
      <c r="G41" s="5">
        <f t="shared" si="9"/>
        <v>199771</v>
      </c>
      <c r="H41" s="7">
        <f t="shared" si="10"/>
        <v>405890</v>
      </c>
      <c r="I41" s="7">
        <f t="shared" si="11"/>
        <v>258769</v>
      </c>
      <c r="J41" s="7">
        <f t="shared" si="12"/>
        <v>864430</v>
      </c>
      <c r="K41" s="7">
        <f t="shared" si="13"/>
        <v>864430</v>
      </c>
      <c r="L41" s="9">
        <f t="shared" si="7"/>
        <v>0.5</v>
      </c>
      <c r="M41" s="6">
        <v>0.5</v>
      </c>
      <c r="N41" s="7">
        <v>4668</v>
      </c>
      <c r="O41" s="7">
        <v>195103</v>
      </c>
      <c r="P41" t="s">
        <v>121</v>
      </c>
      <c r="Q41" t="s">
        <v>121</v>
      </c>
      <c r="R41" s="7">
        <v>27632</v>
      </c>
      <c r="S41" s="7">
        <v>165791</v>
      </c>
      <c r="T41" s="7">
        <v>9335</v>
      </c>
      <c r="U41">
        <v>467</v>
      </c>
      <c r="V41" s="7">
        <v>405423</v>
      </c>
      <c r="W41" t="s">
        <v>121</v>
      </c>
      <c r="X41" s="7">
        <v>56011</v>
      </c>
      <c r="Y41" t="s">
        <v>121</v>
      </c>
      <c r="Z41" t="s">
        <v>121</v>
      </c>
      <c r="AA41" t="s">
        <v>121</v>
      </c>
      <c r="AB41" t="s">
        <v>121</v>
      </c>
      <c r="AC41" t="s">
        <v>121</v>
      </c>
      <c r="AD41" t="s">
        <v>121</v>
      </c>
      <c r="AE41" t="s">
        <v>121</v>
      </c>
      <c r="AF41" t="s">
        <v>121</v>
      </c>
    </row>
    <row r="42" spans="1:32">
      <c r="A42" t="s">
        <v>163</v>
      </c>
      <c r="B42" t="s">
        <v>484</v>
      </c>
      <c r="C42" t="s">
        <v>254</v>
      </c>
      <c r="D42" t="s">
        <v>206</v>
      </c>
      <c r="E42" s="5">
        <v>133368000</v>
      </c>
      <c r="F42" s="5">
        <f t="shared" si="8"/>
        <v>428112</v>
      </c>
      <c r="G42" s="5">
        <f t="shared" si="9"/>
        <v>142704</v>
      </c>
      <c r="H42" s="7">
        <f t="shared" si="10"/>
        <v>289942</v>
      </c>
      <c r="I42" s="7">
        <f t="shared" si="11"/>
        <v>184847</v>
      </c>
      <c r="J42" s="7">
        <f t="shared" si="12"/>
        <v>1852479</v>
      </c>
      <c r="K42" s="7">
        <f t="shared" si="13"/>
        <v>617493</v>
      </c>
      <c r="L42" s="9">
        <f t="shared" si="7"/>
        <v>0.25</v>
      </c>
      <c r="M42" s="6">
        <v>0.75</v>
      </c>
      <c r="N42" s="7">
        <v>3334</v>
      </c>
      <c r="O42" s="7">
        <v>139370</v>
      </c>
      <c r="P42" t="s">
        <v>121</v>
      </c>
      <c r="Q42" t="s">
        <v>121</v>
      </c>
      <c r="R42" s="7">
        <v>19738</v>
      </c>
      <c r="S42" s="7">
        <v>118431</v>
      </c>
      <c r="T42" s="7">
        <v>6668</v>
      </c>
      <c r="U42">
        <v>333</v>
      </c>
      <c r="V42" s="7">
        <v>289609</v>
      </c>
      <c r="W42" t="s">
        <v>121</v>
      </c>
      <c r="X42" s="7">
        <v>40010</v>
      </c>
      <c r="Y42" t="s">
        <v>121</v>
      </c>
      <c r="Z42" t="s">
        <v>121</v>
      </c>
      <c r="AA42" t="s">
        <v>121</v>
      </c>
      <c r="AB42" t="s">
        <v>121</v>
      </c>
      <c r="AC42" t="s">
        <v>121</v>
      </c>
      <c r="AD42" t="s">
        <v>121</v>
      </c>
      <c r="AE42" t="s">
        <v>121</v>
      </c>
      <c r="AF42" t="s">
        <v>121</v>
      </c>
    </row>
    <row r="43" spans="1:32">
      <c r="A43" t="s">
        <v>164</v>
      </c>
      <c r="B43" t="s">
        <v>485</v>
      </c>
      <c r="C43" t="s">
        <v>537</v>
      </c>
      <c r="D43" t="s">
        <v>206</v>
      </c>
      <c r="E43" s="5">
        <v>64666200</v>
      </c>
      <c r="F43" s="5">
        <f t="shared" si="8"/>
        <v>207579</v>
      </c>
      <c r="G43" s="5">
        <f t="shared" si="9"/>
        <v>69193</v>
      </c>
      <c r="H43" s="7">
        <f t="shared" si="10"/>
        <v>140585</v>
      </c>
      <c r="I43" s="7">
        <f t="shared" si="11"/>
        <v>70228</v>
      </c>
      <c r="J43" s="7">
        <f t="shared" si="12"/>
        <v>840018</v>
      </c>
      <c r="K43" s="7">
        <f t="shared" si="13"/>
        <v>280006</v>
      </c>
      <c r="L43" s="9">
        <f t="shared" si="7"/>
        <v>0.25</v>
      </c>
      <c r="M43" s="6">
        <v>0.75</v>
      </c>
      <c r="N43" s="7">
        <v>1617</v>
      </c>
      <c r="O43" s="7">
        <v>67576</v>
      </c>
      <c r="P43" t="s">
        <v>121</v>
      </c>
      <c r="Q43" t="s">
        <v>121</v>
      </c>
      <c r="R43" s="7">
        <v>9571</v>
      </c>
      <c r="S43" s="7">
        <v>57424</v>
      </c>
      <c r="T43" s="7">
        <v>3233</v>
      </c>
      <c r="U43">
        <v>162</v>
      </c>
      <c r="V43" s="7">
        <v>140423</v>
      </c>
      <c r="W43" t="s">
        <v>121</v>
      </c>
      <c r="X43" t="s">
        <v>121</v>
      </c>
      <c r="Y43" t="s">
        <v>121</v>
      </c>
      <c r="Z43" t="s">
        <v>121</v>
      </c>
      <c r="AA43" t="s">
        <v>121</v>
      </c>
      <c r="AB43" t="s">
        <v>121</v>
      </c>
      <c r="AC43" t="s">
        <v>121</v>
      </c>
      <c r="AD43" t="s">
        <v>121</v>
      </c>
      <c r="AE43" t="s">
        <v>121</v>
      </c>
      <c r="AF43" t="s">
        <v>121</v>
      </c>
    </row>
    <row r="44" spans="1:32">
      <c r="A44" t="s">
        <v>165</v>
      </c>
      <c r="B44" t="s">
        <v>486</v>
      </c>
      <c r="C44" t="s">
        <v>538</v>
      </c>
      <c r="D44" t="s">
        <v>206</v>
      </c>
      <c r="E44" s="5">
        <v>54356900</v>
      </c>
      <c r="F44" s="5">
        <f t="shared" si="8"/>
        <v>174486</v>
      </c>
      <c r="G44" s="5">
        <f t="shared" si="9"/>
        <v>58162</v>
      </c>
      <c r="H44" s="7">
        <f t="shared" si="10"/>
        <v>118172</v>
      </c>
      <c r="I44" s="7">
        <f t="shared" si="11"/>
        <v>59032</v>
      </c>
      <c r="J44" s="7">
        <f t="shared" si="12"/>
        <v>706098</v>
      </c>
      <c r="K44" s="7">
        <f t="shared" si="13"/>
        <v>235366</v>
      </c>
      <c r="L44" s="9">
        <f t="shared" si="7"/>
        <v>0.25</v>
      </c>
      <c r="M44" s="6">
        <v>0.75</v>
      </c>
      <c r="N44" s="7">
        <v>1359</v>
      </c>
      <c r="O44" s="7">
        <v>56803</v>
      </c>
      <c r="P44" t="s">
        <v>121</v>
      </c>
      <c r="Q44" t="s">
        <v>121</v>
      </c>
      <c r="R44" s="7">
        <v>8045</v>
      </c>
      <c r="S44" s="7">
        <v>48269</v>
      </c>
      <c r="T44" s="7">
        <v>2718</v>
      </c>
      <c r="U44">
        <v>136</v>
      </c>
      <c r="V44" s="7">
        <v>118036</v>
      </c>
      <c r="W44" t="s">
        <v>121</v>
      </c>
      <c r="X44" t="s">
        <v>121</v>
      </c>
      <c r="Y44" t="s">
        <v>121</v>
      </c>
      <c r="Z44" t="s">
        <v>121</v>
      </c>
      <c r="AA44" t="s">
        <v>121</v>
      </c>
      <c r="AB44" t="s">
        <v>121</v>
      </c>
      <c r="AC44" t="s">
        <v>121</v>
      </c>
      <c r="AD44" t="s">
        <v>121</v>
      </c>
      <c r="AE44" t="s">
        <v>121</v>
      </c>
      <c r="AF44" t="s">
        <v>121</v>
      </c>
    </row>
    <row r="45" spans="1:32">
      <c r="A45" t="s">
        <v>166</v>
      </c>
      <c r="B45" t="s">
        <v>487</v>
      </c>
      <c r="C45" t="s">
        <v>539</v>
      </c>
      <c r="D45" t="s">
        <v>206</v>
      </c>
      <c r="E45" s="5">
        <v>63265600</v>
      </c>
      <c r="F45" s="5">
        <f t="shared" si="8"/>
        <v>203085</v>
      </c>
      <c r="G45" s="5">
        <f t="shared" si="9"/>
        <v>67695</v>
      </c>
      <c r="H45" s="7">
        <f t="shared" si="10"/>
        <v>137539</v>
      </c>
      <c r="I45" s="7">
        <f t="shared" si="11"/>
        <v>68706</v>
      </c>
      <c r="J45" s="7">
        <f t="shared" si="12"/>
        <v>821820</v>
      </c>
      <c r="K45" s="7">
        <f t="shared" si="13"/>
        <v>273940</v>
      </c>
      <c r="L45" s="9">
        <f t="shared" ref="L45:L63" si="14">SUM(1-M45)</f>
        <v>0.25</v>
      </c>
      <c r="M45" s="6">
        <v>0.75</v>
      </c>
      <c r="N45" s="7">
        <v>1582</v>
      </c>
      <c r="O45" s="7">
        <v>66113</v>
      </c>
      <c r="P45" t="s">
        <v>121</v>
      </c>
      <c r="Q45" t="s">
        <v>121</v>
      </c>
      <c r="R45" s="7">
        <v>9363</v>
      </c>
      <c r="S45" s="7">
        <v>56180</v>
      </c>
      <c r="T45" s="7">
        <v>3163</v>
      </c>
      <c r="U45">
        <v>158</v>
      </c>
      <c r="V45" s="7">
        <v>137381</v>
      </c>
      <c r="W45" t="s">
        <v>121</v>
      </c>
      <c r="X45" t="s">
        <v>121</v>
      </c>
      <c r="Y45" t="s">
        <v>121</v>
      </c>
      <c r="Z45" t="s">
        <v>121</v>
      </c>
      <c r="AA45" t="s">
        <v>121</v>
      </c>
      <c r="AB45" t="s">
        <v>121</v>
      </c>
      <c r="AC45" t="s">
        <v>121</v>
      </c>
      <c r="AD45" t="s">
        <v>121</v>
      </c>
      <c r="AE45" t="s">
        <v>121</v>
      </c>
      <c r="AF45" t="s">
        <v>121</v>
      </c>
    </row>
    <row r="46" spans="1:32">
      <c r="A46" t="s">
        <v>167</v>
      </c>
      <c r="B46" t="s">
        <v>488</v>
      </c>
      <c r="C46" t="s">
        <v>540</v>
      </c>
      <c r="D46" t="s">
        <v>206</v>
      </c>
      <c r="E46" s="5">
        <v>40339000</v>
      </c>
      <c r="F46" s="5">
        <f t="shared" si="8"/>
        <v>129486</v>
      </c>
      <c r="G46" s="5">
        <f t="shared" si="9"/>
        <v>43162</v>
      </c>
      <c r="H46" s="7">
        <f t="shared" si="10"/>
        <v>87697</v>
      </c>
      <c r="I46" s="7">
        <f t="shared" si="11"/>
        <v>43808</v>
      </c>
      <c r="J46" s="7">
        <f t="shared" si="12"/>
        <v>524001</v>
      </c>
      <c r="K46" s="7">
        <f t="shared" si="13"/>
        <v>174667</v>
      </c>
      <c r="L46" s="9">
        <f t="shared" si="14"/>
        <v>0.25</v>
      </c>
      <c r="M46" s="6">
        <v>0.75</v>
      </c>
      <c r="N46" s="7">
        <v>1008</v>
      </c>
      <c r="O46" s="7">
        <v>42154</v>
      </c>
      <c r="P46" t="s">
        <v>121</v>
      </c>
      <c r="Q46" t="s">
        <v>121</v>
      </c>
      <c r="R46" s="7">
        <v>5970</v>
      </c>
      <c r="S46" s="7">
        <v>35821</v>
      </c>
      <c r="T46" s="7">
        <v>2017</v>
      </c>
      <c r="U46">
        <v>101</v>
      </c>
      <c r="V46" s="7">
        <v>87596</v>
      </c>
      <c r="W46" t="s">
        <v>121</v>
      </c>
      <c r="X46" t="s">
        <v>121</v>
      </c>
      <c r="Y46" t="s">
        <v>121</v>
      </c>
      <c r="Z46" t="s">
        <v>121</v>
      </c>
      <c r="AA46" t="s">
        <v>121</v>
      </c>
      <c r="AB46" t="s">
        <v>121</v>
      </c>
      <c r="AC46" t="s">
        <v>121</v>
      </c>
      <c r="AD46" t="s">
        <v>121</v>
      </c>
      <c r="AE46" t="s">
        <v>121</v>
      </c>
      <c r="AF46" t="s">
        <v>121</v>
      </c>
    </row>
    <row r="47" spans="1:32">
      <c r="A47" t="s">
        <v>168</v>
      </c>
      <c r="B47" t="s">
        <v>489</v>
      </c>
      <c r="C47" t="s">
        <v>490</v>
      </c>
      <c r="D47" t="s">
        <v>206</v>
      </c>
      <c r="E47" s="5">
        <v>135680000</v>
      </c>
      <c r="F47" s="5">
        <f t="shared" si="8"/>
        <v>493600.66666666651</v>
      </c>
      <c r="G47" s="5">
        <f t="shared" si="9"/>
        <v>87106</v>
      </c>
      <c r="H47" s="7">
        <f t="shared" si="10"/>
        <v>176981</v>
      </c>
      <c r="I47" s="7">
        <f t="shared" si="11"/>
        <v>112830</v>
      </c>
      <c r="J47" s="7">
        <f t="shared" si="12"/>
        <v>2135862.9999999995</v>
      </c>
      <c r="K47" s="7">
        <f t="shared" si="13"/>
        <v>376917</v>
      </c>
      <c r="L47" s="9">
        <f t="shared" si="14"/>
        <v>0.15000000000000002</v>
      </c>
      <c r="M47" s="6">
        <v>0.85</v>
      </c>
      <c r="N47" s="7">
        <v>2035</v>
      </c>
      <c r="O47" s="7">
        <v>85071</v>
      </c>
      <c r="P47" t="s">
        <v>121</v>
      </c>
      <c r="Q47" t="s">
        <v>121</v>
      </c>
      <c r="R47" s="7">
        <v>12048</v>
      </c>
      <c r="S47" s="7">
        <v>72290</v>
      </c>
      <c r="T47" s="7">
        <v>4070</v>
      </c>
      <c r="U47">
        <v>204</v>
      </c>
      <c r="V47" s="7">
        <v>176777</v>
      </c>
      <c r="W47" t="s">
        <v>121</v>
      </c>
      <c r="X47" s="7">
        <v>24422</v>
      </c>
      <c r="Y47" t="s">
        <v>121</v>
      </c>
      <c r="Z47" t="s">
        <v>121</v>
      </c>
      <c r="AA47" t="s">
        <v>121</v>
      </c>
      <c r="AB47" t="s">
        <v>121</v>
      </c>
      <c r="AC47" t="s">
        <v>121</v>
      </c>
      <c r="AD47" t="s">
        <v>121</v>
      </c>
      <c r="AE47" t="s">
        <v>121</v>
      </c>
      <c r="AF47" t="s">
        <v>121</v>
      </c>
    </row>
    <row r="48" spans="1:32">
      <c r="A48" t="s">
        <v>169</v>
      </c>
      <c r="B48" t="s">
        <v>491</v>
      </c>
      <c r="C48" t="s">
        <v>260</v>
      </c>
      <c r="D48" t="s">
        <v>206</v>
      </c>
      <c r="E48" s="5">
        <v>117520000</v>
      </c>
      <c r="F48" s="5">
        <f t="shared" si="8"/>
        <v>402388.00000000012</v>
      </c>
      <c r="G48" s="5">
        <f t="shared" si="9"/>
        <v>100597</v>
      </c>
      <c r="H48" s="7">
        <f t="shared" si="10"/>
        <v>204391</v>
      </c>
      <c r="I48" s="7">
        <f t="shared" si="11"/>
        <v>130306</v>
      </c>
      <c r="J48" s="7">
        <f t="shared" si="12"/>
        <v>1741176.0000000005</v>
      </c>
      <c r="K48" s="7">
        <f t="shared" si="13"/>
        <v>435294</v>
      </c>
      <c r="L48" s="9">
        <f t="shared" si="14"/>
        <v>0.19999999999999996</v>
      </c>
      <c r="M48" s="6">
        <v>0.8</v>
      </c>
      <c r="N48" s="7">
        <v>2350</v>
      </c>
      <c r="O48" s="7">
        <v>98247</v>
      </c>
      <c r="P48" t="s">
        <v>121</v>
      </c>
      <c r="Q48" t="s">
        <v>121</v>
      </c>
      <c r="R48" s="7">
        <v>13914</v>
      </c>
      <c r="S48" s="7">
        <v>83486</v>
      </c>
      <c r="T48" s="7">
        <v>4701</v>
      </c>
      <c r="U48">
        <v>235</v>
      </c>
      <c r="V48" s="7">
        <v>204156</v>
      </c>
      <c r="W48" t="s">
        <v>121</v>
      </c>
      <c r="X48" s="7">
        <v>28205</v>
      </c>
      <c r="Y48" t="s">
        <v>121</v>
      </c>
      <c r="Z48" t="s">
        <v>121</v>
      </c>
      <c r="AA48" t="s">
        <v>121</v>
      </c>
      <c r="AB48" t="s">
        <v>121</v>
      </c>
      <c r="AC48" t="s">
        <v>121</v>
      </c>
      <c r="AD48" t="s">
        <v>121</v>
      </c>
      <c r="AE48" t="s">
        <v>121</v>
      </c>
      <c r="AF48" t="s">
        <v>121</v>
      </c>
    </row>
    <row r="49" spans="1:32">
      <c r="A49" t="s">
        <v>170</v>
      </c>
      <c r="B49" t="s">
        <v>492</v>
      </c>
      <c r="C49" t="s">
        <v>261</v>
      </c>
      <c r="D49" t="s">
        <v>206</v>
      </c>
      <c r="E49" s="5">
        <v>127801800</v>
      </c>
      <c r="F49" s="5">
        <f t="shared" si="8"/>
        <v>464944.3333333332</v>
      </c>
      <c r="G49" s="5">
        <f t="shared" si="9"/>
        <v>82049</v>
      </c>
      <c r="H49" s="7">
        <f t="shared" si="10"/>
        <v>166705</v>
      </c>
      <c r="I49" s="7">
        <f t="shared" si="11"/>
        <v>106280</v>
      </c>
      <c r="J49" s="7">
        <f t="shared" si="12"/>
        <v>2011859.333333333</v>
      </c>
      <c r="K49" s="7">
        <f t="shared" si="13"/>
        <v>355034</v>
      </c>
      <c r="L49" s="9">
        <f t="shared" si="14"/>
        <v>0.15000000000000002</v>
      </c>
      <c r="M49" s="6">
        <v>0.85</v>
      </c>
      <c r="N49" s="7">
        <v>1917</v>
      </c>
      <c r="O49" s="7">
        <v>80132</v>
      </c>
      <c r="P49" t="s">
        <v>121</v>
      </c>
      <c r="Q49" t="s">
        <v>121</v>
      </c>
      <c r="R49" s="7">
        <v>11349</v>
      </c>
      <c r="S49" s="7">
        <v>68093</v>
      </c>
      <c r="T49" s="7">
        <v>3834</v>
      </c>
      <c r="U49">
        <v>192</v>
      </c>
      <c r="V49" s="7">
        <v>166513</v>
      </c>
      <c r="W49" t="s">
        <v>121</v>
      </c>
      <c r="X49" s="7">
        <v>23004</v>
      </c>
      <c r="Y49" t="s">
        <v>121</v>
      </c>
      <c r="Z49" t="s">
        <v>121</v>
      </c>
      <c r="AA49" t="s">
        <v>121</v>
      </c>
      <c r="AB49" t="s">
        <v>121</v>
      </c>
      <c r="AC49" t="s">
        <v>121</v>
      </c>
      <c r="AD49" t="s">
        <v>121</v>
      </c>
      <c r="AE49" t="s">
        <v>121</v>
      </c>
      <c r="AF49" t="s">
        <v>121</v>
      </c>
    </row>
    <row r="50" spans="1:32">
      <c r="A50" t="s">
        <v>171</v>
      </c>
      <c r="B50" t="s">
        <v>493</v>
      </c>
      <c r="C50" t="s">
        <v>262</v>
      </c>
      <c r="D50" t="s">
        <v>206</v>
      </c>
      <c r="E50" s="5">
        <v>15075700</v>
      </c>
      <c r="F50" s="5">
        <f t="shared" si="8"/>
        <v>54841.999999999985</v>
      </c>
      <c r="G50" s="5">
        <f t="shared" si="9"/>
        <v>9678</v>
      </c>
      <c r="H50" s="7">
        <f t="shared" si="10"/>
        <v>19665</v>
      </c>
      <c r="I50" s="7">
        <f t="shared" si="11"/>
        <v>12537</v>
      </c>
      <c r="J50" s="7">
        <f t="shared" si="12"/>
        <v>237319.99999999994</v>
      </c>
      <c r="K50" s="7">
        <f t="shared" si="13"/>
        <v>41880</v>
      </c>
      <c r="L50" s="9">
        <f t="shared" si="14"/>
        <v>0.15000000000000002</v>
      </c>
      <c r="M50" s="6">
        <v>0.85</v>
      </c>
      <c r="N50">
        <v>226</v>
      </c>
      <c r="O50" s="7">
        <v>9452</v>
      </c>
      <c r="P50" t="s">
        <v>121</v>
      </c>
      <c r="Q50" t="s">
        <v>121</v>
      </c>
      <c r="R50" s="7">
        <v>1339</v>
      </c>
      <c r="S50" s="7">
        <v>8032</v>
      </c>
      <c r="T50">
        <v>452</v>
      </c>
      <c r="U50">
        <v>23</v>
      </c>
      <c r="V50" s="7">
        <v>19642</v>
      </c>
      <c r="W50" t="s">
        <v>121</v>
      </c>
      <c r="X50" s="7">
        <v>2714</v>
      </c>
      <c r="Y50" t="s">
        <v>121</v>
      </c>
      <c r="Z50" t="s">
        <v>121</v>
      </c>
      <c r="AA50" t="s">
        <v>121</v>
      </c>
      <c r="AB50" t="s">
        <v>121</v>
      </c>
      <c r="AC50" t="s">
        <v>121</v>
      </c>
      <c r="AD50" t="s">
        <v>121</v>
      </c>
      <c r="AE50" t="s">
        <v>121</v>
      </c>
      <c r="AF50" t="s">
        <v>121</v>
      </c>
    </row>
    <row r="51" spans="1:32">
      <c r="A51" t="s">
        <v>175</v>
      </c>
      <c r="B51" t="s">
        <v>500</v>
      </c>
      <c r="C51" t="s">
        <v>265</v>
      </c>
      <c r="D51" t="s">
        <v>206</v>
      </c>
      <c r="E51" s="5">
        <v>30258000</v>
      </c>
      <c r="F51" s="5">
        <f t="shared" si="8"/>
        <v>103604.00000000004</v>
      </c>
      <c r="G51" s="5">
        <f t="shared" si="9"/>
        <v>25901</v>
      </c>
      <c r="H51" s="7">
        <f t="shared" si="10"/>
        <v>52625</v>
      </c>
      <c r="I51" s="7">
        <f t="shared" si="11"/>
        <v>26288</v>
      </c>
      <c r="J51" s="7">
        <f t="shared" si="12"/>
        <v>419256.00000000012</v>
      </c>
      <c r="K51" s="7">
        <f t="shared" si="13"/>
        <v>104814</v>
      </c>
      <c r="L51" s="9">
        <f t="shared" si="14"/>
        <v>0.19999999999999996</v>
      </c>
      <c r="M51" s="6">
        <v>0.8</v>
      </c>
      <c r="N51">
        <v>605</v>
      </c>
      <c r="O51" s="7">
        <v>25296</v>
      </c>
      <c r="P51" t="s">
        <v>121</v>
      </c>
      <c r="Q51" t="s">
        <v>121</v>
      </c>
      <c r="R51" s="7">
        <v>3583</v>
      </c>
      <c r="S51" s="7">
        <v>21495</v>
      </c>
      <c r="T51" s="7">
        <v>1210</v>
      </c>
      <c r="U51">
        <v>61</v>
      </c>
      <c r="V51" s="7">
        <v>52564</v>
      </c>
      <c r="W51" t="s">
        <v>121</v>
      </c>
      <c r="X51" t="s">
        <v>121</v>
      </c>
      <c r="Y51" t="s">
        <v>121</v>
      </c>
      <c r="Z51" t="s">
        <v>121</v>
      </c>
      <c r="AA51" t="s">
        <v>121</v>
      </c>
      <c r="AB51" t="s">
        <v>121</v>
      </c>
      <c r="AC51" t="s">
        <v>121</v>
      </c>
      <c r="AD51" t="s">
        <v>121</v>
      </c>
      <c r="AE51" t="s">
        <v>121</v>
      </c>
      <c r="AF51" t="s">
        <v>121</v>
      </c>
    </row>
    <row r="52" spans="1:32">
      <c r="A52" t="s">
        <v>176</v>
      </c>
      <c r="B52" t="s">
        <v>496</v>
      </c>
      <c r="C52" t="s">
        <v>266</v>
      </c>
      <c r="D52" t="s">
        <v>206</v>
      </c>
      <c r="E52" s="5">
        <v>171139600</v>
      </c>
      <c r="F52" s="5">
        <f t="shared" si="8"/>
        <v>695855.9999999993</v>
      </c>
      <c r="G52" s="5">
        <f t="shared" si="9"/>
        <v>36624</v>
      </c>
      <c r="H52" s="7">
        <f t="shared" si="10"/>
        <v>74412</v>
      </c>
      <c r="I52" s="7">
        <f t="shared" si="11"/>
        <v>54285</v>
      </c>
      <c r="J52" s="7">
        <f t="shared" si="12"/>
        <v>3141098.9999999972</v>
      </c>
      <c r="K52" s="7">
        <f t="shared" si="13"/>
        <v>165321</v>
      </c>
      <c r="L52" s="9">
        <f t="shared" si="14"/>
        <v>5.0000000000000044E-2</v>
      </c>
      <c r="M52" s="6">
        <v>0.95</v>
      </c>
      <c r="N52">
        <v>856</v>
      </c>
      <c r="O52" s="7">
        <v>35768</v>
      </c>
      <c r="P52" t="s">
        <v>121</v>
      </c>
      <c r="Q52" t="s">
        <v>121</v>
      </c>
      <c r="R52" s="7">
        <v>5066</v>
      </c>
      <c r="S52" s="7">
        <v>30394</v>
      </c>
      <c r="T52" s="7">
        <v>1711</v>
      </c>
      <c r="U52">
        <v>86</v>
      </c>
      <c r="V52" s="7">
        <v>74326</v>
      </c>
      <c r="W52" t="s">
        <v>121</v>
      </c>
      <c r="X52" t="s">
        <v>121</v>
      </c>
      <c r="Y52" t="s">
        <v>121</v>
      </c>
      <c r="Z52" s="7">
        <v>17114</v>
      </c>
      <c r="AA52" t="s">
        <v>121</v>
      </c>
      <c r="AB52" t="s">
        <v>121</v>
      </c>
      <c r="AC52" t="s">
        <v>121</v>
      </c>
      <c r="AD52" t="s">
        <v>121</v>
      </c>
      <c r="AE52" t="s">
        <v>121</v>
      </c>
      <c r="AF52" t="s">
        <v>121</v>
      </c>
    </row>
    <row r="53" spans="1:32">
      <c r="A53" t="s">
        <v>177</v>
      </c>
      <c r="B53" t="s">
        <v>497</v>
      </c>
      <c r="C53" t="s">
        <v>267</v>
      </c>
      <c r="D53" t="s">
        <v>206</v>
      </c>
      <c r="E53" s="5">
        <v>32081300</v>
      </c>
      <c r="F53" s="5">
        <f t="shared" si="8"/>
        <v>82384.499999999985</v>
      </c>
      <c r="G53" s="5">
        <f t="shared" si="9"/>
        <v>54923</v>
      </c>
      <c r="H53" s="7">
        <f t="shared" si="10"/>
        <v>111591</v>
      </c>
      <c r="I53" s="7">
        <f t="shared" si="11"/>
        <v>81410</v>
      </c>
      <c r="J53" s="7">
        <f t="shared" si="12"/>
        <v>371886</v>
      </c>
      <c r="K53" s="7">
        <f t="shared" si="13"/>
        <v>247924</v>
      </c>
      <c r="L53" s="9">
        <f t="shared" si="14"/>
        <v>0.4</v>
      </c>
      <c r="M53" s="6">
        <v>0.6</v>
      </c>
      <c r="N53" s="7">
        <v>1283</v>
      </c>
      <c r="O53" s="7">
        <v>53640</v>
      </c>
      <c r="P53" t="s">
        <v>121</v>
      </c>
      <c r="Q53" t="s">
        <v>121</v>
      </c>
      <c r="R53" s="7">
        <v>7597</v>
      </c>
      <c r="S53" s="7">
        <v>45581</v>
      </c>
      <c r="T53" s="7">
        <v>2567</v>
      </c>
      <c r="U53">
        <v>128</v>
      </c>
      <c r="V53" s="7">
        <v>111463</v>
      </c>
      <c r="W53" t="s">
        <v>121</v>
      </c>
      <c r="X53" t="s">
        <v>121</v>
      </c>
      <c r="Y53" t="s">
        <v>121</v>
      </c>
      <c r="Z53" s="7">
        <v>25665</v>
      </c>
      <c r="AA53" t="s">
        <v>121</v>
      </c>
      <c r="AB53" t="s">
        <v>121</v>
      </c>
      <c r="AC53" t="s">
        <v>121</v>
      </c>
      <c r="AD53" t="s">
        <v>121</v>
      </c>
      <c r="AE53" t="s">
        <v>121</v>
      </c>
      <c r="AF53" t="s">
        <v>121</v>
      </c>
    </row>
    <row r="54" spans="1:32">
      <c r="A54" t="s">
        <v>178</v>
      </c>
      <c r="B54" t="s">
        <v>498</v>
      </c>
      <c r="C54" t="s">
        <v>541</v>
      </c>
      <c r="D54" t="s">
        <v>206</v>
      </c>
      <c r="E54" s="5">
        <v>116166200</v>
      </c>
      <c r="F54" s="5">
        <f t="shared" si="8"/>
        <v>298315.5</v>
      </c>
      <c r="G54" s="5">
        <f t="shared" si="9"/>
        <v>198877</v>
      </c>
      <c r="H54" s="7">
        <f t="shared" si="10"/>
        <v>404073</v>
      </c>
      <c r="I54" s="7">
        <f t="shared" si="11"/>
        <v>201850</v>
      </c>
      <c r="J54" s="7">
        <f t="shared" si="12"/>
        <v>1207200</v>
      </c>
      <c r="K54" s="7">
        <f t="shared" si="13"/>
        <v>804800</v>
      </c>
      <c r="L54" s="9">
        <f t="shared" si="14"/>
        <v>0.4</v>
      </c>
      <c r="M54" s="6">
        <v>0.6</v>
      </c>
      <c r="N54" s="7">
        <v>4647</v>
      </c>
      <c r="O54" s="7">
        <v>194230</v>
      </c>
      <c r="P54" t="s">
        <v>121</v>
      </c>
      <c r="Q54" t="s">
        <v>121</v>
      </c>
      <c r="R54" s="7">
        <v>27508</v>
      </c>
      <c r="S54" s="7">
        <v>165049</v>
      </c>
      <c r="T54" s="7">
        <v>9293</v>
      </c>
      <c r="U54">
        <v>465</v>
      </c>
      <c r="V54" s="7">
        <v>403608</v>
      </c>
      <c r="W54" t="s">
        <v>121</v>
      </c>
      <c r="X54" t="s">
        <v>121</v>
      </c>
      <c r="Y54" t="s">
        <v>121</v>
      </c>
      <c r="Z54" t="s">
        <v>121</v>
      </c>
      <c r="AA54" t="s">
        <v>121</v>
      </c>
      <c r="AB54" t="s">
        <v>121</v>
      </c>
      <c r="AC54" t="s">
        <v>121</v>
      </c>
      <c r="AD54" t="s">
        <v>121</v>
      </c>
      <c r="AE54" t="s">
        <v>121</v>
      </c>
      <c r="AF54" t="s">
        <v>121</v>
      </c>
    </row>
    <row r="55" spans="1:32">
      <c r="A55" t="s">
        <v>179</v>
      </c>
      <c r="B55" t="s">
        <v>499</v>
      </c>
      <c r="C55" t="s">
        <v>269</v>
      </c>
      <c r="D55" t="s">
        <v>206</v>
      </c>
      <c r="E55" s="5">
        <v>5525000</v>
      </c>
      <c r="F55" s="5">
        <f t="shared" si="8"/>
        <v>17736</v>
      </c>
      <c r="G55" s="5">
        <f t="shared" si="9"/>
        <v>5912</v>
      </c>
      <c r="H55" s="7">
        <f t="shared" si="10"/>
        <v>12012</v>
      </c>
      <c r="I55" s="7">
        <f t="shared" si="11"/>
        <v>8763</v>
      </c>
      <c r="J55" s="7">
        <f t="shared" si="12"/>
        <v>80061</v>
      </c>
      <c r="K55" s="7">
        <f t="shared" si="13"/>
        <v>26687</v>
      </c>
      <c r="L55" s="9">
        <f t="shared" si="14"/>
        <v>0.25</v>
      </c>
      <c r="M55" s="6">
        <v>0.75</v>
      </c>
      <c r="N55">
        <v>138</v>
      </c>
      <c r="O55" s="7">
        <v>5774</v>
      </c>
      <c r="P55" t="s">
        <v>121</v>
      </c>
      <c r="Q55" t="s">
        <v>121</v>
      </c>
      <c r="R55">
        <v>818</v>
      </c>
      <c r="S55" s="7">
        <v>4906</v>
      </c>
      <c r="T55">
        <v>276</v>
      </c>
      <c r="U55">
        <v>14</v>
      </c>
      <c r="V55" s="7">
        <v>11998</v>
      </c>
      <c r="W55" t="s">
        <v>121</v>
      </c>
      <c r="X55" t="s">
        <v>121</v>
      </c>
      <c r="Y55" t="s">
        <v>121</v>
      </c>
      <c r="Z55" s="7">
        <v>2763</v>
      </c>
      <c r="AA55" t="s">
        <v>121</v>
      </c>
      <c r="AB55" t="s">
        <v>121</v>
      </c>
      <c r="AC55" t="s">
        <v>121</v>
      </c>
      <c r="AD55" t="s">
        <v>121</v>
      </c>
      <c r="AE55" t="s">
        <v>121</v>
      </c>
      <c r="AF55" t="s">
        <v>121</v>
      </c>
    </row>
    <row r="56" spans="1:32">
      <c r="A56" t="s">
        <v>180</v>
      </c>
      <c r="B56" t="s">
        <v>499</v>
      </c>
      <c r="C56" t="s">
        <v>269</v>
      </c>
      <c r="D56" t="s">
        <v>206</v>
      </c>
      <c r="E56" s="5">
        <v>161959000</v>
      </c>
      <c r="F56" s="5">
        <f t="shared" si="8"/>
        <v>519888</v>
      </c>
      <c r="G56" s="5">
        <f t="shared" si="9"/>
        <v>173296</v>
      </c>
      <c r="H56" s="7">
        <f t="shared" si="10"/>
        <v>352099</v>
      </c>
      <c r="I56" s="7">
        <f t="shared" si="11"/>
        <v>256868</v>
      </c>
      <c r="J56" s="7">
        <f t="shared" si="12"/>
        <v>2346789</v>
      </c>
      <c r="K56" s="7">
        <f t="shared" si="13"/>
        <v>782263</v>
      </c>
      <c r="L56" s="9">
        <f t="shared" si="14"/>
        <v>0.25</v>
      </c>
      <c r="M56" s="6">
        <v>0.75</v>
      </c>
      <c r="N56" s="7">
        <v>4049</v>
      </c>
      <c r="O56" s="7">
        <v>169247</v>
      </c>
      <c r="P56" t="s">
        <v>121</v>
      </c>
      <c r="Q56" t="s">
        <v>121</v>
      </c>
      <c r="R56" s="7">
        <v>23970</v>
      </c>
      <c r="S56" s="7">
        <v>143820</v>
      </c>
      <c r="T56" s="7">
        <v>8098</v>
      </c>
      <c r="U56">
        <v>405</v>
      </c>
      <c r="V56" s="7">
        <v>351694</v>
      </c>
      <c r="W56" t="s">
        <v>121</v>
      </c>
      <c r="X56" t="s">
        <v>121</v>
      </c>
      <c r="Y56" t="s">
        <v>121</v>
      </c>
      <c r="Z56" s="7">
        <v>80980</v>
      </c>
      <c r="AA56" t="s">
        <v>121</v>
      </c>
      <c r="AB56" t="s">
        <v>121</v>
      </c>
      <c r="AC56" t="s">
        <v>121</v>
      </c>
      <c r="AD56" t="s">
        <v>121</v>
      </c>
      <c r="AE56" t="s">
        <v>121</v>
      </c>
      <c r="AF56" t="s">
        <v>121</v>
      </c>
    </row>
    <row r="57" spans="1:32">
      <c r="A57" t="s">
        <v>181</v>
      </c>
      <c r="B57" t="s">
        <v>499</v>
      </c>
      <c r="C57" t="s">
        <v>269</v>
      </c>
      <c r="D57" t="s">
        <v>206</v>
      </c>
      <c r="E57" s="5">
        <v>75000000</v>
      </c>
      <c r="F57" s="5">
        <f t="shared" si="8"/>
        <v>240750</v>
      </c>
      <c r="G57" s="5">
        <f t="shared" si="9"/>
        <v>80250</v>
      </c>
      <c r="H57" s="7">
        <f t="shared" si="10"/>
        <v>163051</v>
      </c>
      <c r="I57" s="7">
        <f t="shared" si="11"/>
        <v>118950</v>
      </c>
      <c r="J57" s="7">
        <f t="shared" si="12"/>
        <v>1086753</v>
      </c>
      <c r="K57" s="7">
        <f t="shared" si="13"/>
        <v>362251</v>
      </c>
      <c r="L57" s="9">
        <f t="shared" si="14"/>
        <v>0.25</v>
      </c>
      <c r="M57" s="6">
        <v>0.75</v>
      </c>
      <c r="N57" s="7">
        <v>1875</v>
      </c>
      <c r="O57" s="7">
        <v>78375</v>
      </c>
      <c r="P57" t="s">
        <v>121</v>
      </c>
      <c r="Q57" t="s">
        <v>121</v>
      </c>
      <c r="R57" s="7">
        <v>11100</v>
      </c>
      <c r="S57" s="7">
        <v>66600</v>
      </c>
      <c r="T57" s="7">
        <v>3750</v>
      </c>
      <c r="U57">
        <v>188</v>
      </c>
      <c r="V57" s="7">
        <v>162863</v>
      </c>
      <c r="W57" t="s">
        <v>121</v>
      </c>
      <c r="X57" t="s">
        <v>121</v>
      </c>
      <c r="Y57" t="s">
        <v>121</v>
      </c>
      <c r="Z57" s="7">
        <v>37500</v>
      </c>
      <c r="AA57" t="s">
        <v>121</v>
      </c>
      <c r="AB57" t="s">
        <v>121</v>
      </c>
      <c r="AC57" t="s">
        <v>121</v>
      </c>
      <c r="AD57" t="s">
        <v>121</v>
      </c>
      <c r="AE57" t="s">
        <v>121</v>
      </c>
      <c r="AF57" t="s">
        <v>121</v>
      </c>
    </row>
    <row r="58" spans="1:32">
      <c r="A58" t="s">
        <v>182</v>
      </c>
      <c r="B58" t="s">
        <v>501</v>
      </c>
      <c r="C58" t="s">
        <v>270</v>
      </c>
      <c r="D58" t="s">
        <v>206</v>
      </c>
      <c r="E58" s="5">
        <v>3952700</v>
      </c>
      <c r="F58" s="5">
        <f t="shared" si="8"/>
        <v>10150.499999999998</v>
      </c>
      <c r="G58" s="5">
        <f t="shared" si="9"/>
        <v>6767</v>
      </c>
      <c r="H58" s="7">
        <f t="shared" si="10"/>
        <v>13749</v>
      </c>
      <c r="I58" s="7">
        <f t="shared" si="11"/>
        <v>10030</v>
      </c>
      <c r="J58" s="7">
        <f t="shared" si="12"/>
        <v>45819</v>
      </c>
      <c r="K58" s="7">
        <f t="shared" si="13"/>
        <v>30546</v>
      </c>
      <c r="L58" s="9">
        <f t="shared" si="14"/>
        <v>0.4</v>
      </c>
      <c r="M58" s="6">
        <v>0.6</v>
      </c>
      <c r="N58">
        <v>158</v>
      </c>
      <c r="O58" s="7">
        <v>6609</v>
      </c>
      <c r="P58" t="s">
        <v>121</v>
      </c>
      <c r="Q58" t="s">
        <v>121</v>
      </c>
      <c r="R58">
        <v>936</v>
      </c>
      <c r="S58" s="7">
        <v>5616</v>
      </c>
      <c r="T58">
        <v>316</v>
      </c>
      <c r="U58">
        <v>16</v>
      </c>
      <c r="V58" s="7">
        <v>13733</v>
      </c>
      <c r="W58" t="s">
        <v>121</v>
      </c>
      <c r="X58" t="s">
        <v>121</v>
      </c>
      <c r="Y58" t="s">
        <v>121</v>
      </c>
      <c r="Z58" s="7">
        <v>3162</v>
      </c>
      <c r="AA58" t="s">
        <v>121</v>
      </c>
      <c r="AB58" t="s">
        <v>121</v>
      </c>
      <c r="AC58" t="s">
        <v>121</v>
      </c>
      <c r="AD58" t="s">
        <v>121</v>
      </c>
      <c r="AE58" t="s">
        <v>121</v>
      </c>
      <c r="AF58" t="s">
        <v>121</v>
      </c>
    </row>
    <row r="59" spans="1:32">
      <c r="A59" t="s">
        <v>183</v>
      </c>
      <c r="B59" t="s">
        <v>502</v>
      </c>
      <c r="C59" t="s">
        <v>271</v>
      </c>
      <c r="D59" t="s">
        <v>206</v>
      </c>
      <c r="E59" s="5">
        <v>29687000</v>
      </c>
      <c r="F59" s="5">
        <f t="shared" si="8"/>
        <v>117536.66666666673</v>
      </c>
      <c r="G59" s="5">
        <f t="shared" si="9"/>
        <v>9530</v>
      </c>
      <c r="H59" s="7">
        <f t="shared" si="10"/>
        <v>19362</v>
      </c>
      <c r="I59" s="7">
        <f t="shared" si="11"/>
        <v>14125</v>
      </c>
      <c r="J59" s="7">
        <f t="shared" si="12"/>
        <v>530543.00000000035</v>
      </c>
      <c r="K59" s="7">
        <f t="shared" si="13"/>
        <v>43017</v>
      </c>
      <c r="L59" s="9">
        <f t="shared" si="14"/>
        <v>7.4999999999999956E-2</v>
      </c>
      <c r="M59" s="8">
        <v>0.92500000000000004</v>
      </c>
      <c r="N59">
        <v>223</v>
      </c>
      <c r="O59" s="7">
        <v>9307</v>
      </c>
      <c r="P59" t="s">
        <v>121</v>
      </c>
      <c r="Q59" t="s">
        <v>121</v>
      </c>
      <c r="R59" s="7">
        <v>1318</v>
      </c>
      <c r="S59" s="7">
        <v>7909</v>
      </c>
      <c r="T59">
        <v>445</v>
      </c>
      <c r="U59">
        <v>22</v>
      </c>
      <c r="V59" s="7">
        <v>19340</v>
      </c>
      <c r="W59" t="s">
        <v>121</v>
      </c>
      <c r="X59" t="s">
        <v>121</v>
      </c>
      <c r="Y59" t="s">
        <v>121</v>
      </c>
      <c r="Z59" s="7">
        <v>4453</v>
      </c>
      <c r="AA59" t="s">
        <v>121</v>
      </c>
      <c r="AB59" t="s">
        <v>121</v>
      </c>
      <c r="AC59" t="s">
        <v>121</v>
      </c>
      <c r="AD59" t="s">
        <v>121</v>
      </c>
      <c r="AE59" t="s">
        <v>121</v>
      </c>
      <c r="AF59" t="s">
        <v>121</v>
      </c>
    </row>
    <row r="60" spans="1:32">
      <c r="A60" t="s">
        <v>184</v>
      </c>
      <c r="B60" t="s">
        <v>503</v>
      </c>
      <c r="C60" t="s">
        <v>273</v>
      </c>
      <c r="D60" t="s">
        <v>206</v>
      </c>
      <c r="E60" s="5">
        <v>42500000</v>
      </c>
      <c r="F60" s="5">
        <f t="shared" si="8"/>
        <v>154620.66666666663</v>
      </c>
      <c r="G60" s="5">
        <f t="shared" si="9"/>
        <v>27286</v>
      </c>
      <c r="H60" s="7">
        <f t="shared" si="10"/>
        <v>55437</v>
      </c>
      <c r="I60" s="7">
        <f t="shared" si="11"/>
        <v>40443</v>
      </c>
      <c r="J60" s="7">
        <f t="shared" si="12"/>
        <v>697940.66666666651</v>
      </c>
      <c r="K60" s="7">
        <f t="shared" si="13"/>
        <v>123166</v>
      </c>
      <c r="L60" s="9">
        <f t="shared" si="14"/>
        <v>0.15000000000000002</v>
      </c>
      <c r="M60" s="6">
        <v>0.85</v>
      </c>
      <c r="N60">
        <v>638</v>
      </c>
      <c r="O60" s="7">
        <v>26648</v>
      </c>
      <c r="P60" t="s">
        <v>121</v>
      </c>
      <c r="Q60" t="s">
        <v>121</v>
      </c>
      <c r="R60" s="7">
        <v>3774</v>
      </c>
      <c r="S60" s="7">
        <v>22644</v>
      </c>
      <c r="T60" s="7">
        <v>1275</v>
      </c>
      <c r="U60">
        <v>64</v>
      </c>
      <c r="V60" s="7">
        <v>55373</v>
      </c>
      <c r="W60" t="s">
        <v>121</v>
      </c>
      <c r="X60" t="s">
        <v>121</v>
      </c>
      <c r="Y60" t="s">
        <v>121</v>
      </c>
      <c r="Z60" s="7">
        <v>12750</v>
      </c>
      <c r="AA60" t="s">
        <v>121</v>
      </c>
      <c r="AB60" t="s">
        <v>121</v>
      </c>
      <c r="AC60" t="s">
        <v>121</v>
      </c>
      <c r="AD60" t="s">
        <v>121</v>
      </c>
      <c r="AE60" t="s">
        <v>121</v>
      </c>
      <c r="AF60" t="s">
        <v>121</v>
      </c>
    </row>
    <row r="61" spans="1:32">
      <c r="A61" t="s">
        <v>185</v>
      </c>
      <c r="B61" t="s">
        <v>504</v>
      </c>
      <c r="C61" t="s">
        <v>272</v>
      </c>
      <c r="D61" t="s">
        <v>206</v>
      </c>
      <c r="E61" s="5">
        <v>1600000</v>
      </c>
      <c r="F61" s="5">
        <f t="shared" si="8"/>
        <v>5819.6666666666652</v>
      </c>
      <c r="G61" s="5">
        <f t="shared" si="9"/>
        <v>1027</v>
      </c>
      <c r="H61" s="7">
        <f t="shared" si="10"/>
        <v>2087</v>
      </c>
      <c r="I61" s="7">
        <f t="shared" si="11"/>
        <v>1522</v>
      </c>
      <c r="J61" s="7">
        <f t="shared" si="12"/>
        <v>26270.666666666661</v>
      </c>
      <c r="K61" s="7">
        <f t="shared" si="13"/>
        <v>4636</v>
      </c>
      <c r="L61" s="9">
        <f t="shared" si="14"/>
        <v>0.15000000000000002</v>
      </c>
      <c r="M61" s="6">
        <v>0.85</v>
      </c>
      <c r="N61">
        <v>24</v>
      </c>
      <c r="O61" s="7">
        <v>1003</v>
      </c>
      <c r="P61" t="s">
        <v>121</v>
      </c>
      <c r="Q61" t="s">
        <v>121</v>
      </c>
      <c r="R61">
        <v>142</v>
      </c>
      <c r="S61">
        <v>852</v>
      </c>
      <c r="T61">
        <v>48</v>
      </c>
      <c r="U61">
        <v>2</v>
      </c>
      <c r="V61" s="7">
        <v>2085</v>
      </c>
      <c r="W61" t="s">
        <v>121</v>
      </c>
      <c r="X61" t="s">
        <v>121</v>
      </c>
      <c r="Y61" t="s">
        <v>121</v>
      </c>
      <c r="Z61">
        <v>480</v>
      </c>
      <c r="AA61" t="s">
        <v>121</v>
      </c>
      <c r="AB61" t="s">
        <v>121</v>
      </c>
      <c r="AC61" t="s">
        <v>121</v>
      </c>
      <c r="AD61" t="s">
        <v>121</v>
      </c>
      <c r="AE61" t="s">
        <v>121</v>
      </c>
      <c r="AF61" t="s">
        <v>121</v>
      </c>
    </row>
    <row r="62" spans="1:32">
      <c r="A62" t="s">
        <v>275</v>
      </c>
      <c r="B62" t="s">
        <v>506</v>
      </c>
      <c r="C62" t="s">
        <v>542</v>
      </c>
      <c r="D62" t="s">
        <v>206</v>
      </c>
      <c r="E62" s="5">
        <v>61260900</v>
      </c>
      <c r="F62" s="5">
        <f t="shared" si="8"/>
        <v>131098</v>
      </c>
      <c r="G62" s="5">
        <f t="shared" si="9"/>
        <v>131098</v>
      </c>
      <c r="H62" s="7">
        <f t="shared" si="10"/>
        <v>266362</v>
      </c>
      <c r="I62" s="7">
        <f t="shared" si="11"/>
        <v>133058</v>
      </c>
      <c r="J62" s="7">
        <f t="shared" si="12"/>
        <v>530518</v>
      </c>
      <c r="K62" s="7">
        <f t="shared" si="13"/>
        <v>530518</v>
      </c>
      <c r="L62" s="9">
        <f t="shared" si="14"/>
        <v>0.5</v>
      </c>
      <c r="M62" s="6">
        <v>0.5</v>
      </c>
      <c r="N62" s="7">
        <v>3063</v>
      </c>
      <c r="O62" s="7">
        <v>128035</v>
      </c>
      <c r="P62" t="s">
        <v>121</v>
      </c>
      <c r="Q62" t="s">
        <v>121</v>
      </c>
      <c r="R62" s="7">
        <v>18133</v>
      </c>
      <c r="S62" s="7">
        <v>108799</v>
      </c>
      <c r="T62" s="7">
        <v>6126</v>
      </c>
      <c r="U62">
        <v>306</v>
      </c>
      <c r="V62" s="7">
        <v>266056</v>
      </c>
      <c r="W62" t="s">
        <v>121</v>
      </c>
      <c r="X62" t="s">
        <v>121</v>
      </c>
      <c r="Y62" t="s">
        <v>121</v>
      </c>
      <c r="Z62" t="s">
        <v>121</v>
      </c>
      <c r="AA62" t="s">
        <v>121</v>
      </c>
      <c r="AB62" t="s">
        <v>121</v>
      </c>
      <c r="AC62" t="s">
        <v>121</v>
      </c>
      <c r="AD62" t="s">
        <v>121</v>
      </c>
      <c r="AE62" t="s">
        <v>121</v>
      </c>
      <c r="AF62" t="s">
        <v>121</v>
      </c>
    </row>
    <row r="63" spans="1:32">
      <c r="A63" t="s">
        <v>188</v>
      </c>
      <c r="B63" t="s">
        <v>509</v>
      </c>
      <c r="C63" t="s">
        <v>543</v>
      </c>
      <c r="D63" t="s">
        <v>206</v>
      </c>
      <c r="E63" s="5">
        <v>106133800</v>
      </c>
      <c r="F63" s="5">
        <f t="shared" si="8"/>
        <v>272551.49999999994</v>
      </c>
      <c r="G63" s="5">
        <f t="shared" si="9"/>
        <v>181701</v>
      </c>
      <c r="H63" s="7">
        <f t="shared" si="10"/>
        <v>369176</v>
      </c>
      <c r="I63" s="7">
        <f t="shared" si="11"/>
        <v>184418</v>
      </c>
      <c r="J63" s="7">
        <f t="shared" si="12"/>
        <v>1102942.5</v>
      </c>
      <c r="K63" s="7">
        <f t="shared" si="13"/>
        <v>735295</v>
      </c>
      <c r="L63" s="9">
        <f t="shared" si="14"/>
        <v>0.4</v>
      </c>
      <c r="M63" s="6">
        <v>0.6</v>
      </c>
      <c r="N63" s="7">
        <v>4245</v>
      </c>
      <c r="O63" s="7">
        <v>177456</v>
      </c>
      <c r="Q63" t="s">
        <v>121</v>
      </c>
      <c r="R63" s="7">
        <v>25132</v>
      </c>
      <c r="S63" s="7">
        <v>150795</v>
      </c>
      <c r="T63" s="7">
        <v>8491</v>
      </c>
      <c r="U63">
        <v>425</v>
      </c>
      <c r="V63" s="7">
        <v>368751</v>
      </c>
      <c r="X63" t="s">
        <v>121</v>
      </c>
      <c r="Y63" t="s">
        <v>121</v>
      </c>
      <c r="Z63" t="s">
        <v>121</v>
      </c>
      <c r="AA63" t="s">
        <v>121</v>
      </c>
      <c r="AB63" t="s">
        <v>121</v>
      </c>
      <c r="AC63" t="s">
        <v>121</v>
      </c>
      <c r="AD63" t="s">
        <v>121</v>
      </c>
      <c r="AE63" t="s">
        <v>121</v>
      </c>
    </row>
    <row r="64" spans="1:32">
      <c r="A64" t="s">
        <v>292</v>
      </c>
      <c r="B64" t="s">
        <v>513</v>
      </c>
      <c r="C64" t="s">
        <v>332</v>
      </c>
      <c r="D64" t="s">
        <v>206</v>
      </c>
      <c r="E64" s="7">
        <v>279553</v>
      </c>
      <c r="F64" s="5">
        <f t="shared" si="8"/>
        <v>644.54184071153304</v>
      </c>
      <c r="G64" s="5">
        <f t="shared" si="9"/>
        <v>551.95999999999992</v>
      </c>
      <c r="H64" s="7">
        <f t="shared" si="10"/>
        <v>1121.44</v>
      </c>
      <c r="I64" s="7">
        <f t="shared" si="11"/>
        <v>560.19999999999993</v>
      </c>
      <c r="J64" s="7">
        <f t="shared" si="12"/>
        <v>2608.2481618473803</v>
      </c>
      <c r="K64" s="7">
        <f t="shared" si="13"/>
        <v>2233.6</v>
      </c>
      <c r="L64" s="9">
        <v>0.46131145078035291</v>
      </c>
      <c r="M64" s="6">
        <f t="shared" ref="M64:M76" si="15">SUM(1-L64)</f>
        <v>0.53868854921964715</v>
      </c>
      <c r="N64" s="3">
        <v>12.9</v>
      </c>
      <c r="O64" s="3">
        <v>539.05999999999995</v>
      </c>
      <c r="R64">
        <v>76.34</v>
      </c>
      <c r="S64">
        <v>458.07</v>
      </c>
      <c r="T64">
        <v>25.79</v>
      </c>
      <c r="U64">
        <v>1.29</v>
      </c>
      <c r="V64" s="10">
        <v>1120.1500000000001</v>
      </c>
      <c r="W64" s="3" t="s">
        <v>121</v>
      </c>
      <c r="Y64" t="s">
        <v>121</v>
      </c>
      <c r="AE64" t="s">
        <v>121</v>
      </c>
      <c r="AF64" t="s">
        <v>121</v>
      </c>
    </row>
    <row r="65" spans="1:37">
      <c r="A65" t="s">
        <v>293</v>
      </c>
      <c r="B65" t="s">
        <v>514</v>
      </c>
      <c r="C65" t="s">
        <v>271</v>
      </c>
      <c r="D65" t="s">
        <v>206</v>
      </c>
      <c r="E65" s="7">
        <v>21471390</v>
      </c>
      <c r="F65" s="5">
        <f t="shared" si="8"/>
        <v>71052.547488190219</v>
      </c>
      <c r="G65" s="5">
        <f t="shared" si="9"/>
        <v>20845.009999999998</v>
      </c>
      <c r="H65" s="7">
        <f t="shared" si="10"/>
        <v>42352.38</v>
      </c>
      <c r="I65" s="7">
        <f t="shared" si="11"/>
        <v>21156.71</v>
      </c>
      <c r="J65" s="7">
        <f t="shared" si="12"/>
        <v>287530.38238281239</v>
      </c>
      <c r="K65" s="7">
        <f t="shared" si="13"/>
        <v>84354.1</v>
      </c>
      <c r="L65" s="9">
        <v>0.22682877075028679</v>
      </c>
      <c r="M65" s="6">
        <f t="shared" si="15"/>
        <v>0.77317122924971327</v>
      </c>
      <c r="N65" s="3">
        <v>487.03</v>
      </c>
      <c r="O65" s="3">
        <v>20357.98</v>
      </c>
      <c r="R65" s="10">
        <v>2883.23</v>
      </c>
      <c r="S65" s="10">
        <v>17299.41</v>
      </c>
      <c r="T65">
        <v>974.07</v>
      </c>
      <c r="U65">
        <v>48.7</v>
      </c>
      <c r="V65" s="10">
        <v>42303.68</v>
      </c>
      <c r="W65" s="3" t="s">
        <v>121</v>
      </c>
      <c r="Y65" t="s">
        <v>121</v>
      </c>
      <c r="AE65" t="s">
        <v>121</v>
      </c>
      <c r="AF65" t="s">
        <v>121</v>
      </c>
    </row>
    <row r="66" spans="1:37">
      <c r="A66" t="s">
        <v>299</v>
      </c>
      <c r="B66" t="s">
        <v>517</v>
      </c>
      <c r="C66" t="s">
        <v>518</v>
      </c>
      <c r="D66" t="s">
        <v>206</v>
      </c>
      <c r="E66" s="7">
        <v>3157774</v>
      </c>
      <c r="F66" s="5">
        <f t="shared" ref="F66:F76" si="16">SUM((1-L66)*G66)/L66</f>
        <v>11398.482305104279</v>
      </c>
      <c r="G66" s="5">
        <f t="shared" ref="G66:G76" si="17">SUM(N66+O66)</f>
        <v>2116.83</v>
      </c>
      <c r="H66" s="7">
        <f t="shared" ref="H66:H76" si="18">SUM(U66:W66)</f>
        <v>4300.92</v>
      </c>
      <c r="I66" s="7">
        <f t="shared" ref="I66:I76" si="19">SUM(P66:T66,X66:AK66)</f>
        <v>2148.48</v>
      </c>
      <c r="J66" s="7">
        <f t="shared" ref="J66:J76" si="20">SUM(M66)*((G66+H66+I66)/L66)</f>
        <v>46126.529327557444</v>
      </c>
      <c r="K66" s="7">
        <f t="shared" ref="K66:K97" si="21">SUM(G66:I66)</f>
        <v>8566.23</v>
      </c>
      <c r="L66" s="9">
        <v>0.156624571612788</v>
      </c>
      <c r="M66" s="6">
        <f t="shared" si="15"/>
        <v>0.84337542838721202</v>
      </c>
      <c r="N66" s="3">
        <v>49.46</v>
      </c>
      <c r="O66" s="3">
        <v>2067.37</v>
      </c>
      <c r="R66">
        <v>292.79000000000002</v>
      </c>
      <c r="S66" s="10">
        <v>1756.77</v>
      </c>
      <c r="T66">
        <v>98.92</v>
      </c>
      <c r="U66">
        <v>4.95</v>
      </c>
      <c r="V66" s="10">
        <v>4295.97</v>
      </c>
      <c r="W66" s="3" t="s">
        <v>121</v>
      </c>
      <c r="Y66" t="s">
        <v>121</v>
      </c>
      <c r="AE66" t="s">
        <v>121</v>
      </c>
      <c r="AF66" t="s">
        <v>121</v>
      </c>
    </row>
    <row r="67" spans="1:37">
      <c r="A67" t="s">
        <v>300</v>
      </c>
      <c r="B67" t="s">
        <v>466</v>
      </c>
      <c r="C67" t="s">
        <v>232</v>
      </c>
      <c r="D67" t="s">
        <v>206</v>
      </c>
      <c r="E67" s="7">
        <v>5269618</v>
      </c>
      <c r="F67" s="5">
        <f t="shared" si="16"/>
        <v>19067.27704683075</v>
      </c>
      <c r="G67" s="5">
        <f t="shared" si="17"/>
        <v>3486.74</v>
      </c>
      <c r="H67" s="7">
        <f t="shared" si="18"/>
        <v>7084.2599999999993</v>
      </c>
      <c r="I67" s="7">
        <f t="shared" si="19"/>
        <v>3538.8699999999994</v>
      </c>
      <c r="J67" s="7">
        <f t="shared" si="20"/>
        <v>77159.983361181454</v>
      </c>
      <c r="K67" s="7">
        <f t="shared" si="21"/>
        <v>14109.869999999999</v>
      </c>
      <c r="L67" s="9">
        <v>0.15459507691069826</v>
      </c>
      <c r="M67" s="6">
        <f t="shared" si="15"/>
        <v>0.84540492308930171</v>
      </c>
      <c r="N67" s="3">
        <v>81.47</v>
      </c>
      <c r="O67" s="3">
        <v>3405.27</v>
      </c>
      <c r="R67">
        <v>482.28</v>
      </c>
      <c r="S67" s="10">
        <v>2893.66</v>
      </c>
      <c r="T67">
        <v>162.93</v>
      </c>
      <c r="U67">
        <v>8.15</v>
      </c>
      <c r="V67" s="10">
        <v>7076.11</v>
      </c>
      <c r="W67" s="3" t="s">
        <v>121</v>
      </c>
      <c r="Y67" t="s">
        <v>121</v>
      </c>
      <c r="AE67" t="s">
        <v>121</v>
      </c>
      <c r="AF67" t="s">
        <v>121</v>
      </c>
    </row>
    <row r="68" spans="1:37">
      <c r="A68" t="s">
        <v>302</v>
      </c>
      <c r="B68" t="s">
        <v>519</v>
      </c>
      <c r="C68" t="s">
        <v>273</v>
      </c>
      <c r="D68" t="s">
        <v>206</v>
      </c>
      <c r="E68" s="7">
        <v>7088909</v>
      </c>
      <c r="F68" s="5">
        <f t="shared" si="16"/>
        <v>17333.670333387516</v>
      </c>
      <c r="G68" s="5">
        <f t="shared" si="17"/>
        <v>13006.859999999999</v>
      </c>
      <c r="H68" s="7">
        <f t="shared" si="18"/>
        <v>26427.02</v>
      </c>
      <c r="I68" s="7">
        <f t="shared" si="19"/>
        <v>13201.359999999999</v>
      </c>
      <c r="J68" s="7">
        <f t="shared" si="20"/>
        <v>70144.669664986941</v>
      </c>
      <c r="K68" s="7">
        <f t="shared" si="21"/>
        <v>52635.24</v>
      </c>
      <c r="L68" s="9">
        <v>0.42869586843335133</v>
      </c>
      <c r="M68" s="6">
        <f t="shared" si="15"/>
        <v>0.57130413156664872</v>
      </c>
      <c r="N68" s="3">
        <v>303.89999999999998</v>
      </c>
      <c r="O68" s="3">
        <v>12702.96</v>
      </c>
      <c r="R68" s="10">
        <v>1799.08</v>
      </c>
      <c r="S68" s="10">
        <v>10794.48</v>
      </c>
      <c r="T68">
        <v>607.79999999999995</v>
      </c>
      <c r="U68">
        <v>30.39</v>
      </c>
      <c r="V68" s="10">
        <v>26396.63</v>
      </c>
      <c r="W68" s="3" t="s">
        <v>121</v>
      </c>
      <c r="Y68" t="s">
        <v>121</v>
      </c>
      <c r="AE68" t="s">
        <v>121</v>
      </c>
      <c r="AF68" t="s">
        <v>121</v>
      </c>
    </row>
    <row r="69" spans="1:37">
      <c r="A69" t="s">
        <v>303</v>
      </c>
      <c r="B69" t="s">
        <v>513</v>
      </c>
      <c r="C69" t="s">
        <v>332</v>
      </c>
      <c r="D69" t="s">
        <v>206</v>
      </c>
      <c r="E69" s="7">
        <v>1622886</v>
      </c>
      <c r="F69" s="5">
        <f t="shared" si="16"/>
        <v>5050.6977134417612</v>
      </c>
      <c r="G69" s="5">
        <f t="shared" si="17"/>
        <v>1895.24</v>
      </c>
      <c r="H69" s="7">
        <f t="shared" si="18"/>
        <v>3850.71</v>
      </c>
      <c r="I69" s="7">
        <f t="shared" si="19"/>
        <v>1923.58</v>
      </c>
      <c r="J69" s="7">
        <f t="shared" si="20"/>
        <v>20438.824441322995</v>
      </c>
      <c r="K69" s="7">
        <f t="shared" si="21"/>
        <v>7669.53</v>
      </c>
      <c r="L69" s="9">
        <v>0.27285588759777335</v>
      </c>
      <c r="M69" s="6">
        <f t="shared" si="15"/>
        <v>0.72714411240222665</v>
      </c>
      <c r="N69" s="3">
        <v>44.28</v>
      </c>
      <c r="O69" s="3">
        <v>1850.96</v>
      </c>
      <c r="R69">
        <v>262.14999999999998</v>
      </c>
      <c r="S69" s="10">
        <v>1572.87</v>
      </c>
      <c r="T69">
        <v>88.56</v>
      </c>
      <c r="U69">
        <v>4.43</v>
      </c>
      <c r="V69" s="10">
        <v>3846.28</v>
      </c>
      <c r="W69" s="3" t="s">
        <v>121</v>
      </c>
      <c r="Y69" t="s">
        <v>121</v>
      </c>
      <c r="AE69" t="s">
        <v>121</v>
      </c>
      <c r="AF69" t="s">
        <v>121</v>
      </c>
    </row>
    <row r="70" spans="1:37">
      <c r="A70" t="s">
        <v>304</v>
      </c>
      <c r="B70" t="s">
        <v>513</v>
      </c>
      <c r="C70" t="s">
        <v>332</v>
      </c>
      <c r="D70" t="s">
        <v>206</v>
      </c>
      <c r="E70" s="7">
        <v>123818</v>
      </c>
      <c r="F70" s="5">
        <f t="shared" si="16"/>
        <v>335.85301819384716</v>
      </c>
      <c r="G70" s="5">
        <f t="shared" si="17"/>
        <v>194.07</v>
      </c>
      <c r="H70" s="7">
        <f t="shared" si="18"/>
        <v>394.31</v>
      </c>
      <c r="I70" s="7">
        <f t="shared" si="19"/>
        <v>196.97</v>
      </c>
      <c r="J70" s="7">
        <f t="shared" si="20"/>
        <v>1359.1084033520783</v>
      </c>
      <c r="K70" s="7">
        <f t="shared" si="21"/>
        <v>785.35</v>
      </c>
      <c r="L70" s="9">
        <v>0.36622300473275293</v>
      </c>
      <c r="M70" s="6">
        <f t="shared" si="15"/>
        <v>0.63377699526724707</v>
      </c>
      <c r="N70" s="3">
        <v>4.53</v>
      </c>
      <c r="O70" s="3">
        <v>189.54</v>
      </c>
      <c r="R70">
        <v>26.84</v>
      </c>
      <c r="S70">
        <v>161.06</v>
      </c>
      <c r="T70">
        <v>9.07</v>
      </c>
      <c r="U70">
        <v>0.45</v>
      </c>
      <c r="V70">
        <v>393.86</v>
      </c>
      <c r="W70" s="3" t="s">
        <v>121</v>
      </c>
      <c r="Y70" t="s">
        <v>121</v>
      </c>
      <c r="AE70" t="s">
        <v>121</v>
      </c>
      <c r="AF70" t="s">
        <v>121</v>
      </c>
    </row>
    <row r="71" spans="1:37">
      <c r="A71" t="s">
        <v>308</v>
      </c>
      <c r="B71" t="s">
        <v>522</v>
      </c>
      <c r="C71" t="s">
        <v>339</v>
      </c>
      <c r="D71" t="s">
        <v>206</v>
      </c>
      <c r="E71" s="7">
        <v>102613778</v>
      </c>
      <c r="F71" s="5">
        <f t="shared" si="16"/>
        <v>291908.67815047671</v>
      </c>
      <c r="G71" s="5">
        <f t="shared" si="17"/>
        <v>147278.28</v>
      </c>
      <c r="H71" s="7">
        <f t="shared" si="18"/>
        <v>299236.44</v>
      </c>
      <c r="I71" s="7">
        <f t="shared" si="19"/>
        <v>149480.57</v>
      </c>
      <c r="J71" s="7">
        <f t="shared" si="20"/>
        <v>1181275.31967246</v>
      </c>
      <c r="K71" s="7">
        <f t="shared" si="21"/>
        <v>595995.29</v>
      </c>
      <c r="L71" s="9">
        <v>0.33534301797171917</v>
      </c>
      <c r="M71" s="6">
        <f t="shared" si="15"/>
        <v>0.66465698202828083</v>
      </c>
      <c r="N71" s="3">
        <v>3441.08</v>
      </c>
      <c r="O71" s="3">
        <v>143837.20000000001</v>
      </c>
      <c r="R71" s="10">
        <v>20371.2</v>
      </c>
      <c r="S71" s="10">
        <v>122227.21</v>
      </c>
      <c r="T71" s="10">
        <v>6882.16</v>
      </c>
      <c r="U71">
        <v>344.11</v>
      </c>
      <c r="V71" s="10">
        <v>298892.33</v>
      </c>
      <c r="W71" s="3" t="s">
        <v>121</v>
      </c>
      <c r="Y71" t="s">
        <v>121</v>
      </c>
      <c r="AE71" t="s">
        <v>121</v>
      </c>
      <c r="AF71" t="s">
        <v>121</v>
      </c>
    </row>
    <row r="72" spans="1:37">
      <c r="A72" t="s">
        <v>310</v>
      </c>
      <c r="B72" t="s">
        <v>514</v>
      </c>
      <c r="C72" t="s">
        <v>271</v>
      </c>
      <c r="D72" t="s">
        <v>206</v>
      </c>
      <c r="E72" s="7">
        <v>99925426</v>
      </c>
      <c r="F72" s="5">
        <f t="shared" si="16"/>
        <v>285480.69893428427</v>
      </c>
      <c r="G72" s="5">
        <f t="shared" si="17"/>
        <v>142200.13</v>
      </c>
      <c r="H72" s="7">
        <f t="shared" si="18"/>
        <v>288918.76</v>
      </c>
      <c r="I72" s="7">
        <f t="shared" si="19"/>
        <v>144326.49</v>
      </c>
      <c r="J72" s="7">
        <f t="shared" si="20"/>
        <v>1155263.0034930687</v>
      </c>
      <c r="K72" s="7">
        <f t="shared" si="21"/>
        <v>575445.38</v>
      </c>
      <c r="L72" s="9">
        <v>0.33249124201882313</v>
      </c>
      <c r="M72" s="6">
        <f t="shared" si="15"/>
        <v>0.66750875798117693</v>
      </c>
      <c r="N72" s="3">
        <v>3322.43</v>
      </c>
      <c r="O72" s="3">
        <v>138877.70000000001</v>
      </c>
      <c r="R72" s="10">
        <v>19668.8</v>
      </c>
      <c r="S72" s="10">
        <v>118012.82</v>
      </c>
      <c r="T72" s="10">
        <v>6644.87</v>
      </c>
      <c r="U72">
        <v>332.24</v>
      </c>
      <c r="V72" s="10">
        <v>288586.52</v>
      </c>
      <c r="W72" s="3" t="s">
        <v>121</v>
      </c>
      <c r="Y72" t="s">
        <v>121</v>
      </c>
      <c r="AE72" t="s">
        <v>121</v>
      </c>
      <c r="AF72" t="s">
        <v>121</v>
      </c>
    </row>
    <row r="73" spans="1:37">
      <c r="A73" t="s">
        <v>318</v>
      </c>
      <c r="B73" t="s">
        <v>514</v>
      </c>
      <c r="C73" t="s">
        <v>271</v>
      </c>
      <c r="D73" t="s">
        <v>206</v>
      </c>
      <c r="E73" s="7">
        <v>64337670</v>
      </c>
      <c r="F73" s="5">
        <f t="shared" si="16"/>
        <v>145409.62921166889</v>
      </c>
      <c r="G73" s="5">
        <f t="shared" si="17"/>
        <v>129955.61</v>
      </c>
      <c r="H73" s="7">
        <f t="shared" si="18"/>
        <v>264040.64</v>
      </c>
      <c r="I73" s="7">
        <f t="shared" si="19"/>
        <v>131898.87</v>
      </c>
      <c r="J73" s="7">
        <f t="shared" si="20"/>
        <v>588433.34584344691</v>
      </c>
      <c r="K73" s="7">
        <f t="shared" si="21"/>
        <v>525895.12</v>
      </c>
      <c r="L73" s="9">
        <v>0.47193905219135229</v>
      </c>
      <c r="M73" s="6">
        <f t="shared" si="15"/>
        <v>0.52806094780864776</v>
      </c>
      <c r="N73" s="3">
        <v>3036.35</v>
      </c>
      <c r="O73" s="3">
        <v>126919.26</v>
      </c>
      <c r="R73" s="10">
        <v>17975.169999999998</v>
      </c>
      <c r="S73" s="10">
        <v>107851.01</v>
      </c>
      <c r="T73" s="10">
        <v>6072.69</v>
      </c>
      <c r="U73">
        <v>303.63</v>
      </c>
      <c r="V73" s="10">
        <v>263737.01</v>
      </c>
      <c r="W73" s="3" t="s">
        <v>121</v>
      </c>
      <c r="Y73" t="s">
        <v>121</v>
      </c>
      <c r="AE73" t="s">
        <v>121</v>
      </c>
      <c r="AF73" t="s">
        <v>121</v>
      </c>
    </row>
    <row r="74" spans="1:37">
      <c r="A74" t="s">
        <v>320</v>
      </c>
      <c r="B74" t="s">
        <v>529</v>
      </c>
      <c r="C74" t="s">
        <v>339</v>
      </c>
      <c r="D74" t="s">
        <v>206</v>
      </c>
      <c r="E74" s="7">
        <v>26494320</v>
      </c>
      <c r="F74" s="5">
        <f t="shared" si="16"/>
        <v>58499.350256325895</v>
      </c>
      <c r="G74" s="5">
        <f t="shared" si="17"/>
        <v>54896.36</v>
      </c>
      <c r="H74" s="7">
        <f t="shared" si="18"/>
        <v>111537.06999999999</v>
      </c>
      <c r="I74" s="7">
        <f t="shared" si="19"/>
        <v>55717.229999999996</v>
      </c>
      <c r="J74" s="7">
        <f t="shared" si="20"/>
        <v>236730.98305632587</v>
      </c>
      <c r="K74" s="7">
        <f t="shared" si="21"/>
        <v>222150.65999999997</v>
      </c>
      <c r="L74" s="9">
        <v>0.48411319860256841</v>
      </c>
      <c r="M74" s="6">
        <f t="shared" si="15"/>
        <v>0.51588680139743159</v>
      </c>
      <c r="N74" s="3">
        <v>1282.6300000000001</v>
      </c>
      <c r="O74" s="3">
        <v>53613.73</v>
      </c>
      <c r="R74" s="10">
        <v>7593.14</v>
      </c>
      <c r="S74" s="10">
        <v>45558.84</v>
      </c>
      <c r="T74" s="10">
        <v>2565.25</v>
      </c>
      <c r="U74">
        <v>128.26</v>
      </c>
      <c r="V74" s="10">
        <v>111408.81</v>
      </c>
      <c r="W74" s="3" t="s">
        <v>121</v>
      </c>
      <c r="Y74" t="s">
        <v>121</v>
      </c>
      <c r="AE74" t="s">
        <v>121</v>
      </c>
      <c r="AF74" t="s">
        <v>121</v>
      </c>
    </row>
    <row r="75" spans="1:37">
      <c r="A75" t="s">
        <v>321</v>
      </c>
      <c r="B75" t="s">
        <v>530</v>
      </c>
      <c r="C75" t="s">
        <v>345</v>
      </c>
      <c r="D75" t="s">
        <v>206</v>
      </c>
      <c r="E75" s="7">
        <v>6387931</v>
      </c>
      <c r="F75" s="5">
        <f t="shared" si="16"/>
        <v>13670.175719998269</v>
      </c>
      <c r="G75" s="5">
        <f t="shared" si="17"/>
        <v>13670.18</v>
      </c>
      <c r="H75" s="7">
        <f t="shared" si="18"/>
        <v>27774.73</v>
      </c>
      <c r="I75" s="7">
        <f t="shared" si="19"/>
        <v>13874.59</v>
      </c>
      <c r="J75" s="7">
        <f t="shared" si="20"/>
        <v>55319.482679997207</v>
      </c>
      <c r="K75" s="7">
        <f t="shared" si="21"/>
        <v>55319.5</v>
      </c>
      <c r="L75" s="9">
        <v>0.50000007827260506</v>
      </c>
      <c r="M75" s="6">
        <f t="shared" si="15"/>
        <v>0.49999992172739494</v>
      </c>
      <c r="N75" s="3">
        <v>319.39999999999998</v>
      </c>
      <c r="O75" s="3">
        <v>13350.78</v>
      </c>
      <c r="R75" s="10">
        <v>1890.83</v>
      </c>
      <c r="S75" s="10">
        <v>11344.97</v>
      </c>
      <c r="T75">
        <v>638.79</v>
      </c>
      <c r="U75">
        <v>31.94</v>
      </c>
      <c r="V75" s="10">
        <v>27742.79</v>
      </c>
      <c r="W75" s="3" t="s">
        <v>121</v>
      </c>
      <c r="Y75" t="s">
        <v>121</v>
      </c>
      <c r="AE75" t="s">
        <v>121</v>
      </c>
      <c r="AF75" t="s">
        <v>121</v>
      </c>
    </row>
    <row r="76" spans="1:37">
      <c r="A76" t="s">
        <v>324</v>
      </c>
      <c r="B76" t="s">
        <v>533</v>
      </c>
      <c r="C76" t="s">
        <v>347</v>
      </c>
      <c r="D76" t="s">
        <v>206</v>
      </c>
      <c r="E76" s="7">
        <v>1014568</v>
      </c>
      <c r="F76" s="5">
        <f t="shared" si="16"/>
        <v>2299.9534212357189</v>
      </c>
      <c r="G76" s="5">
        <f t="shared" si="17"/>
        <v>2042.4</v>
      </c>
      <c r="H76" s="7">
        <f t="shared" si="18"/>
        <v>4149.6900000000005</v>
      </c>
      <c r="I76" s="7">
        <f t="shared" si="19"/>
        <v>2072.94</v>
      </c>
      <c r="J76" s="7">
        <f t="shared" si="20"/>
        <v>9307.2777247923277</v>
      </c>
      <c r="K76" s="7">
        <f t="shared" si="21"/>
        <v>8265.0300000000007</v>
      </c>
      <c r="L76" s="9">
        <v>0.47034402819722287</v>
      </c>
      <c r="M76" s="6">
        <f t="shared" si="15"/>
        <v>0.52965597180277713</v>
      </c>
      <c r="N76" s="3">
        <v>47.72</v>
      </c>
      <c r="O76" s="3">
        <v>1994.68</v>
      </c>
      <c r="R76">
        <v>282.5</v>
      </c>
      <c r="S76" s="10">
        <v>1695</v>
      </c>
      <c r="T76">
        <v>95.44</v>
      </c>
      <c r="U76">
        <v>4.7699999999999996</v>
      </c>
      <c r="V76" s="10">
        <v>4144.92</v>
      </c>
      <c r="W76" s="3" t="s">
        <v>121</v>
      </c>
      <c r="Y76" t="s">
        <v>121</v>
      </c>
      <c r="AE76" t="s">
        <v>121</v>
      </c>
      <c r="AF76" t="s">
        <v>121</v>
      </c>
    </row>
    <row r="77" spans="1:37">
      <c r="A77" t="s">
        <v>281</v>
      </c>
      <c r="B77" t="s">
        <v>544</v>
      </c>
      <c r="C77" t="s">
        <v>548</v>
      </c>
      <c r="D77" t="s">
        <v>206</v>
      </c>
      <c r="E77" s="5">
        <v>60000000</v>
      </c>
      <c r="F77" s="5">
        <f>SUM((G77*(1-L77))/(L77))</f>
        <v>141240.00000000003</v>
      </c>
      <c r="G77" s="3">
        <f>SUM(N77:O77)</f>
        <v>115560</v>
      </c>
      <c r="H77" s="5">
        <f>SUM(S77:T77)</f>
        <v>234792</v>
      </c>
      <c r="I77" s="5">
        <f>SUM(P77:R77,U77)</f>
        <v>117288</v>
      </c>
      <c r="J77" s="5">
        <f>SUM(M77)*((K77)/(L77))</f>
        <v>571560.00000000012</v>
      </c>
      <c r="K77" s="13">
        <f t="shared" si="21"/>
        <v>467640</v>
      </c>
      <c r="L77" s="6">
        <f t="shared" ref="L77:L85" si="22">SUM(1-M77)</f>
        <v>0.44999999999999996</v>
      </c>
      <c r="M77" s="6">
        <v>0.55000000000000004</v>
      </c>
      <c r="N77" s="7">
        <v>2700</v>
      </c>
      <c r="O77" s="7">
        <v>112860</v>
      </c>
      <c r="P77" s="7">
        <v>15984</v>
      </c>
      <c r="Q77" s="7">
        <v>95904</v>
      </c>
      <c r="R77" s="7">
        <v>5400</v>
      </c>
      <c r="S77">
        <v>270</v>
      </c>
      <c r="T77" s="7">
        <v>234522</v>
      </c>
      <c r="U77" t="s">
        <v>121</v>
      </c>
      <c r="V77" s="10"/>
      <c r="W77" s="3"/>
      <c r="Y77" s="10"/>
      <c r="AE77" s="10">
        <v>58335.07</v>
      </c>
      <c r="AF77" s="10">
        <v>44349.64</v>
      </c>
      <c r="AG77" s="10">
        <v>213963.49</v>
      </c>
      <c r="AI77" s="10">
        <v>16028.17</v>
      </c>
      <c r="AK77" s="10">
        <v>97413.57</v>
      </c>
    </row>
    <row r="78" spans="1:37">
      <c r="A78" t="s">
        <v>282</v>
      </c>
      <c r="B78" t="s">
        <v>545</v>
      </c>
      <c r="C78" t="s">
        <v>549</v>
      </c>
      <c r="D78" t="s">
        <v>206</v>
      </c>
      <c r="E78" s="5">
        <v>79232100</v>
      </c>
      <c r="F78" s="5">
        <f>SUM((G78*(1-L78))/(L78))</f>
        <v>203467.5</v>
      </c>
      <c r="G78" s="3">
        <f>SUM(N78:O78)</f>
        <v>135645</v>
      </c>
      <c r="H78" s="5">
        <f>SUM(S78:T78)</f>
        <v>275601</v>
      </c>
      <c r="I78" s="5">
        <f>SUM(P78:R78,U78)</f>
        <v>137674</v>
      </c>
      <c r="J78" s="5">
        <f>SUM(M78)*((K78)/(L78))</f>
        <v>823380</v>
      </c>
      <c r="K78" s="13">
        <f t="shared" si="21"/>
        <v>548920</v>
      </c>
      <c r="L78" s="6">
        <f t="shared" si="22"/>
        <v>0.4</v>
      </c>
      <c r="M78" s="6">
        <v>0.6</v>
      </c>
      <c r="N78" s="7">
        <v>3169</v>
      </c>
      <c r="O78" s="7">
        <v>132476</v>
      </c>
      <c r="P78" s="7">
        <v>18762</v>
      </c>
      <c r="Q78" s="7">
        <v>112573</v>
      </c>
      <c r="R78" s="7">
        <v>6339</v>
      </c>
      <c r="S78">
        <v>317</v>
      </c>
      <c r="T78" s="7">
        <v>275284</v>
      </c>
      <c r="U78" t="s">
        <v>121</v>
      </c>
    </row>
    <row r="79" spans="1:37">
      <c r="A79" t="s">
        <v>283</v>
      </c>
      <c r="B79" t="s">
        <v>546</v>
      </c>
      <c r="C79" t="s">
        <v>288</v>
      </c>
      <c r="D79" t="s">
        <v>206</v>
      </c>
      <c r="E79" s="5">
        <v>40467775</v>
      </c>
      <c r="F79" s="5">
        <f>SUM((G79*(1-L79))/(L79))</f>
        <v>112580</v>
      </c>
      <c r="G79" s="3">
        <f>SUM(N79:O79)</f>
        <v>60620</v>
      </c>
      <c r="H79" s="5">
        <f>SUM(S79:T79)</f>
        <v>123168</v>
      </c>
      <c r="I79" s="5">
        <f>SUM(P79:R79,U79)</f>
        <v>89855</v>
      </c>
      <c r="J79" s="5">
        <f>SUM(M79)*((K79)/(L79))</f>
        <v>508194.14285714296</v>
      </c>
      <c r="K79" s="13">
        <f t="shared" si="21"/>
        <v>273643</v>
      </c>
      <c r="L79" s="6">
        <f t="shared" si="22"/>
        <v>0.35</v>
      </c>
      <c r="M79" s="6">
        <v>0.65</v>
      </c>
      <c r="N79" s="7">
        <v>1416</v>
      </c>
      <c r="O79" s="7">
        <v>59204</v>
      </c>
      <c r="P79" s="7">
        <v>8385</v>
      </c>
      <c r="Q79" s="7">
        <v>50310</v>
      </c>
      <c r="R79" s="7">
        <v>2833</v>
      </c>
      <c r="S79">
        <v>142</v>
      </c>
      <c r="T79" s="7">
        <v>123026</v>
      </c>
      <c r="U79" s="7">
        <v>28327</v>
      </c>
    </row>
    <row r="80" spans="1:37">
      <c r="A80" t="s">
        <v>284</v>
      </c>
      <c r="B80" t="s">
        <v>547</v>
      </c>
      <c r="C80" t="s">
        <v>550</v>
      </c>
      <c r="D80" t="s">
        <v>206</v>
      </c>
      <c r="E80" s="5">
        <v>56822400</v>
      </c>
      <c r="F80" s="5">
        <f>SUM((G80*(1-L80))/(L80))</f>
        <v>194560.00000000003</v>
      </c>
      <c r="G80" s="3">
        <f>SUM(N80:O80)</f>
        <v>48640</v>
      </c>
      <c r="H80" s="5">
        <f>SUM(S80:T80)</f>
        <v>98826</v>
      </c>
      <c r="I80" s="5">
        <f>SUM(P80:R80,U80)</f>
        <v>49368</v>
      </c>
      <c r="J80" s="5">
        <f>SUM(M80)*((K80)/(L80))</f>
        <v>787336.00000000023</v>
      </c>
      <c r="K80" s="13">
        <f t="shared" si="21"/>
        <v>196834</v>
      </c>
      <c r="L80" s="6">
        <f t="shared" si="22"/>
        <v>0.19999999999999996</v>
      </c>
      <c r="M80" s="6">
        <v>0.8</v>
      </c>
      <c r="N80" s="7">
        <v>1136</v>
      </c>
      <c r="O80" s="7">
        <v>47504</v>
      </c>
      <c r="P80" s="7">
        <v>6728</v>
      </c>
      <c r="Q80" s="7">
        <v>40367</v>
      </c>
      <c r="R80" s="7">
        <v>2273</v>
      </c>
      <c r="S80">
        <v>114</v>
      </c>
      <c r="T80" s="7">
        <v>98712</v>
      </c>
      <c r="U80" t="s">
        <v>121</v>
      </c>
    </row>
    <row r="81" spans="1:36">
      <c r="A81" t="s">
        <v>131</v>
      </c>
      <c r="B81" t="s">
        <v>446</v>
      </c>
      <c r="C81" t="s">
        <v>203</v>
      </c>
      <c r="D81" t="s">
        <v>118</v>
      </c>
      <c r="E81" s="5">
        <v>5118575</v>
      </c>
      <c r="F81" s="5">
        <f t="shared" ref="F81:F119" si="23">SUM((1-L81)*G81)/L81</f>
        <v>19719.000000000004</v>
      </c>
      <c r="G81" s="5">
        <f t="shared" ref="G81:G119" si="24">SUM(N81+O81)</f>
        <v>2191</v>
      </c>
      <c r="H81" s="7">
        <f t="shared" ref="H81:H119" si="25">SUM(U81:W81)</f>
        <v>3784</v>
      </c>
      <c r="I81" s="7">
        <f t="shared" ref="I81:I119" si="26">SUM(P81:T81,X81:AK81)</f>
        <v>0</v>
      </c>
      <c r="J81" s="7">
        <f t="shared" ref="J81:J119" si="27">SUM(M81)*((G81+H81+I81)/L81)</f>
        <v>53775.000000000015</v>
      </c>
      <c r="K81" s="7">
        <f t="shared" si="21"/>
        <v>5975</v>
      </c>
      <c r="L81" s="9">
        <f t="shared" si="22"/>
        <v>9.9999999999999978E-2</v>
      </c>
      <c r="M81" s="6">
        <v>0.9</v>
      </c>
      <c r="N81">
        <v>51</v>
      </c>
      <c r="O81" s="7">
        <v>2140</v>
      </c>
      <c r="P81" t="s">
        <v>121</v>
      </c>
      <c r="Q81" t="s">
        <v>121</v>
      </c>
      <c r="R81" t="s">
        <v>121</v>
      </c>
      <c r="S81" t="s">
        <v>121</v>
      </c>
      <c r="T81" t="s">
        <v>121</v>
      </c>
      <c r="U81" t="s">
        <v>121</v>
      </c>
      <c r="V81" t="s">
        <v>121</v>
      </c>
      <c r="W81" s="7">
        <v>3784</v>
      </c>
      <c r="X81" t="s">
        <v>121</v>
      </c>
      <c r="Y81" t="s">
        <v>121</v>
      </c>
      <c r="Z81" t="s">
        <v>121</v>
      </c>
      <c r="AA81" t="s">
        <v>121</v>
      </c>
      <c r="AB81" t="s">
        <v>121</v>
      </c>
      <c r="AC81" t="s">
        <v>121</v>
      </c>
      <c r="AD81" t="s">
        <v>121</v>
      </c>
      <c r="AE81" t="s">
        <v>121</v>
      </c>
      <c r="AF81" t="s">
        <v>121</v>
      </c>
    </row>
    <row r="82" spans="1:36">
      <c r="A82" t="s">
        <v>132</v>
      </c>
      <c r="B82" t="s">
        <v>447</v>
      </c>
      <c r="C82" t="s">
        <v>204</v>
      </c>
      <c r="D82" t="s">
        <v>118</v>
      </c>
      <c r="E82" s="5">
        <v>3800000</v>
      </c>
      <c r="F82" s="5">
        <f t="shared" si="23"/>
        <v>13826.666666666664</v>
      </c>
      <c r="G82" s="5">
        <f t="shared" si="24"/>
        <v>2440</v>
      </c>
      <c r="H82" s="7">
        <f t="shared" si="25"/>
        <v>4214</v>
      </c>
      <c r="I82" s="7">
        <f t="shared" si="26"/>
        <v>2877</v>
      </c>
      <c r="J82" s="7">
        <f t="shared" si="27"/>
        <v>54008.999999999993</v>
      </c>
      <c r="K82" s="7">
        <f t="shared" si="21"/>
        <v>9531</v>
      </c>
      <c r="L82" s="9">
        <f t="shared" si="22"/>
        <v>0.15000000000000002</v>
      </c>
      <c r="M82" s="6">
        <v>0.85</v>
      </c>
      <c r="N82">
        <v>57</v>
      </c>
      <c r="O82" s="7">
        <v>2383</v>
      </c>
      <c r="P82" t="s">
        <v>121</v>
      </c>
      <c r="Q82" t="s">
        <v>121</v>
      </c>
      <c r="R82" t="s">
        <v>121</v>
      </c>
      <c r="S82" t="s">
        <v>121</v>
      </c>
      <c r="T82" t="s">
        <v>121</v>
      </c>
      <c r="U82" t="s">
        <v>121</v>
      </c>
      <c r="V82" t="s">
        <v>121</v>
      </c>
      <c r="W82" s="7">
        <v>4214</v>
      </c>
      <c r="X82" t="s">
        <v>121</v>
      </c>
      <c r="Y82" t="s">
        <v>121</v>
      </c>
      <c r="Z82" t="s">
        <v>121</v>
      </c>
      <c r="AA82" t="s">
        <v>121</v>
      </c>
      <c r="AB82" t="s">
        <v>121</v>
      </c>
      <c r="AC82" t="s">
        <v>121</v>
      </c>
      <c r="AD82" t="s">
        <v>121</v>
      </c>
      <c r="AE82" t="s">
        <v>121</v>
      </c>
      <c r="AF82" t="s">
        <v>121</v>
      </c>
      <c r="AJ82" s="7">
        <v>2877</v>
      </c>
    </row>
    <row r="83" spans="1:36">
      <c r="A83" t="s">
        <v>154</v>
      </c>
      <c r="B83" t="s">
        <v>473</v>
      </c>
      <c r="C83" t="s">
        <v>239</v>
      </c>
      <c r="D83" t="s">
        <v>247</v>
      </c>
      <c r="E83" s="5">
        <v>8796900</v>
      </c>
      <c r="F83" s="5">
        <f t="shared" si="23"/>
        <v>32005.333333333328</v>
      </c>
      <c r="G83" s="5">
        <f t="shared" si="24"/>
        <v>5648</v>
      </c>
      <c r="H83" s="7">
        <f t="shared" si="25"/>
        <v>9756</v>
      </c>
      <c r="I83" s="7">
        <f t="shared" si="26"/>
        <v>10556</v>
      </c>
      <c r="J83" s="7">
        <f t="shared" si="27"/>
        <v>147106.66666666663</v>
      </c>
      <c r="K83" s="7">
        <f t="shared" si="21"/>
        <v>25960</v>
      </c>
      <c r="L83" s="9">
        <f t="shared" si="22"/>
        <v>0.15000000000000002</v>
      </c>
      <c r="M83" s="6">
        <v>0.85</v>
      </c>
      <c r="N83">
        <v>132</v>
      </c>
      <c r="O83" s="7">
        <v>5516</v>
      </c>
      <c r="P83" t="s">
        <v>121</v>
      </c>
      <c r="Q83" t="s">
        <v>121</v>
      </c>
      <c r="R83" t="s">
        <v>121</v>
      </c>
      <c r="S83" t="s">
        <v>121</v>
      </c>
      <c r="T83" t="s">
        <v>121</v>
      </c>
      <c r="U83" t="s">
        <v>121</v>
      </c>
      <c r="V83" t="s">
        <v>121</v>
      </c>
      <c r="W83" s="7">
        <v>9756</v>
      </c>
      <c r="X83" t="s">
        <v>121</v>
      </c>
      <c r="Y83" t="s">
        <v>121</v>
      </c>
      <c r="Z83" t="s">
        <v>121</v>
      </c>
      <c r="AA83" s="7">
        <v>2639</v>
      </c>
      <c r="AB83" t="s">
        <v>121</v>
      </c>
      <c r="AC83" t="s">
        <v>121</v>
      </c>
      <c r="AD83" t="s">
        <v>121</v>
      </c>
      <c r="AE83" t="s">
        <v>121</v>
      </c>
      <c r="AF83" t="s">
        <v>121</v>
      </c>
      <c r="AI83" s="7">
        <v>7917</v>
      </c>
    </row>
    <row r="84" spans="1:36">
      <c r="A84" t="s">
        <v>155</v>
      </c>
      <c r="B84" t="s">
        <v>474</v>
      </c>
      <c r="C84" t="s">
        <v>240</v>
      </c>
      <c r="D84" t="s">
        <v>247</v>
      </c>
      <c r="E84" s="5">
        <v>8813900</v>
      </c>
      <c r="F84" s="5">
        <f t="shared" si="23"/>
        <v>32061.999999999996</v>
      </c>
      <c r="G84" s="5">
        <f t="shared" si="24"/>
        <v>5658</v>
      </c>
      <c r="H84" s="7">
        <f t="shared" si="25"/>
        <v>9774</v>
      </c>
      <c r="I84" s="7">
        <f t="shared" si="26"/>
        <v>10577</v>
      </c>
      <c r="J84" s="7">
        <f t="shared" si="27"/>
        <v>147384.33333333331</v>
      </c>
      <c r="K84" s="7">
        <f t="shared" si="21"/>
        <v>26009</v>
      </c>
      <c r="L84" s="9">
        <f t="shared" si="22"/>
        <v>0.15000000000000002</v>
      </c>
      <c r="M84" s="6">
        <v>0.85</v>
      </c>
      <c r="N84">
        <v>132</v>
      </c>
      <c r="O84" s="7">
        <v>5526</v>
      </c>
      <c r="P84" t="s">
        <v>121</v>
      </c>
      <c r="Q84" t="s">
        <v>121</v>
      </c>
      <c r="R84" t="s">
        <v>121</v>
      </c>
      <c r="S84" t="s">
        <v>121</v>
      </c>
      <c r="T84" t="s">
        <v>121</v>
      </c>
      <c r="U84" t="s">
        <v>121</v>
      </c>
      <c r="V84" t="s">
        <v>121</v>
      </c>
      <c r="W84" s="7">
        <v>9774</v>
      </c>
      <c r="X84" t="s">
        <v>121</v>
      </c>
      <c r="Y84" t="s">
        <v>121</v>
      </c>
      <c r="Z84" t="s">
        <v>121</v>
      </c>
      <c r="AA84" s="7">
        <v>2644</v>
      </c>
      <c r="AB84" t="s">
        <v>121</v>
      </c>
      <c r="AC84" t="s">
        <v>121</v>
      </c>
      <c r="AD84" t="s">
        <v>121</v>
      </c>
      <c r="AE84" t="s">
        <v>121</v>
      </c>
      <c r="AF84" t="s">
        <v>121</v>
      </c>
      <c r="AI84" s="7">
        <v>7933</v>
      </c>
    </row>
    <row r="85" spans="1:36">
      <c r="A85" t="s">
        <v>243</v>
      </c>
      <c r="B85" t="s">
        <v>477</v>
      </c>
      <c r="C85" t="s">
        <v>246</v>
      </c>
      <c r="D85" t="s">
        <v>247</v>
      </c>
      <c r="E85" s="5">
        <v>11100237</v>
      </c>
      <c r="F85" s="5">
        <f t="shared" si="23"/>
        <v>26131.111111111117</v>
      </c>
      <c r="G85" s="5">
        <f t="shared" si="24"/>
        <v>21380</v>
      </c>
      <c r="H85" s="7">
        <f t="shared" si="25"/>
        <v>36930</v>
      </c>
      <c r="I85" s="7">
        <f t="shared" si="26"/>
        <v>39961</v>
      </c>
      <c r="J85" s="7">
        <f t="shared" si="27"/>
        <v>120109.00000000003</v>
      </c>
      <c r="K85" s="7">
        <f t="shared" si="21"/>
        <v>98271</v>
      </c>
      <c r="L85" s="9">
        <f t="shared" si="22"/>
        <v>0.44999999999999996</v>
      </c>
      <c r="M85" s="6">
        <v>0.55000000000000004</v>
      </c>
      <c r="N85">
        <v>500</v>
      </c>
      <c r="O85" s="7">
        <v>20880</v>
      </c>
      <c r="P85" t="s">
        <v>121</v>
      </c>
      <c r="Q85" t="s">
        <v>121</v>
      </c>
      <c r="R85" t="s">
        <v>121</v>
      </c>
      <c r="S85" t="s">
        <v>121</v>
      </c>
      <c r="T85" t="s">
        <v>121</v>
      </c>
      <c r="U85" t="s">
        <v>121</v>
      </c>
      <c r="V85" t="s">
        <v>121</v>
      </c>
      <c r="W85" s="7">
        <v>36930</v>
      </c>
      <c r="X85" t="s">
        <v>121</v>
      </c>
      <c r="Y85" t="s">
        <v>121</v>
      </c>
      <c r="Z85" t="s">
        <v>121</v>
      </c>
      <c r="AA85" s="7">
        <v>9990</v>
      </c>
      <c r="AB85" t="s">
        <v>121</v>
      </c>
      <c r="AC85" t="s">
        <v>121</v>
      </c>
      <c r="AD85" t="s">
        <v>121</v>
      </c>
      <c r="AE85" t="s">
        <v>121</v>
      </c>
      <c r="AF85" t="s">
        <v>121</v>
      </c>
      <c r="AI85" s="7">
        <v>29971</v>
      </c>
    </row>
    <row r="86" spans="1:36">
      <c r="A86" t="s">
        <v>294</v>
      </c>
      <c r="B86" t="s">
        <v>515</v>
      </c>
      <c r="C86" t="s">
        <v>334</v>
      </c>
      <c r="D86" t="s">
        <v>247</v>
      </c>
      <c r="E86" s="7">
        <v>13770497</v>
      </c>
      <c r="F86" s="5">
        <f t="shared" si="23"/>
        <v>47504.300459110367</v>
      </c>
      <c r="G86" s="5">
        <f t="shared" si="24"/>
        <v>11433.43</v>
      </c>
      <c r="H86" s="7">
        <f t="shared" si="25"/>
        <v>19749.919999999998</v>
      </c>
      <c r="I86" s="7">
        <f t="shared" si="26"/>
        <v>16028.17</v>
      </c>
      <c r="J86" s="7">
        <f t="shared" si="27"/>
        <v>196157.25387843352</v>
      </c>
      <c r="K86" s="7">
        <f t="shared" si="21"/>
        <v>47211.519999999997</v>
      </c>
      <c r="L86" s="9">
        <v>0.19399169107694517</v>
      </c>
      <c r="M86" s="6">
        <f>SUM(1-L86)</f>
        <v>0.80600830892305486</v>
      </c>
      <c r="N86" s="3">
        <v>267.14</v>
      </c>
      <c r="O86" s="3">
        <v>11166.29</v>
      </c>
      <c r="R86" t="s">
        <v>121</v>
      </c>
      <c r="S86" t="s">
        <v>121</v>
      </c>
      <c r="T86" t="s">
        <v>121</v>
      </c>
      <c r="U86" t="s">
        <v>121</v>
      </c>
      <c r="V86" t="s">
        <v>121</v>
      </c>
      <c r="W86" s="3">
        <v>19749.919999999998</v>
      </c>
      <c r="Y86" t="s">
        <v>121</v>
      </c>
      <c r="AE86" t="s">
        <v>121</v>
      </c>
      <c r="AF86" t="s">
        <v>121</v>
      </c>
      <c r="AI86" s="10">
        <v>16028.17</v>
      </c>
    </row>
    <row r="87" spans="1:36">
      <c r="A87" t="s">
        <v>120</v>
      </c>
      <c r="B87" t="s">
        <v>436</v>
      </c>
      <c r="C87" t="s">
        <v>193</v>
      </c>
      <c r="D87" t="s">
        <v>116</v>
      </c>
      <c r="E87" s="5">
        <v>36411225</v>
      </c>
      <c r="F87" s="5">
        <f t="shared" si="23"/>
        <v>109087.99999999997</v>
      </c>
      <c r="G87" s="5">
        <f t="shared" si="24"/>
        <v>46752</v>
      </c>
      <c r="H87" s="7">
        <f t="shared" si="25"/>
        <v>80759</v>
      </c>
      <c r="I87" s="7">
        <f t="shared" si="26"/>
        <v>54879</v>
      </c>
      <c r="J87" s="7">
        <f t="shared" si="27"/>
        <v>425576.66666666663</v>
      </c>
      <c r="K87" s="7">
        <f t="shared" si="21"/>
        <v>182390</v>
      </c>
      <c r="L87" s="9">
        <f>SUM(1-M87)</f>
        <v>0.30000000000000004</v>
      </c>
      <c r="M87" s="6">
        <v>0.7</v>
      </c>
      <c r="N87" s="7">
        <v>1092</v>
      </c>
      <c r="O87" s="7">
        <v>45660</v>
      </c>
      <c r="P87" s="7">
        <v>13108</v>
      </c>
      <c r="Q87" t="s">
        <v>121</v>
      </c>
      <c r="R87" t="s">
        <v>121</v>
      </c>
      <c r="S87" t="s">
        <v>121</v>
      </c>
      <c r="T87" t="s">
        <v>121</v>
      </c>
      <c r="U87" t="s">
        <v>121</v>
      </c>
      <c r="V87" t="s">
        <v>121</v>
      </c>
      <c r="W87" s="7">
        <v>80759</v>
      </c>
      <c r="X87" t="s">
        <v>121</v>
      </c>
      <c r="Y87" t="s">
        <v>121</v>
      </c>
      <c r="Z87" t="s">
        <v>121</v>
      </c>
      <c r="AA87" t="s">
        <v>121</v>
      </c>
      <c r="AB87" t="s">
        <v>121</v>
      </c>
      <c r="AC87" t="s">
        <v>121</v>
      </c>
      <c r="AD87" t="s">
        <v>121</v>
      </c>
      <c r="AE87" t="s">
        <v>121</v>
      </c>
      <c r="AF87" t="s">
        <v>121</v>
      </c>
      <c r="AH87" s="7">
        <v>41771</v>
      </c>
    </row>
    <row r="88" spans="1:36">
      <c r="A88" t="s">
        <v>122</v>
      </c>
      <c r="B88" t="s">
        <v>437</v>
      </c>
      <c r="C88" t="s">
        <v>194</v>
      </c>
      <c r="D88" t="s">
        <v>116</v>
      </c>
      <c r="E88" s="5">
        <v>11621300</v>
      </c>
      <c r="F88" s="5">
        <f t="shared" si="23"/>
        <v>32331.000000000004</v>
      </c>
      <c r="G88" s="5">
        <f t="shared" si="24"/>
        <v>17409</v>
      </c>
      <c r="H88" s="7">
        <f t="shared" si="25"/>
        <v>30072</v>
      </c>
      <c r="I88" s="7">
        <f t="shared" si="26"/>
        <v>20435</v>
      </c>
      <c r="J88" s="7">
        <f t="shared" si="27"/>
        <v>126129.71428571429</v>
      </c>
      <c r="K88" s="7">
        <f t="shared" si="21"/>
        <v>67916</v>
      </c>
      <c r="L88" s="9">
        <f>SUM(1-M88)</f>
        <v>0.35</v>
      </c>
      <c r="M88" s="6">
        <v>0.65</v>
      </c>
      <c r="N88">
        <v>407</v>
      </c>
      <c r="O88" s="7">
        <v>17002</v>
      </c>
      <c r="P88" s="7">
        <v>4881</v>
      </c>
      <c r="Q88" t="s">
        <v>121</v>
      </c>
      <c r="R88" t="s">
        <v>121</v>
      </c>
      <c r="S88" t="s">
        <v>121</v>
      </c>
      <c r="T88" t="s">
        <v>121</v>
      </c>
      <c r="U88" t="s">
        <v>121</v>
      </c>
      <c r="V88" t="s">
        <v>121</v>
      </c>
      <c r="W88" s="7">
        <v>30072</v>
      </c>
      <c r="X88" t="s">
        <v>121</v>
      </c>
      <c r="Y88" t="s">
        <v>121</v>
      </c>
      <c r="Z88" t="s">
        <v>121</v>
      </c>
      <c r="AA88" t="s">
        <v>121</v>
      </c>
      <c r="AB88" t="s">
        <v>121</v>
      </c>
      <c r="AC88" t="s">
        <v>121</v>
      </c>
      <c r="AD88" t="s">
        <v>121</v>
      </c>
      <c r="AE88" t="s">
        <v>121</v>
      </c>
      <c r="AF88" t="s">
        <v>121</v>
      </c>
      <c r="AH88" s="7">
        <v>15554</v>
      </c>
    </row>
    <row r="89" spans="1:36">
      <c r="A89" t="s">
        <v>123</v>
      </c>
      <c r="B89" t="s">
        <v>438</v>
      </c>
      <c r="C89" t="s">
        <v>195</v>
      </c>
      <c r="D89" t="s">
        <v>116</v>
      </c>
      <c r="E89" s="5">
        <v>14000000</v>
      </c>
      <c r="F89" s="5">
        <f t="shared" si="23"/>
        <v>41943.999999999993</v>
      </c>
      <c r="G89" s="5">
        <f t="shared" si="24"/>
        <v>17976</v>
      </c>
      <c r="H89" s="7">
        <f t="shared" si="25"/>
        <v>31051</v>
      </c>
      <c r="I89" s="7">
        <f t="shared" si="26"/>
        <v>21101</v>
      </c>
      <c r="J89" s="7">
        <f t="shared" si="27"/>
        <v>163631.99999999997</v>
      </c>
      <c r="K89" s="7">
        <f t="shared" si="21"/>
        <v>70128</v>
      </c>
      <c r="L89" s="9">
        <f>SUM(1-M89)</f>
        <v>0.30000000000000004</v>
      </c>
      <c r="M89" s="6">
        <v>0.7</v>
      </c>
      <c r="N89">
        <v>420</v>
      </c>
      <c r="O89" s="7">
        <v>17556</v>
      </c>
      <c r="P89" s="7">
        <v>5040</v>
      </c>
      <c r="Q89" t="s">
        <v>121</v>
      </c>
      <c r="R89" t="s">
        <v>121</v>
      </c>
      <c r="S89" t="s">
        <v>121</v>
      </c>
      <c r="T89" t="s">
        <v>121</v>
      </c>
      <c r="U89" t="s">
        <v>121</v>
      </c>
      <c r="V89" t="s">
        <v>121</v>
      </c>
      <c r="W89" s="7">
        <v>31051</v>
      </c>
      <c r="X89" t="s">
        <v>121</v>
      </c>
      <c r="Y89" t="s">
        <v>121</v>
      </c>
      <c r="Z89" t="s">
        <v>121</v>
      </c>
      <c r="AA89" t="s">
        <v>121</v>
      </c>
      <c r="AB89" t="s">
        <v>121</v>
      </c>
      <c r="AC89" t="s">
        <v>121</v>
      </c>
      <c r="AD89" t="s">
        <v>121</v>
      </c>
      <c r="AE89" t="s">
        <v>121</v>
      </c>
      <c r="AF89" t="s">
        <v>121</v>
      </c>
      <c r="AH89" s="7">
        <v>16061</v>
      </c>
    </row>
    <row r="90" spans="1:36">
      <c r="A90" t="s">
        <v>130</v>
      </c>
      <c r="B90" t="s">
        <v>443</v>
      </c>
      <c r="C90" t="s">
        <v>336</v>
      </c>
      <c r="D90" t="s">
        <v>199</v>
      </c>
      <c r="E90" s="5">
        <v>10220300</v>
      </c>
      <c r="F90" s="5">
        <f t="shared" si="23"/>
        <v>39366.000000000007</v>
      </c>
      <c r="G90" s="5">
        <f t="shared" si="24"/>
        <v>4374</v>
      </c>
      <c r="H90" s="7">
        <f t="shared" si="25"/>
        <v>7556</v>
      </c>
      <c r="I90" s="7">
        <f t="shared" si="26"/>
        <v>1782</v>
      </c>
      <c r="J90" s="7">
        <f t="shared" si="27"/>
        <v>123408.00000000003</v>
      </c>
      <c r="K90" s="7">
        <f t="shared" si="21"/>
        <v>13712</v>
      </c>
      <c r="L90" s="9">
        <f>SUM(1-M90)</f>
        <v>9.9999999999999978E-2</v>
      </c>
      <c r="M90" s="6">
        <v>0.9</v>
      </c>
      <c r="N90">
        <v>102</v>
      </c>
      <c r="O90" s="7">
        <v>4272</v>
      </c>
      <c r="P90" t="s">
        <v>121</v>
      </c>
      <c r="Q90" t="s">
        <v>121</v>
      </c>
      <c r="R90" t="s">
        <v>121</v>
      </c>
      <c r="S90" t="s">
        <v>121</v>
      </c>
      <c r="T90" t="s">
        <v>121</v>
      </c>
      <c r="U90" t="s">
        <v>121</v>
      </c>
      <c r="V90" t="s">
        <v>121</v>
      </c>
      <c r="W90" s="7">
        <v>7556</v>
      </c>
      <c r="X90" t="s">
        <v>121</v>
      </c>
      <c r="Y90" s="7">
        <v>1782</v>
      </c>
      <c r="Z90" t="s">
        <v>121</v>
      </c>
      <c r="AA90" t="s">
        <v>121</v>
      </c>
      <c r="AB90" t="s">
        <v>121</v>
      </c>
      <c r="AC90" t="s">
        <v>121</v>
      </c>
      <c r="AD90" t="s">
        <v>121</v>
      </c>
      <c r="AE90" t="s">
        <v>121</v>
      </c>
      <c r="AF90" t="s">
        <v>121</v>
      </c>
    </row>
    <row r="91" spans="1:36">
      <c r="A91" t="s">
        <v>201</v>
      </c>
      <c r="B91" t="s">
        <v>444</v>
      </c>
      <c r="C91" t="s">
        <v>200</v>
      </c>
      <c r="D91" t="s">
        <v>199</v>
      </c>
      <c r="E91" s="5">
        <v>9900000</v>
      </c>
      <c r="F91" s="5">
        <f t="shared" si="23"/>
        <v>29661.333333333328</v>
      </c>
      <c r="G91" s="5">
        <f t="shared" si="24"/>
        <v>12712</v>
      </c>
      <c r="H91" s="7">
        <f t="shared" si="25"/>
        <v>21958</v>
      </c>
      <c r="I91" s="7">
        <f t="shared" si="26"/>
        <v>5180</v>
      </c>
      <c r="J91" s="7">
        <f t="shared" si="27"/>
        <v>92983.333333333314</v>
      </c>
      <c r="K91" s="7">
        <f t="shared" si="21"/>
        <v>39850</v>
      </c>
      <c r="L91" s="9">
        <f>SUM(1-M91)</f>
        <v>0.30000000000000004</v>
      </c>
      <c r="M91" s="6">
        <v>0.7</v>
      </c>
      <c r="N91">
        <v>297</v>
      </c>
      <c r="O91" s="7">
        <v>12415</v>
      </c>
      <c r="P91" t="s">
        <v>121</v>
      </c>
      <c r="Q91" t="s">
        <v>121</v>
      </c>
      <c r="R91" t="s">
        <v>121</v>
      </c>
      <c r="S91" t="s">
        <v>121</v>
      </c>
      <c r="T91" t="s">
        <v>121</v>
      </c>
      <c r="U91" t="s">
        <v>121</v>
      </c>
      <c r="V91" t="s">
        <v>121</v>
      </c>
      <c r="W91" s="7">
        <v>21958</v>
      </c>
      <c r="X91" t="s">
        <v>121</v>
      </c>
      <c r="Y91" s="7">
        <v>5180</v>
      </c>
      <c r="Z91" t="s">
        <v>121</v>
      </c>
      <c r="AA91" t="s">
        <v>121</v>
      </c>
      <c r="AB91" t="s">
        <v>121</v>
      </c>
      <c r="AC91" t="s">
        <v>121</v>
      </c>
      <c r="AD91" t="s">
        <v>121</v>
      </c>
      <c r="AE91" t="s">
        <v>121</v>
      </c>
      <c r="AF91" t="s">
        <v>121</v>
      </c>
    </row>
    <row r="92" spans="1:36">
      <c r="A92" t="s">
        <v>297</v>
      </c>
      <c r="B92" t="s">
        <v>443</v>
      </c>
      <c r="C92" t="s">
        <v>336</v>
      </c>
      <c r="D92" t="s">
        <v>199</v>
      </c>
      <c r="E92" s="7">
        <v>30430187</v>
      </c>
      <c r="F92" s="5">
        <f t="shared" si="23"/>
        <v>37409.878844773302</v>
      </c>
      <c r="G92" s="5">
        <f t="shared" si="24"/>
        <v>92831.32</v>
      </c>
      <c r="H92" s="7">
        <f t="shared" si="25"/>
        <v>160355.26</v>
      </c>
      <c r="I92" s="7">
        <f t="shared" si="26"/>
        <v>37826.589999999997</v>
      </c>
      <c r="J92" s="7">
        <f t="shared" si="27"/>
        <v>117274.7240040691</v>
      </c>
      <c r="K92" s="7">
        <f t="shared" si="21"/>
        <v>291013.17000000004</v>
      </c>
      <c r="L92" s="9">
        <v>0.71276463072671881</v>
      </c>
      <c r="M92" s="6">
        <f>SUM(1-L92)</f>
        <v>0.28723536927328119</v>
      </c>
      <c r="N92" s="3">
        <v>2168.96</v>
      </c>
      <c r="O92" s="3">
        <v>90662.36</v>
      </c>
      <c r="R92" t="s">
        <v>121</v>
      </c>
      <c r="S92" t="s">
        <v>121</v>
      </c>
      <c r="T92" t="s">
        <v>121</v>
      </c>
      <c r="U92" t="s">
        <v>121</v>
      </c>
      <c r="V92" t="s">
        <v>121</v>
      </c>
      <c r="W92" s="3">
        <v>160355.26</v>
      </c>
      <c r="Y92" s="10">
        <v>37826.589999999997</v>
      </c>
      <c r="AE92" t="s">
        <v>121</v>
      </c>
      <c r="AF92" t="s">
        <v>121</v>
      </c>
    </row>
    <row r="93" spans="1:36">
      <c r="A93" t="s">
        <v>314</v>
      </c>
      <c r="B93" t="s">
        <v>444</v>
      </c>
      <c r="C93" t="s">
        <v>342</v>
      </c>
      <c r="D93" t="s">
        <v>199</v>
      </c>
      <c r="E93" s="7">
        <v>908154</v>
      </c>
      <c r="F93" s="5">
        <f t="shared" si="23"/>
        <v>2865.2490117090133</v>
      </c>
      <c r="G93" s="5">
        <f t="shared" si="24"/>
        <v>1021.66</v>
      </c>
      <c r="H93" s="7">
        <f t="shared" si="25"/>
        <v>1764.8</v>
      </c>
      <c r="I93" s="7">
        <f t="shared" si="26"/>
        <v>416.3</v>
      </c>
      <c r="J93" s="7">
        <f t="shared" si="27"/>
        <v>8982.1515227582186</v>
      </c>
      <c r="K93" s="7">
        <f t="shared" si="21"/>
        <v>3202.76</v>
      </c>
      <c r="L93" s="9">
        <v>0.26284638948900735</v>
      </c>
      <c r="M93" s="6">
        <f>SUM(1-L93)</f>
        <v>0.7371536105109926</v>
      </c>
      <c r="N93" s="3">
        <v>23.87</v>
      </c>
      <c r="O93" s="3">
        <v>997.79</v>
      </c>
      <c r="R93" t="s">
        <v>121</v>
      </c>
      <c r="S93" t="s">
        <v>121</v>
      </c>
      <c r="T93" t="s">
        <v>121</v>
      </c>
      <c r="U93" t="s">
        <v>121</v>
      </c>
      <c r="V93" t="s">
        <v>121</v>
      </c>
      <c r="W93" s="3">
        <v>1764.8</v>
      </c>
      <c r="Y93">
        <v>416.3</v>
      </c>
      <c r="AE93" t="s">
        <v>121</v>
      </c>
      <c r="AF93" t="s">
        <v>121</v>
      </c>
    </row>
    <row r="94" spans="1:36">
      <c r="A94" t="s">
        <v>316</v>
      </c>
      <c r="B94" t="s">
        <v>526</v>
      </c>
      <c r="C94" t="s">
        <v>343</v>
      </c>
      <c r="D94" t="s">
        <v>199</v>
      </c>
      <c r="E94" s="7">
        <v>198532937</v>
      </c>
      <c r="F94" s="5">
        <f t="shared" si="23"/>
        <v>471033.61454118759</v>
      </c>
      <c r="G94" s="5">
        <f t="shared" si="24"/>
        <v>378687.37000000005</v>
      </c>
      <c r="H94" s="7">
        <f t="shared" si="25"/>
        <v>654138.18000000005</v>
      </c>
      <c r="I94" s="7">
        <f t="shared" si="26"/>
        <v>154306.25</v>
      </c>
      <c r="J94" s="7">
        <f t="shared" si="27"/>
        <v>1476624.3265276744</v>
      </c>
      <c r="K94" s="7">
        <f t="shared" si="21"/>
        <v>1187131.8</v>
      </c>
      <c r="L94" s="9">
        <v>0.44566084266410666</v>
      </c>
      <c r="M94" s="6">
        <f>SUM(1-L94)</f>
        <v>0.55433915733589334</v>
      </c>
      <c r="N94" s="3">
        <v>8847.84</v>
      </c>
      <c r="O94" s="3">
        <v>369839.53</v>
      </c>
      <c r="R94" t="s">
        <v>121</v>
      </c>
      <c r="S94" t="s">
        <v>121</v>
      </c>
      <c r="T94" t="s">
        <v>121</v>
      </c>
      <c r="U94" t="s">
        <v>121</v>
      </c>
      <c r="V94" t="s">
        <v>121</v>
      </c>
      <c r="W94" s="3">
        <v>654138.18000000005</v>
      </c>
      <c r="Y94" s="10">
        <v>154306.25</v>
      </c>
      <c r="AE94" t="s">
        <v>121</v>
      </c>
      <c r="AF94" t="s">
        <v>121</v>
      </c>
    </row>
    <row r="95" spans="1:36">
      <c r="A95" t="s">
        <v>156</v>
      </c>
      <c r="B95" t="s">
        <v>478</v>
      </c>
      <c r="C95" t="s">
        <v>249</v>
      </c>
      <c r="D95" t="s">
        <v>248</v>
      </c>
      <c r="E95" s="5">
        <v>52026400</v>
      </c>
      <c r="F95" s="5">
        <f t="shared" si="23"/>
        <v>200403.00000000003</v>
      </c>
      <c r="G95" s="5">
        <f t="shared" si="24"/>
        <v>22267</v>
      </c>
      <c r="H95" s="7">
        <f t="shared" si="25"/>
        <v>38464</v>
      </c>
      <c r="I95" s="7">
        <f t="shared" si="26"/>
        <v>18169</v>
      </c>
      <c r="J95" s="7">
        <f t="shared" si="27"/>
        <v>710100.00000000023</v>
      </c>
      <c r="K95" s="7">
        <f t="shared" si="21"/>
        <v>78900</v>
      </c>
      <c r="L95" s="9">
        <f t="shared" ref="L95:L101" si="28">SUM(1-M95)</f>
        <v>9.9999999999999978E-2</v>
      </c>
      <c r="M95" s="6">
        <v>0.9</v>
      </c>
      <c r="N95">
        <v>520</v>
      </c>
      <c r="O95" s="7">
        <v>21747</v>
      </c>
      <c r="P95" t="s">
        <v>121</v>
      </c>
      <c r="Q95" t="s">
        <v>121</v>
      </c>
      <c r="R95" t="s">
        <v>121</v>
      </c>
      <c r="S95" t="s">
        <v>121</v>
      </c>
      <c r="T95" t="s">
        <v>121</v>
      </c>
      <c r="U95" t="s">
        <v>121</v>
      </c>
      <c r="V95" t="s">
        <v>121</v>
      </c>
      <c r="W95" s="7">
        <v>38464</v>
      </c>
      <c r="X95" t="s">
        <v>121</v>
      </c>
      <c r="Y95" t="s">
        <v>121</v>
      </c>
      <c r="Z95" t="s">
        <v>121</v>
      </c>
      <c r="AA95" t="s">
        <v>121</v>
      </c>
      <c r="AB95" s="7">
        <v>8324</v>
      </c>
      <c r="AC95" t="s">
        <v>121</v>
      </c>
      <c r="AD95" t="s">
        <v>121</v>
      </c>
      <c r="AE95" t="s">
        <v>121</v>
      </c>
      <c r="AF95" s="7">
        <v>9845</v>
      </c>
    </row>
    <row r="96" spans="1:36">
      <c r="A96" t="s">
        <v>157</v>
      </c>
      <c r="B96" t="s">
        <v>479</v>
      </c>
      <c r="C96" t="s">
        <v>249</v>
      </c>
      <c r="D96" t="s">
        <v>248</v>
      </c>
      <c r="E96" s="5">
        <v>36559400</v>
      </c>
      <c r="F96" s="5">
        <f t="shared" si="23"/>
        <v>140832.00000000003</v>
      </c>
      <c r="G96" s="5">
        <f t="shared" si="24"/>
        <v>15648</v>
      </c>
      <c r="H96" s="7">
        <f t="shared" si="25"/>
        <v>27029</v>
      </c>
      <c r="I96" s="7">
        <f t="shared" si="26"/>
        <v>12769</v>
      </c>
      <c r="J96" s="7">
        <f t="shared" si="27"/>
        <v>499014.00000000012</v>
      </c>
      <c r="K96" s="7">
        <f t="shared" si="21"/>
        <v>55446</v>
      </c>
      <c r="L96" s="9">
        <f t="shared" si="28"/>
        <v>9.9999999999999978E-2</v>
      </c>
      <c r="M96" s="6">
        <v>0.9</v>
      </c>
      <c r="N96">
        <v>366</v>
      </c>
      <c r="O96" s="7">
        <v>15282</v>
      </c>
      <c r="P96" t="s">
        <v>121</v>
      </c>
      <c r="Q96" t="s">
        <v>121</v>
      </c>
      <c r="R96" t="s">
        <v>121</v>
      </c>
      <c r="S96" t="s">
        <v>121</v>
      </c>
      <c r="T96" t="s">
        <v>121</v>
      </c>
      <c r="U96" t="s">
        <v>121</v>
      </c>
      <c r="V96" t="s">
        <v>121</v>
      </c>
      <c r="W96" s="7">
        <v>27029</v>
      </c>
      <c r="X96" t="s">
        <v>121</v>
      </c>
      <c r="Y96" t="s">
        <v>121</v>
      </c>
      <c r="Z96" t="s">
        <v>121</v>
      </c>
      <c r="AA96" t="s">
        <v>121</v>
      </c>
      <c r="AB96" s="7">
        <v>5850</v>
      </c>
      <c r="AC96" t="s">
        <v>121</v>
      </c>
      <c r="AD96" t="s">
        <v>121</v>
      </c>
      <c r="AE96" t="s">
        <v>121</v>
      </c>
      <c r="AF96" s="7">
        <v>6919</v>
      </c>
    </row>
    <row r="97" spans="1:33">
      <c r="A97" t="s">
        <v>158</v>
      </c>
      <c r="B97" t="s">
        <v>480</v>
      </c>
      <c r="C97" t="s">
        <v>250</v>
      </c>
      <c r="D97" t="s">
        <v>248</v>
      </c>
      <c r="E97" s="5">
        <v>73484000</v>
      </c>
      <c r="F97" s="5">
        <f t="shared" si="23"/>
        <v>267330.66666666663</v>
      </c>
      <c r="G97" s="5">
        <f t="shared" si="24"/>
        <v>47176</v>
      </c>
      <c r="H97" s="7">
        <f t="shared" si="25"/>
        <v>81492</v>
      </c>
      <c r="I97" s="7">
        <f t="shared" si="26"/>
        <v>38495</v>
      </c>
      <c r="J97" s="7">
        <f t="shared" si="27"/>
        <v>947256.99999999977</v>
      </c>
      <c r="K97" s="7">
        <f t="shared" si="21"/>
        <v>167163</v>
      </c>
      <c r="L97" s="9">
        <f t="shared" si="28"/>
        <v>0.15000000000000002</v>
      </c>
      <c r="M97" s="6">
        <v>0.85</v>
      </c>
      <c r="N97" s="7">
        <v>1102</v>
      </c>
      <c r="O97" s="7">
        <v>46074</v>
      </c>
      <c r="P97" t="s">
        <v>121</v>
      </c>
      <c r="Q97" t="s">
        <v>121</v>
      </c>
      <c r="R97" t="s">
        <v>121</v>
      </c>
      <c r="S97" t="s">
        <v>121</v>
      </c>
      <c r="T97" t="s">
        <v>121</v>
      </c>
      <c r="U97" t="s">
        <v>121</v>
      </c>
      <c r="V97" t="s">
        <v>121</v>
      </c>
      <c r="W97" s="7">
        <v>81492</v>
      </c>
      <c r="X97" t="s">
        <v>121</v>
      </c>
      <c r="Y97" t="s">
        <v>121</v>
      </c>
      <c r="Z97" t="s">
        <v>121</v>
      </c>
      <c r="AA97" t="s">
        <v>121</v>
      </c>
      <c r="AB97" s="7">
        <v>17636</v>
      </c>
      <c r="AC97" t="s">
        <v>121</v>
      </c>
      <c r="AD97" t="s">
        <v>121</v>
      </c>
      <c r="AE97" t="s">
        <v>121</v>
      </c>
      <c r="AF97" s="7">
        <v>20859</v>
      </c>
    </row>
    <row r="98" spans="1:33">
      <c r="A98" t="s">
        <v>172</v>
      </c>
      <c r="B98" t="s">
        <v>494</v>
      </c>
      <c r="C98" t="s">
        <v>264</v>
      </c>
      <c r="D98" t="s">
        <v>248</v>
      </c>
      <c r="E98" s="5">
        <v>36300000</v>
      </c>
      <c r="F98" s="5">
        <f t="shared" si="23"/>
        <v>132061.66666666666</v>
      </c>
      <c r="G98" s="5">
        <f t="shared" si="24"/>
        <v>23305</v>
      </c>
      <c r="H98" s="7">
        <f t="shared" si="25"/>
        <v>40256</v>
      </c>
      <c r="I98" s="7">
        <f t="shared" si="26"/>
        <v>10304</v>
      </c>
      <c r="J98" s="7">
        <f t="shared" si="27"/>
        <v>418568.33333333326</v>
      </c>
      <c r="K98" s="7">
        <f t="shared" ref="K98:K119" si="29">SUM(G98:I98)</f>
        <v>73865</v>
      </c>
      <c r="L98" s="9">
        <f t="shared" si="28"/>
        <v>0.15000000000000002</v>
      </c>
      <c r="M98" s="6">
        <v>0.85</v>
      </c>
      <c r="N98">
        <v>545</v>
      </c>
      <c r="O98" s="7">
        <v>22760</v>
      </c>
      <c r="P98" t="s">
        <v>121</v>
      </c>
      <c r="Q98" t="s">
        <v>121</v>
      </c>
      <c r="R98" t="s">
        <v>121</v>
      </c>
      <c r="S98" t="s">
        <v>121</v>
      </c>
      <c r="T98" t="s">
        <v>121</v>
      </c>
      <c r="U98" t="s">
        <v>121</v>
      </c>
      <c r="V98" t="s">
        <v>121</v>
      </c>
      <c r="W98" s="7">
        <v>40256</v>
      </c>
      <c r="X98" t="s">
        <v>121</v>
      </c>
      <c r="Y98" t="s">
        <v>121</v>
      </c>
      <c r="Z98" t="s">
        <v>121</v>
      </c>
      <c r="AA98" t="s">
        <v>121</v>
      </c>
      <c r="AB98" t="s">
        <v>121</v>
      </c>
      <c r="AC98" t="s">
        <v>121</v>
      </c>
      <c r="AD98" t="s">
        <v>121</v>
      </c>
      <c r="AE98" t="s">
        <v>121</v>
      </c>
      <c r="AF98" s="7">
        <v>10304</v>
      </c>
    </row>
    <row r="99" spans="1:33">
      <c r="A99" t="s">
        <v>173</v>
      </c>
      <c r="B99" t="s">
        <v>495</v>
      </c>
      <c r="C99" t="s">
        <v>263</v>
      </c>
      <c r="D99" t="s">
        <v>248</v>
      </c>
      <c r="E99" s="5">
        <v>14569500</v>
      </c>
      <c r="F99" s="5">
        <f t="shared" si="23"/>
        <v>53005.999999999993</v>
      </c>
      <c r="G99" s="5">
        <f t="shared" si="24"/>
        <v>9354</v>
      </c>
      <c r="H99" s="7">
        <f t="shared" si="25"/>
        <v>16157</v>
      </c>
      <c r="I99" s="7">
        <f t="shared" si="26"/>
        <v>4136</v>
      </c>
      <c r="J99" s="7">
        <f t="shared" si="27"/>
        <v>167999.66666666663</v>
      </c>
      <c r="K99" s="7">
        <f t="shared" si="29"/>
        <v>29647</v>
      </c>
      <c r="L99" s="9">
        <f t="shared" si="28"/>
        <v>0.15000000000000002</v>
      </c>
      <c r="M99" s="6">
        <v>0.85</v>
      </c>
      <c r="N99">
        <v>219</v>
      </c>
      <c r="O99" s="7">
        <v>9135</v>
      </c>
      <c r="P99" t="s">
        <v>121</v>
      </c>
      <c r="Q99" t="s">
        <v>121</v>
      </c>
      <c r="R99" t="s">
        <v>121</v>
      </c>
      <c r="S99" t="s">
        <v>121</v>
      </c>
      <c r="T99" t="s">
        <v>121</v>
      </c>
      <c r="U99" t="s">
        <v>121</v>
      </c>
      <c r="V99" t="s">
        <v>121</v>
      </c>
      <c r="W99" s="7">
        <v>16157</v>
      </c>
      <c r="X99" t="s">
        <v>121</v>
      </c>
      <c r="Y99" t="s">
        <v>121</v>
      </c>
      <c r="Z99" t="s">
        <v>121</v>
      </c>
      <c r="AA99" t="s">
        <v>121</v>
      </c>
      <c r="AB99" t="s">
        <v>121</v>
      </c>
      <c r="AC99" t="s">
        <v>121</v>
      </c>
      <c r="AD99" t="s">
        <v>121</v>
      </c>
      <c r="AE99" t="s">
        <v>121</v>
      </c>
      <c r="AF99" s="7">
        <v>4136</v>
      </c>
    </row>
    <row r="100" spans="1:33">
      <c r="A100" t="s">
        <v>174</v>
      </c>
      <c r="B100" t="s">
        <v>494</v>
      </c>
      <c r="C100" t="s">
        <v>264</v>
      </c>
      <c r="D100" t="s">
        <v>248</v>
      </c>
      <c r="E100" s="5">
        <v>11000000</v>
      </c>
      <c r="F100" s="5">
        <f t="shared" si="23"/>
        <v>40017.999999999993</v>
      </c>
      <c r="G100" s="5">
        <f t="shared" si="24"/>
        <v>7062</v>
      </c>
      <c r="H100" s="7">
        <f t="shared" si="25"/>
        <v>12199</v>
      </c>
      <c r="I100" s="7">
        <f t="shared" si="26"/>
        <v>3122</v>
      </c>
      <c r="J100" s="7">
        <f t="shared" si="27"/>
        <v>126836.99999999997</v>
      </c>
      <c r="K100" s="7">
        <f t="shared" si="29"/>
        <v>22383</v>
      </c>
      <c r="L100" s="9">
        <f t="shared" si="28"/>
        <v>0.15000000000000002</v>
      </c>
      <c r="M100" s="6">
        <v>0.85</v>
      </c>
      <c r="N100">
        <v>165</v>
      </c>
      <c r="O100" s="7">
        <v>6897</v>
      </c>
      <c r="P100" t="s">
        <v>121</v>
      </c>
      <c r="Q100" t="s">
        <v>121</v>
      </c>
      <c r="R100" t="s">
        <v>121</v>
      </c>
      <c r="S100" t="s">
        <v>121</v>
      </c>
      <c r="T100" t="s">
        <v>121</v>
      </c>
      <c r="U100" t="s">
        <v>121</v>
      </c>
      <c r="V100" t="s">
        <v>121</v>
      </c>
      <c r="W100" s="7">
        <v>12199</v>
      </c>
      <c r="X100" t="s">
        <v>121</v>
      </c>
      <c r="Y100" t="s">
        <v>121</v>
      </c>
      <c r="Z100" t="s">
        <v>121</v>
      </c>
      <c r="AA100" t="s">
        <v>121</v>
      </c>
      <c r="AB100" t="s">
        <v>121</v>
      </c>
      <c r="AC100" t="s">
        <v>121</v>
      </c>
      <c r="AD100" t="s">
        <v>121</v>
      </c>
      <c r="AE100" t="s">
        <v>121</v>
      </c>
      <c r="AF100" s="7">
        <v>3122</v>
      </c>
    </row>
    <row r="101" spans="1:33">
      <c r="A101" t="s">
        <v>274</v>
      </c>
      <c r="B101" t="s">
        <v>505</v>
      </c>
      <c r="C101" t="s">
        <v>344</v>
      </c>
      <c r="D101" t="s">
        <v>248</v>
      </c>
      <c r="E101" s="5">
        <v>84240100</v>
      </c>
      <c r="F101" s="5">
        <f t="shared" si="23"/>
        <v>198301.88888888893</v>
      </c>
      <c r="G101" s="5">
        <f t="shared" si="24"/>
        <v>162247</v>
      </c>
      <c r="H101" s="7">
        <f t="shared" si="25"/>
        <v>280262</v>
      </c>
      <c r="I101" s="7">
        <f t="shared" si="26"/>
        <v>132390</v>
      </c>
      <c r="J101" s="7">
        <f t="shared" si="27"/>
        <v>702654.33333333349</v>
      </c>
      <c r="K101" s="7">
        <f t="shared" si="29"/>
        <v>574899</v>
      </c>
      <c r="L101" s="9">
        <f t="shared" si="28"/>
        <v>0.44999999999999996</v>
      </c>
      <c r="M101" s="6">
        <v>0.55000000000000004</v>
      </c>
      <c r="N101" s="7">
        <v>3791</v>
      </c>
      <c r="O101" s="7">
        <v>158456</v>
      </c>
      <c r="P101" t="s">
        <v>121</v>
      </c>
      <c r="Q101" t="s">
        <v>121</v>
      </c>
      <c r="R101" t="s">
        <v>121</v>
      </c>
      <c r="S101" t="s">
        <v>121</v>
      </c>
      <c r="T101" t="s">
        <v>121</v>
      </c>
      <c r="U101" t="s">
        <v>121</v>
      </c>
      <c r="V101" t="s">
        <v>121</v>
      </c>
      <c r="W101" s="7">
        <v>280262</v>
      </c>
      <c r="X101" t="s">
        <v>121</v>
      </c>
      <c r="Y101" t="s">
        <v>121</v>
      </c>
      <c r="Z101" t="s">
        <v>121</v>
      </c>
      <c r="AA101" t="s">
        <v>121</v>
      </c>
      <c r="AB101" s="7">
        <v>60653</v>
      </c>
      <c r="AC101" t="s">
        <v>121</v>
      </c>
      <c r="AD101" t="s">
        <v>121</v>
      </c>
      <c r="AE101" t="s">
        <v>121</v>
      </c>
      <c r="AF101" s="7">
        <v>71737</v>
      </c>
    </row>
    <row r="102" spans="1:33">
      <c r="A102" t="s">
        <v>298</v>
      </c>
      <c r="B102" t="s">
        <v>516</v>
      </c>
      <c r="C102" t="s">
        <v>337</v>
      </c>
      <c r="D102" t="s">
        <v>248</v>
      </c>
      <c r="E102" s="7">
        <v>745799</v>
      </c>
      <c r="F102" s="5">
        <f t="shared" si="23"/>
        <v>2450.3904086496841</v>
      </c>
      <c r="G102" s="5">
        <f t="shared" si="24"/>
        <v>741.63</v>
      </c>
      <c r="H102" s="7">
        <f t="shared" si="25"/>
        <v>1281.08</v>
      </c>
      <c r="I102" s="7">
        <f t="shared" si="26"/>
        <v>327.91</v>
      </c>
      <c r="J102" s="7">
        <f t="shared" si="27"/>
        <v>7766.5907560105725</v>
      </c>
      <c r="K102" s="7">
        <f t="shared" si="29"/>
        <v>2350.62</v>
      </c>
      <c r="L102" s="9">
        <v>0.23233874006267105</v>
      </c>
      <c r="M102" s="6">
        <f t="shared" ref="M102:M110" si="30">SUM(1-L102)</f>
        <v>0.76766125993732892</v>
      </c>
      <c r="N102" s="3">
        <v>17.329999999999998</v>
      </c>
      <c r="O102" s="3">
        <v>724.3</v>
      </c>
      <c r="R102" t="s">
        <v>121</v>
      </c>
      <c r="S102" t="s">
        <v>121</v>
      </c>
      <c r="T102" t="s">
        <v>121</v>
      </c>
      <c r="U102" t="s">
        <v>121</v>
      </c>
      <c r="V102" t="s">
        <v>121</v>
      </c>
      <c r="W102" s="3">
        <v>1281.08</v>
      </c>
      <c r="Y102" t="s">
        <v>121</v>
      </c>
      <c r="AE102" t="s">
        <v>121</v>
      </c>
      <c r="AF102">
        <v>327.91</v>
      </c>
    </row>
    <row r="103" spans="1:33">
      <c r="A103" t="s">
        <v>301</v>
      </c>
      <c r="B103" t="s">
        <v>480</v>
      </c>
      <c r="C103" t="s">
        <v>250</v>
      </c>
      <c r="D103" t="s">
        <v>248</v>
      </c>
      <c r="E103" s="7">
        <v>2555120</v>
      </c>
      <c r="F103" s="5">
        <f t="shared" si="23"/>
        <v>9082.3714476904734</v>
      </c>
      <c r="G103" s="5">
        <f t="shared" si="24"/>
        <v>1853.57</v>
      </c>
      <c r="H103" s="7">
        <f t="shared" si="25"/>
        <v>3201.82</v>
      </c>
      <c r="I103" s="7">
        <f t="shared" si="26"/>
        <v>819.55</v>
      </c>
      <c r="J103" s="7">
        <f t="shared" si="27"/>
        <v>28786.820736683632</v>
      </c>
      <c r="K103" s="7">
        <f t="shared" si="29"/>
        <v>5874.9400000000005</v>
      </c>
      <c r="L103" s="9">
        <v>0.16949340931150006</v>
      </c>
      <c r="M103" s="6">
        <f t="shared" si="30"/>
        <v>0.83050659068849997</v>
      </c>
      <c r="N103" s="3">
        <v>43.31</v>
      </c>
      <c r="O103" s="3">
        <v>1810.26</v>
      </c>
      <c r="R103" t="s">
        <v>121</v>
      </c>
      <c r="S103" t="s">
        <v>121</v>
      </c>
      <c r="T103" t="s">
        <v>121</v>
      </c>
      <c r="U103" t="s">
        <v>121</v>
      </c>
      <c r="V103" t="s">
        <v>121</v>
      </c>
      <c r="W103" s="3">
        <v>3201.82</v>
      </c>
      <c r="Y103" t="s">
        <v>121</v>
      </c>
      <c r="AE103" t="s">
        <v>121</v>
      </c>
      <c r="AF103">
        <v>819.55</v>
      </c>
    </row>
    <row r="104" spans="1:33">
      <c r="A104" t="s">
        <v>307</v>
      </c>
      <c r="B104" t="s">
        <v>521</v>
      </c>
      <c r="C104" t="s">
        <v>332</v>
      </c>
      <c r="D104" t="s">
        <v>248</v>
      </c>
      <c r="E104" s="7">
        <v>67586</v>
      </c>
      <c r="F104" s="5">
        <f t="shared" si="23"/>
        <v>163.24421526339029</v>
      </c>
      <c r="G104" s="5">
        <f t="shared" si="24"/>
        <v>126.00999999999999</v>
      </c>
      <c r="H104" s="7">
        <f t="shared" si="25"/>
        <v>217.68</v>
      </c>
      <c r="I104" s="7">
        <f t="shared" si="26"/>
        <v>55.72</v>
      </c>
      <c r="J104" s="7">
        <f t="shared" si="27"/>
        <v>517.4301406106714</v>
      </c>
      <c r="K104" s="7">
        <f t="shared" si="29"/>
        <v>399.40999999999997</v>
      </c>
      <c r="L104" s="9">
        <v>0.43563755807415738</v>
      </c>
      <c r="M104" s="6">
        <f t="shared" si="30"/>
        <v>0.56436244192584262</v>
      </c>
      <c r="N104" s="3">
        <v>2.94</v>
      </c>
      <c r="O104" s="3">
        <v>123.07</v>
      </c>
      <c r="R104" t="s">
        <v>121</v>
      </c>
      <c r="S104" t="s">
        <v>121</v>
      </c>
      <c r="T104" t="s">
        <v>121</v>
      </c>
      <c r="U104" t="s">
        <v>121</v>
      </c>
      <c r="V104" t="s">
        <v>121</v>
      </c>
      <c r="W104" s="3">
        <v>217.68</v>
      </c>
      <c r="Y104" t="s">
        <v>121</v>
      </c>
      <c r="AE104" t="s">
        <v>121</v>
      </c>
      <c r="AF104">
        <v>55.72</v>
      </c>
    </row>
    <row r="105" spans="1:33">
      <c r="A105" t="s">
        <v>315</v>
      </c>
      <c r="B105" t="s">
        <v>505</v>
      </c>
      <c r="C105" t="s">
        <v>344</v>
      </c>
      <c r="D105" t="s">
        <v>248</v>
      </c>
      <c r="E105" s="7">
        <v>20682794</v>
      </c>
      <c r="F105" s="5">
        <f t="shared" si="23"/>
        <v>67287.444646599572</v>
      </c>
      <c r="G105" s="5">
        <f t="shared" si="24"/>
        <v>21234.899999999998</v>
      </c>
      <c r="H105" s="7">
        <f t="shared" si="25"/>
        <v>36680.81</v>
      </c>
      <c r="I105" s="7">
        <f t="shared" si="26"/>
        <v>9389</v>
      </c>
      <c r="J105" s="7">
        <f t="shared" si="27"/>
        <v>213269.75632475017</v>
      </c>
      <c r="K105" s="7">
        <f t="shared" si="29"/>
        <v>67304.709999999992</v>
      </c>
      <c r="L105" s="9">
        <v>0.23988180707113363</v>
      </c>
      <c r="M105" s="6">
        <f t="shared" si="30"/>
        <v>0.7601181929288664</v>
      </c>
      <c r="N105" s="3">
        <v>496.14</v>
      </c>
      <c r="O105" s="3">
        <v>20738.759999999998</v>
      </c>
      <c r="R105" t="s">
        <v>121</v>
      </c>
      <c r="S105" t="s">
        <v>121</v>
      </c>
      <c r="T105" t="s">
        <v>121</v>
      </c>
      <c r="U105" t="s">
        <v>121</v>
      </c>
      <c r="V105" t="s">
        <v>121</v>
      </c>
      <c r="W105" s="3">
        <v>36680.81</v>
      </c>
      <c r="Y105" t="s">
        <v>121</v>
      </c>
      <c r="AE105" t="s">
        <v>121</v>
      </c>
      <c r="AF105" s="10">
        <v>9389</v>
      </c>
    </row>
    <row r="106" spans="1:33">
      <c r="A106" t="s">
        <v>319</v>
      </c>
      <c r="B106" t="s">
        <v>528</v>
      </c>
      <c r="C106" t="s">
        <v>344</v>
      </c>
      <c r="D106" t="s">
        <v>248</v>
      </c>
      <c r="E106" s="7">
        <v>102514209</v>
      </c>
      <c r="F106" s="5">
        <f t="shared" si="23"/>
        <v>362412.30417573068</v>
      </c>
      <c r="G106" s="5">
        <f t="shared" si="24"/>
        <v>76348.5</v>
      </c>
      <c r="H106" s="7">
        <f t="shared" si="25"/>
        <v>131883.12</v>
      </c>
      <c r="I106" s="7">
        <f t="shared" si="26"/>
        <v>33757.449999999997</v>
      </c>
      <c r="J106" s="7">
        <f t="shared" si="27"/>
        <v>1148677.6615656125</v>
      </c>
      <c r="K106" s="7">
        <f t="shared" si="29"/>
        <v>241989.07</v>
      </c>
      <c r="L106" s="9">
        <v>0.17400939024950191</v>
      </c>
      <c r="M106" s="6">
        <f t="shared" si="30"/>
        <v>0.82599060975049809</v>
      </c>
      <c r="N106" s="3">
        <v>1783.84</v>
      </c>
      <c r="O106" s="3">
        <v>74564.66</v>
      </c>
      <c r="R106" t="s">
        <v>121</v>
      </c>
      <c r="S106" t="s">
        <v>121</v>
      </c>
      <c r="T106" t="s">
        <v>121</v>
      </c>
      <c r="U106" t="s">
        <v>121</v>
      </c>
      <c r="V106" t="s">
        <v>121</v>
      </c>
      <c r="W106" s="3">
        <v>131883.12</v>
      </c>
      <c r="Y106" t="s">
        <v>121</v>
      </c>
      <c r="AE106" t="s">
        <v>121</v>
      </c>
      <c r="AF106" s="10">
        <v>33757.449999999997</v>
      </c>
    </row>
    <row r="107" spans="1:33">
      <c r="A107" t="s">
        <v>291</v>
      </c>
      <c r="B107" t="s">
        <v>512</v>
      </c>
      <c r="C107" t="s">
        <v>330</v>
      </c>
      <c r="D107" t="s">
        <v>331</v>
      </c>
      <c r="E107" s="7">
        <v>10477635</v>
      </c>
      <c r="F107" s="5">
        <f t="shared" si="23"/>
        <v>44026.352887730762</v>
      </c>
      <c r="G107" s="5">
        <f t="shared" si="24"/>
        <v>817.96</v>
      </c>
      <c r="H107" s="7">
        <f t="shared" si="25"/>
        <v>1412.93</v>
      </c>
      <c r="I107" s="7">
        <f t="shared" si="26"/>
        <v>885.15</v>
      </c>
      <c r="J107" s="7">
        <f t="shared" si="27"/>
        <v>167719.54209531585</v>
      </c>
      <c r="K107" s="7">
        <f t="shared" si="29"/>
        <v>3116.0400000000004</v>
      </c>
      <c r="L107" s="9">
        <v>1.8239994044457551E-2</v>
      </c>
      <c r="M107" s="6">
        <f t="shared" si="30"/>
        <v>0.98176000595554247</v>
      </c>
      <c r="N107" s="3">
        <v>19.11</v>
      </c>
      <c r="O107" s="3">
        <v>798.85</v>
      </c>
      <c r="R107" t="s">
        <v>121</v>
      </c>
      <c r="S107" t="s">
        <v>121</v>
      </c>
      <c r="T107" t="s">
        <v>121</v>
      </c>
      <c r="U107" t="s">
        <v>121</v>
      </c>
      <c r="V107" t="s">
        <v>121</v>
      </c>
      <c r="W107" s="3">
        <v>1412.93</v>
      </c>
      <c r="Y107" t="s">
        <v>121</v>
      </c>
      <c r="AE107">
        <v>885.15</v>
      </c>
      <c r="AF107" t="s">
        <v>121</v>
      </c>
    </row>
    <row r="108" spans="1:33">
      <c r="A108" t="s">
        <v>309</v>
      </c>
      <c r="B108" t="s">
        <v>523</v>
      </c>
      <c r="C108" t="s">
        <v>339</v>
      </c>
      <c r="D108" t="s">
        <v>331</v>
      </c>
      <c r="E108" s="7">
        <v>6400161</v>
      </c>
      <c r="F108" s="5">
        <f t="shared" si="23"/>
        <v>21775.084751226266</v>
      </c>
      <c r="G108" s="5">
        <f t="shared" si="24"/>
        <v>5617.57</v>
      </c>
      <c r="H108" s="7">
        <f t="shared" si="25"/>
        <v>9703.7099999999991</v>
      </c>
      <c r="I108" s="7">
        <f t="shared" si="26"/>
        <v>6079.06</v>
      </c>
      <c r="J108" s="7">
        <f t="shared" si="27"/>
        <v>82952.988072255015</v>
      </c>
      <c r="K108" s="7">
        <f t="shared" si="29"/>
        <v>21400.34</v>
      </c>
      <c r="L108" s="9">
        <v>0.20507577856244555</v>
      </c>
      <c r="M108" s="6">
        <f t="shared" si="30"/>
        <v>0.79492422143755448</v>
      </c>
      <c r="N108" s="3">
        <v>131.25</v>
      </c>
      <c r="O108" s="3">
        <v>5486.32</v>
      </c>
      <c r="R108" t="s">
        <v>121</v>
      </c>
      <c r="S108" t="s">
        <v>121</v>
      </c>
      <c r="T108" t="s">
        <v>121</v>
      </c>
      <c r="U108" t="s">
        <v>121</v>
      </c>
      <c r="V108" t="s">
        <v>121</v>
      </c>
      <c r="W108" s="3">
        <v>9703.7099999999991</v>
      </c>
      <c r="Y108" t="s">
        <v>121</v>
      </c>
      <c r="AE108" s="10">
        <v>6079.06</v>
      </c>
      <c r="AF108" t="s">
        <v>121</v>
      </c>
    </row>
    <row r="109" spans="1:33">
      <c r="A109" t="s">
        <v>313</v>
      </c>
      <c r="B109" t="s">
        <v>525</v>
      </c>
      <c r="C109" t="s">
        <v>341</v>
      </c>
      <c r="D109" t="s">
        <v>331</v>
      </c>
      <c r="E109" s="7">
        <v>19192099</v>
      </c>
      <c r="F109" s="5">
        <f t="shared" si="23"/>
        <v>57669.213784919222</v>
      </c>
      <c r="G109" s="5">
        <f t="shared" si="24"/>
        <v>24472.959999999999</v>
      </c>
      <c r="H109" s="7">
        <f t="shared" si="25"/>
        <v>42274.18</v>
      </c>
      <c r="I109" s="7">
        <f t="shared" si="26"/>
        <v>26483.41</v>
      </c>
      <c r="J109" s="7">
        <f t="shared" si="27"/>
        <v>219692.77599585833</v>
      </c>
      <c r="K109" s="7">
        <f t="shared" si="29"/>
        <v>93230.55</v>
      </c>
      <c r="L109" s="9">
        <v>0.29793416551258933</v>
      </c>
      <c r="M109" s="6">
        <f t="shared" si="30"/>
        <v>0.70206583448741067</v>
      </c>
      <c r="N109" s="3">
        <v>571.79999999999995</v>
      </c>
      <c r="O109" s="3">
        <v>23901.16</v>
      </c>
      <c r="R109" t="s">
        <v>121</v>
      </c>
      <c r="S109" t="s">
        <v>121</v>
      </c>
      <c r="T109" t="s">
        <v>121</v>
      </c>
      <c r="U109" t="s">
        <v>121</v>
      </c>
      <c r="V109" t="s">
        <v>121</v>
      </c>
      <c r="W109" s="3">
        <v>42274.18</v>
      </c>
      <c r="Y109" t="s">
        <v>121</v>
      </c>
      <c r="AE109" s="10">
        <v>26483.41</v>
      </c>
      <c r="AF109" t="s">
        <v>121</v>
      </c>
    </row>
    <row r="110" spans="1:33">
      <c r="A110" t="s">
        <v>317</v>
      </c>
      <c r="B110" t="s">
        <v>527</v>
      </c>
      <c r="C110" t="s">
        <v>330</v>
      </c>
      <c r="D110" t="s">
        <v>331</v>
      </c>
      <c r="E110" s="7">
        <v>11724769</v>
      </c>
      <c r="F110" s="5">
        <f t="shared" si="23"/>
        <v>27183.850098079398</v>
      </c>
      <c r="G110" s="5">
        <f t="shared" si="24"/>
        <v>22998.16</v>
      </c>
      <c r="H110" s="7">
        <f t="shared" si="25"/>
        <v>39726.639999999999</v>
      </c>
      <c r="I110" s="7">
        <f t="shared" si="26"/>
        <v>24887.45</v>
      </c>
      <c r="J110" s="7">
        <f t="shared" si="27"/>
        <v>103557.77465481832</v>
      </c>
      <c r="K110" s="7">
        <f t="shared" si="29"/>
        <v>87612.25</v>
      </c>
      <c r="L110" s="9">
        <v>0.45829491395523442</v>
      </c>
      <c r="M110" s="6">
        <f t="shared" si="30"/>
        <v>0.54170508604476564</v>
      </c>
      <c r="N110" s="3">
        <v>537.34</v>
      </c>
      <c r="O110" s="3">
        <v>22460.82</v>
      </c>
      <c r="R110" t="s">
        <v>121</v>
      </c>
      <c r="S110" t="s">
        <v>121</v>
      </c>
      <c r="T110" t="s">
        <v>121</v>
      </c>
      <c r="U110" t="s">
        <v>121</v>
      </c>
      <c r="V110" t="s">
        <v>121</v>
      </c>
      <c r="W110" s="3">
        <v>39726.639999999999</v>
      </c>
      <c r="Y110" t="s">
        <v>121</v>
      </c>
      <c r="AE110" s="10">
        <v>24887.45</v>
      </c>
      <c r="AF110" t="s">
        <v>121</v>
      </c>
    </row>
    <row r="111" spans="1:33">
      <c r="A111" t="s">
        <v>124</v>
      </c>
      <c r="B111" t="s">
        <v>439</v>
      </c>
      <c r="C111" t="s">
        <v>196</v>
      </c>
      <c r="D111" t="s">
        <v>115</v>
      </c>
      <c r="E111" s="5">
        <v>22359300</v>
      </c>
      <c r="F111" s="5">
        <f t="shared" si="23"/>
        <v>52633.777777777781</v>
      </c>
      <c r="G111" s="5">
        <f t="shared" si="24"/>
        <v>43064</v>
      </c>
      <c r="H111" s="7">
        <f t="shared" si="25"/>
        <v>74388</v>
      </c>
      <c r="I111" s="7">
        <f t="shared" si="26"/>
        <v>63155</v>
      </c>
      <c r="J111" s="7">
        <f t="shared" si="27"/>
        <v>220741.88888888893</v>
      </c>
      <c r="K111" s="7">
        <f t="shared" si="29"/>
        <v>180607</v>
      </c>
      <c r="L111" s="9">
        <f t="shared" ref="L111:L116" si="31">SUM(1-M111)</f>
        <v>0.44999999999999996</v>
      </c>
      <c r="M111" s="6">
        <v>0.55000000000000004</v>
      </c>
      <c r="N111" s="7">
        <v>1006</v>
      </c>
      <c r="O111" s="7">
        <v>42058</v>
      </c>
      <c r="P111" t="s">
        <v>121</v>
      </c>
      <c r="Q111" t="s">
        <v>121</v>
      </c>
      <c r="R111" t="s">
        <v>121</v>
      </c>
      <c r="S111" t="s">
        <v>121</v>
      </c>
      <c r="T111" t="s">
        <v>121</v>
      </c>
      <c r="U111" t="s">
        <v>121</v>
      </c>
      <c r="V111" t="s">
        <v>121</v>
      </c>
      <c r="W111" s="7">
        <v>74388</v>
      </c>
      <c r="X111" t="s">
        <v>121</v>
      </c>
      <c r="Y111" t="s">
        <v>121</v>
      </c>
      <c r="Z111" t="s">
        <v>121</v>
      </c>
      <c r="AA111" t="s">
        <v>121</v>
      </c>
      <c r="AB111" t="s">
        <v>121</v>
      </c>
      <c r="AC111" t="s">
        <v>121</v>
      </c>
      <c r="AD111" t="s">
        <v>121</v>
      </c>
      <c r="AE111" t="s">
        <v>121</v>
      </c>
      <c r="AF111" t="s">
        <v>121</v>
      </c>
      <c r="AG111" s="7">
        <v>63155</v>
      </c>
    </row>
    <row r="112" spans="1:33">
      <c r="A112" t="s">
        <v>125</v>
      </c>
      <c r="B112" t="s">
        <v>440</v>
      </c>
      <c r="C112" t="s">
        <v>197</v>
      </c>
      <c r="D112" t="s">
        <v>115</v>
      </c>
      <c r="E112" s="5">
        <v>40716800</v>
      </c>
      <c r="F112" s="5">
        <f t="shared" si="23"/>
        <v>130701</v>
      </c>
      <c r="G112" s="5">
        <f t="shared" si="24"/>
        <v>43567</v>
      </c>
      <c r="H112" s="7">
        <f t="shared" si="25"/>
        <v>75257</v>
      </c>
      <c r="I112" s="7">
        <f t="shared" si="26"/>
        <v>63893</v>
      </c>
      <c r="J112" s="7">
        <f t="shared" si="27"/>
        <v>548151</v>
      </c>
      <c r="K112" s="7">
        <f t="shared" si="29"/>
        <v>182717</v>
      </c>
      <c r="L112" s="9">
        <f t="shared" si="31"/>
        <v>0.25</v>
      </c>
      <c r="M112" s="6">
        <v>0.75</v>
      </c>
      <c r="N112" s="7">
        <v>1018</v>
      </c>
      <c r="O112" s="7">
        <v>42549</v>
      </c>
      <c r="P112" t="s">
        <v>121</v>
      </c>
      <c r="Q112" t="s">
        <v>121</v>
      </c>
      <c r="R112" t="s">
        <v>121</v>
      </c>
      <c r="S112" t="s">
        <v>121</v>
      </c>
      <c r="T112" t="s">
        <v>121</v>
      </c>
      <c r="U112" t="s">
        <v>121</v>
      </c>
      <c r="V112" t="s">
        <v>121</v>
      </c>
      <c r="W112" s="7">
        <v>75257</v>
      </c>
      <c r="X112" t="s">
        <v>121</v>
      </c>
      <c r="Y112" t="s">
        <v>121</v>
      </c>
      <c r="Z112" t="s">
        <v>121</v>
      </c>
      <c r="AA112" t="s">
        <v>121</v>
      </c>
      <c r="AB112" t="s">
        <v>121</v>
      </c>
      <c r="AC112" t="s">
        <v>121</v>
      </c>
      <c r="AD112" t="s">
        <v>121</v>
      </c>
      <c r="AE112" t="s">
        <v>121</v>
      </c>
      <c r="AF112" t="s">
        <v>121</v>
      </c>
      <c r="AG112" s="7">
        <v>63893</v>
      </c>
    </row>
    <row r="113" spans="1:33">
      <c r="A113" t="s">
        <v>126</v>
      </c>
      <c r="B113" t="s">
        <v>441</v>
      </c>
      <c r="C113" t="s">
        <v>340</v>
      </c>
      <c r="D113" t="s">
        <v>115</v>
      </c>
      <c r="E113" s="5">
        <v>7419900</v>
      </c>
      <c r="F113" s="5">
        <f t="shared" si="23"/>
        <v>23817</v>
      </c>
      <c r="G113" s="5">
        <f t="shared" si="24"/>
        <v>7939</v>
      </c>
      <c r="H113" s="7">
        <f t="shared" si="25"/>
        <v>13714</v>
      </c>
      <c r="I113" s="7">
        <f t="shared" si="26"/>
        <v>11643</v>
      </c>
      <c r="J113" s="7">
        <f t="shared" si="27"/>
        <v>99888</v>
      </c>
      <c r="K113" s="7">
        <f t="shared" si="29"/>
        <v>33296</v>
      </c>
      <c r="L113" s="9">
        <f t="shared" si="31"/>
        <v>0.25</v>
      </c>
      <c r="M113" s="6">
        <v>0.75</v>
      </c>
      <c r="N113">
        <v>185</v>
      </c>
      <c r="O113" s="7">
        <v>7754</v>
      </c>
      <c r="P113" t="s">
        <v>121</v>
      </c>
      <c r="Q113" t="s">
        <v>121</v>
      </c>
      <c r="R113" t="s">
        <v>121</v>
      </c>
      <c r="S113" t="s">
        <v>121</v>
      </c>
      <c r="T113" t="s">
        <v>121</v>
      </c>
      <c r="U113" t="s">
        <v>121</v>
      </c>
      <c r="V113" t="s">
        <v>121</v>
      </c>
      <c r="W113" s="7">
        <v>13714</v>
      </c>
      <c r="X113" t="s">
        <v>121</v>
      </c>
      <c r="Y113" t="s">
        <v>121</v>
      </c>
      <c r="Z113" t="s">
        <v>121</v>
      </c>
      <c r="AA113" t="s">
        <v>121</v>
      </c>
      <c r="AB113" t="s">
        <v>121</v>
      </c>
      <c r="AC113" t="s">
        <v>121</v>
      </c>
      <c r="AD113" t="s">
        <v>121</v>
      </c>
      <c r="AE113" t="s">
        <v>121</v>
      </c>
      <c r="AF113" t="s">
        <v>121</v>
      </c>
      <c r="AG113" s="7">
        <v>11643</v>
      </c>
    </row>
    <row r="114" spans="1:33">
      <c r="A114" t="s">
        <v>127</v>
      </c>
      <c r="B114" t="s">
        <v>441</v>
      </c>
      <c r="C114" t="s">
        <v>340</v>
      </c>
      <c r="D114" t="s">
        <v>115</v>
      </c>
      <c r="E114" s="5">
        <v>37044800</v>
      </c>
      <c r="F114" s="5">
        <f t="shared" si="23"/>
        <v>118914</v>
      </c>
      <c r="G114" s="5">
        <f t="shared" si="24"/>
        <v>39638</v>
      </c>
      <c r="H114" s="7">
        <f t="shared" si="25"/>
        <v>68470</v>
      </c>
      <c r="I114" s="7">
        <f t="shared" si="26"/>
        <v>58131</v>
      </c>
      <c r="J114" s="7">
        <f t="shared" si="27"/>
        <v>498717</v>
      </c>
      <c r="K114" s="7">
        <f t="shared" si="29"/>
        <v>166239</v>
      </c>
      <c r="L114" s="9">
        <f t="shared" si="31"/>
        <v>0.25</v>
      </c>
      <c r="M114" s="6">
        <v>0.75</v>
      </c>
      <c r="N114">
        <v>926</v>
      </c>
      <c r="O114" s="7">
        <v>38712</v>
      </c>
      <c r="P114" t="s">
        <v>121</v>
      </c>
      <c r="Q114" t="s">
        <v>121</v>
      </c>
      <c r="R114" t="s">
        <v>121</v>
      </c>
      <c r="S114" t="s">
        <v>121</v>
      </c>
      <c r="T114" t="s">
        <v>121</v>
      </c>
      <c r="U114" t="s">
        <v>121</v>
      </c>
      <c r="V114" t="s">
        <v>121</v>
      </c>
      <c r="W114" s="7">
        <v>68470</v>
      </c>
      <c r="X114" t="s">
        <v>121</v>
      </c>
      <c r="Y114" t="s">
        <v>121</v>
      </c>
      <c r="Z114" t="s">
        <v>121</v>
      </c>
      <c r="AA114" t="s">
        <v>121</v>
      </c>
      <c r="AB114" t="s">
        <v>121</v>
      </c>
      <c r="AC114" t="s">
        <v>121</v>
      </c>
      <c r="AD114" t="s">
        <v>121</v>
      </c>
      <c r="AE114" t="s">
        <v>121</v>
      </c>
      <c r="AF114" t="s">
        <v>121</v>
      </c>
      <c r="AG114" s="7">
        <v>58131</v>
      </c>
    </row>
    <row r="115" spans="1:33">
      <c r="A115" t="s">
        <v>128</v>
      </c>
      <c r="B115" t="s">
        <v>442</v>
      </c>
      <c r="C115" t="s">
        <v>198</v>
      </c>
      <c r="D115" t="s">
        <v>115</v>
      </c>
      <c r="E115" s="5">
        <v>16500000</v>
      </c>
      <c r="F115" s="5">
        <f t="shared" si="23"/>
        <v>60032.666666666657</v>
      </c>
      <c r="G115" s="5">
        <f t="shared" si="24"/>
        <v>10594</v>
      </c>
      <c r="H115" s="7">
        <f t="shared" si="25"/>
        <v>18298</v>
      </c>
      <c r="I115" s="7">
        <f t="shared" si="26"/>
        <v>15535</v>
      </c>
      <c r="J115" s="7">
        <f t="shared" si="27"/>
        <v>251752.99999999994</v>
      </c>
      <c r="K115" s="7">
        <f t="shared" si="29"/>
        <v>44427</v>
      </c>
      <c r="L115" s="9">
        <f t="shared" si="31"/>
        <v>0.15000000000000002</v>
      </c>
      <c r="M115" s="6">
        <v>0.85</v>
      </c>
      <c r="N115">
        <v>248</v>
      </c>
      <c r="O115" s="7">
        <v>10346</v>
      </c>
      <c r="P115" t="s">
        <v>121</v>
      </c>
      <c r="Q115" t="s">
        <v>121</v>
      </c>
      <c r="R115" t="s">
        <v>121</v>
      </c>
      <c r="S115" t="s">
        <v>121</v>
      </c>
      <c r="T115" t="s">
        <v>121</v>
      </c>
      <c r="U115" t="s">
        <v>121</v>
      </c>
      <c r="V115" t="s">
        <v>121</v>
      </c>
      <c r="W115" s="7">
        <v>18298</v>
      </c>
      <c r="X115" t="s">
        <v>121</v>
      </c>
      <c r="Y115" t="s">
        <v>121</v>
      </c>
      <c r="Z115" t="s">
        <v>121</v>
      </c>
      <c r="AA115" t="s">
        <v>121</v>
      </c>
      <c r="AB115" t="s">
        <v>121</v>
      </c>
      <c r="AC115" t="s">
        <v>121</v>
      </c>
      <c r="AD115" t="s">
        <v>121</v>
      </c>
      <c r="AE115" t="s">
        <v>121</v>
      </c>
      <c r="AF115" t="s">
        <v>121</v>
      </c>
      <c r="AG115" s="7">
        <v>15535</v>
      </c>
    </row>
    <row r="116" spans="1:33">
      <c r="A116" t="s">
        <v>129</v>
      </c>
      <c r="B116" t="s">
        <v>442</v>
      </c>
      <c r="C116" t="s">
        <v>198</v>
      </c>
      <c r="D116" t="s">
        <v>115</v>
      </c>
      <c r="E116" s="5">
        <v>25124700</v>
      </c>
      <c r="F116" s="5">
        <f t="shared" si="23"/>
        <v>91403.333333333314</v>
      </c>
      <c r="G116" s="5">
        <f t="shared" si="24"/>
        <v>16130</v>
      </c>
      <c r="H116" s="7">
        <f t="shared" si="25"/>
        <v>27863</v>
      </c>
      <c r="I116" s="7">
        <f t="shared" si="26"/>
        <v>23655</v>
      </c>
      <c r="J116" s="7">
        <f t="shared" si="27"/>
        <v>383338.66666666663</v>
      </c>
      <c r="K116" s="7">
        <f t="shared" si="29"/>
        <v>67648</v>
      </c>
      <c r="L116" s="9">
        <f t="shared" si="31"/>
        <v>0.15000000000000002</v>
      </c>
      <c r="M116" s="6">
        <v>0.85</v>
      </c>
      <c r="N116">
        <v>377</v>
      </c>
      <c r="O116" s="7">
        <v>15753</v>
      </c>
      <c r="P116" t="s">
        <v>121</v>
      </c>
      <c r="Q116" t="s">
        <v>121</v>
      </c>
      <c r="R116" t="s">
        <v>121</v>
      </c>
      <c r="S116" t="s">
        <v>121</v>
      </c>
      <c r="T116" t="s">
        <v>121</v>
      </c>
      <c r="U116" t="s">
        <v>121</v>
      </c>
      <c r="V116" t="s">
        <v>121</v>
      </c>
      <c r="W116" s="7">
        <v>27863</v>
      </c>
      <c r="X116" t="s">
        <v>121</v>
      </c>
      <c r="Y116" t="s">
        <v>121</v>
      </c>
      <c r="Z116" t="s">
        <v>121</v>
      </c>
      <c r="AA116" t="s">
        <v>121</v>
      </c>
      <c r="AB116" t="s">
        <v>121</v>
      </c>
      <c r="AC116" t="s">
        <v>121</v>
      </c>
      <c r="AD116" t="s">
        <v>121</v>
      </c>
      <c r="AE116" t="s">
        <v>121</v>
      </c>
      <c r="AF116" t="s">
        <v>121</v>
      </c>
      <c r="AG116" s="7">
        <v>23655</v>
      </c>
    </row>
    <row r="117" spans="1:33">
      <c r="A117" t="s">
        <v>296</v>
      </c>
      <c r="B117" t="s">
        <v>442</v>
      </c>
      <c r="C117" t="s">
        <v>335</v>
      </c>
      <c r="D117" t="s">
        <v>115</v>
      </c>
      <c r="E117" s="7">
        <v>6723551</v>
      </c>
      <c r="F117" s="5">
        <f t="shared" si="23"/>
        <v>20175.042367237878</v>
      </c>
      <c r="G117" s="5">
        <f t="shared" si="24"/>
        <v>8601.7799999999988</v>
      </c>
      <c r="H117" s="7">
        <f t="shared" si="25"/>
        <v>14858.55</v>
      </c>
      <c r="I117" s="7">
        <f t="shared" si="26"/>
        <v>12614.86</v>
      </c>
      <c r="J117" s="7">
        <f t="shared" si="27"/>
        <v>84612.54375910059</v>
      </c>
      <c r="K117" s="7">
        <f t="shared" si="29"/>
        <v>36075.19</v>
      </c>
      <c r="L117" s="9">
        <v>0.29891347592960921</v>
      </c>
      <c r="M117" s="6">
        <f>SUM(1-L117)</f>
        <v>0.70108652407039074</v>
      </c>
      <c r="N117" s="3">
        <v>200.98</v>
      </c>
      <c r="O117" s="3">
        <v>8400.7999999999993</v>
      </c>
      <c r="R117" t="s">
        <v>121</v>
      </c>
      <c r="S117" t="s">
        <v>121</v>
      </c>
      <c r="T117" t="s">
        <v>121</v>
      </c>
      <c r="U117" t="s">
        <v>121</v>
      </c>
      <c r="V117" t="s">
        <v>121</v>
      </c>
      <c r="W117" s="3">
        <v>14858.55</v>
      </c>
      <c r="Y117" t="s">
        <v>121</v>
      </c>
      <c r="AE117" t="s">
        <v>121</v>
      </c>
      <c r="AF117" t="s">
        <v>121</v>
      </c>
      <c r="AG117" s="10">
        <v>12614.86</v>
      </c>
    </row>
    <row r="118" spans="1:33">
      <c r="A118" t="s">
        <v>311</v>
      </c>
      <c r="B118" t="s">
        <v>441</v>
      </c>
      <c r="C118" t="s">
        <v>340</v>
      </c>
      <c r="D118" t="s">
        <v>115</v>
      </c>
      <c r="E118" s="7">
        <v>2169357</v>
      </c>
      <c r="F118" s="5">
        <f t="shared" si="23"/>
        <v>6445.6407654910945</v>
      </c>
      <c r="G118" s="5">
        <f t="shared" si="24"/>
        <v>2839.2000000000003</v>
      </c>
      <c r="H118" s="7">
        <f t="shared" si="25"/>
        <v>5768.61</v>
      </c>
      <c r="I118" s="7">
        <f t="shared" si="26"/>
        <v>7045.4600000000009</v>
      </c>
      <c r="J118" s="7">
        <f t="shared" si="27"/>
        <v>35536.543824048596</v>
      </c>
      <c r="K118" s="7">
        <f t="shared" si="29"/>
        <v>15653.27</v>
      </c>
      <c r="L118" s="9">
        <v>0.30578876597996552</v>
      </c>
      <c r="M118" s="6">
        <f>SUM(1-L118)</f>
        <v>0.69421123402003448</v>
      </c>
      <c r="N118" s="3">
        <v>66.34</v>
      </c>
      <c r="O118" s="3">
        <v>2772.86</v>
      </c>
      <c r="R118">
        <v>392.71</v>
      </c>
      <c r="S118" s="10">
        <v>2356.27</v>
      </c>
      <c r="T118">
        <v>132.66999999999999</v>
      </c>
      <c r="U118">
        <v>6.63</v>
      </c>
      <c r="V118" s="10">
        <v>5761.98</v>
      </c>
      <c r="W118" s="3" t="s">
        <v>121</v>
      </c>
      <c r="Y118" t="s">
        <v>121</v>
      </c>
      <c r="AE118" t="s">
        <v>121</v>
      </c>
      <c r="AF118" t="s">
        <v>121</v>
      </c>
      <c r="AG118" s="10">
        <v>4163.8100000000004</v>
      </c>
    </row>
    <row r="119" spans="1:33">
      <c r="A119" t="s">
        <v>322</v>
      </c>
      <c r="B119" t="s">
        <v>531</v>
      </c>
      <c r="C119" t="s">
        <v>346</v>
      </c>
      <c r="D119" t="s">
        <v>115</v>
      </c>
      <c r="E119" s="7">
        <v>62829730</v>
      </c>
      <c r="F119" s="5">
        <f t="shared" si="23"/>
        <v>134455.62</v>
      </c>
      <c r="G119" s="5">
        <f t="shared" si="24"/>
        <v>134455.62</v>
      </c>
      <c r="H119" s="7">
        <f t="shared" si="25"/>
        <v>232256.38</v>
      </c>
      <c r="I119" s="7">
        <f t="shared" si="26"/>
        <v>197184.82</v>
      </c>
      <c r="J119" s="7">
        <f t="shared" si="27"/>
        <v>563896.82000000007</v>
      </c>
      <c r="K119" s="7">
        <f t="shared" si="29"/>
        <v>563896.82000000007</v>
      </c>
      <c r="L119" s="9">
        <v>0.5</v>
      </c>
      <c r="M119" s="6">
        <f>SUM(1-L119)</f>
        <v>0.5</v>
      </c>
      <c r="N119" s="3">
        <v>3141.49</v>
      </c>
      <c r="O119" s="3">
        <v>131314.13</v>
      </c>
      <c r="R119" t="s">
        <v>121</v>
      </c>
      <c r="S119" t="s">
        <v>121</v>
      </c>
      <c r="T119" t="s">
        <v>121</v>
      </c>
      <c r="U119" t="s">
        <v>121</v>
      </c>
      <c r="V119" t="s">
        <v>121</v>
      </c>
      <c r="W119" s="3">
        <v>232256.38</v>
      </c>
      <c r="Y119" t="s">
        <v>121</v>
      </c>
      <c r="AE119" t="s">
        <v>121</v>
      </c>
      <c r="AF119" t="s">
        <v>121</v>
      </c>
      <c r="AG119" s="10">
        <v>197184.82</v>
      </c>
    </row>
  </sheetData>
  <sortState ref="A2:AK119">
    <sortCondition ref="D2:D11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pane ySplit="1" topLeftCell="A2" activePane="bottomLeft" state="frozen"/>
      <selection pane="bottomLeft" activeCell="G3" sqref="G3:G41"/>
    </sheetView>
  </sheetViews>
  <sheetFormatPr baseColWidth="10" defaultColWidth="8.83203125" defaultRowHeight="14" x14ac:dyDescent="0"/>
  <cols>
    <col min="1" max="1" width="14.6640625" bestFit="1" customWidth="1"/>
    <col min="3" max="3" width="31" bestFit="1" customWidth="1"/>
    <col min="4" max="4" width="14.83203125" bestFit="1" customWidth="1"/>
    <col min="5" max="5" width="18.33203125" bestFit="1" customWidth="1"/>
    <col min="6" max="7" width="18.1640625" customWidth="1"/>
    <col min="8" max="8" width="19.6640625" bestFit="1" customWidth="1"/>
    <col min="9" max="9" width="19.6640625" customWidth="1"/>
    <col min="10" max="10" width="19.33203125" bestFit="1" customWidth="1"/>
    <col min="11" max="11" width="19.33203125" customWidth="1"/>
    <col min="12" max="12" width="16.6640625" bestFit="1" customWidth="1"/>
    <col min="13" max="14" width="12.1640625" bestFit="1" customWidth="1"/>
  </cols>
  <sheetData>
    <row r="1" spans="1:16">
      <c r="A1" s="1" t="s">
        <v>0</v>
      </c>
      <c r="B1" s="1" t="s">
        <v>411</v>
      </c>
      <c r="C1" s="1" t="s">
        <v>1</v>
      </c>
      <c r="D1" s="1" t="s">
        <v>52</v>
      </c>
      <c r="E1" s="2" t="s">
        <v>594</v>
      </c>
      <c r="F1" s="2" t="s">
        <v>593</v>
      </c>
      <c r="G1" s="2" t="s">
        <v>91</v>
      </c>
      <c r="H1" s="2" t="s">
        <v>61</v>
      </c>
      <c r="I1" s="2" t="s">
        <v>645</v>
      </c>
      <c r="J1" s="2" t="s">
        <v>191</v>
      </c>
      <c r="K1" s="2" t="s">
        <v>423</v>
      </c>
      <c r="L1" s="2" t="s">
        <v>348</v>
      </c>
      <c r="M1" s="2" t="s">
        <v>328</v>
      </c>
      <c r="N1" s="2" t="s">
        <v>333</v>
      </c>
      <c r="O1" s="2" t="s">
        <v>48</v>
      </c>
      <c r="P1" s="2" t="s">
        <v>349</v>
      </c>
    </row>
    <row r="2" spans="1:16">
      <c r="A2" s="29" t="s">
        <v>591</v>
      </c>
      <c r="B2" t="s">
        <v>642</v>
      </c>
      <c r="C2" s="28" t="s">
        <v>641</v>
      </c>
      <c r="D2" t="s">
        <v>643</v>
      </c>
      <c r="E2" s="3"/>
      <c r="F2" s="39">
        <v>8318940</v>
      </c>
      <c r="G2" s="39"/>
      <c r="H2" s="39">
        <f>SUM(F2*0.4*0.01485)</f>
        <v>49414.503600000004</v>
      </c>
      <c r="I2" s="40"/>
      <c r="J2" s="3">
        <f>SUM(F2*0.4*0.0189)</f>
        <v>62891.186399999999</v>
      </c>
      <c r="K2" s="3">
        <v>0</v>
      </c>
      <c r="L2" s="3">
        <v>0</v>
      </c>
      <c r="M2" s="3"/>
      <c r="N2" s="3">
        <f>SUM(F2*0.4*0.03375)</f>
        <v>112305.69</v>
      </c>
      <c r="O2" s="9">
        <f>SUM(N2/(M3+N2))</f>
        <v>0.7</v>
      </c>
    </row>
    <row r="3" spans="1:16">
      <c r="A3" s="30" t="s">
        <v>592</v>
      </c>
      <c r="B3" t="s">
        <v>642</v>
      </c>
      <c r="C3" s="28" t="s">
        <v>641</v>
      </c>
      <c r="D3" t="s">
        <v>643</v>
      </c>
      <c r="E3" s="41">
        <v>3565260</v>
      </c>
      <c r="F3" s="3"/>
      <c r="G3" s="3">
        <f>SUM(E3*0.4*0.01485)</f>
        <v>21177.644400000001</v>
      </c>
      <c r="H3" s="3"/>
      <c r="I3" s="3">
        <v>26953.37</v>
      </c>
      <c r="J3" s="3"/>
      <c r="K3" s="3">
        <v>0</v>
      </c>
      <c r="L3" s="3">
        <v>0</v>
      </c>
      <c r="M3" s="3">
        <f>SUM(E3*0.4*0.03375)</f>
        <v>48131.01</v>
      </c>
      <c r="N3" s="3"/>
      <c r="O3" s="9"/>
      <c r="P3" s="6">
        <f>SUM(1-O2)</f>
        <v>0.30000000000000004</v>
      </c>
    </row>
    <row r="4" spans="1:16">
      <c r="A4" s="29" t="s">
        <v>595</v>
      </c>
      <c r="B4" t="s">
        <v>646</v>
      </c>
      <c r="C4" s="28" t="s">
        <v>647</v>
      </c>
      <c r="D4" t="s">
        <v>644</v>
      </c>
      <c r="E4" s="3"/>
      <c r="F4" s="42">
        <v>2400000</v>
      </c>
      <c r="G4" s="43"/>
      <c r="H4" s="3">
        <f>SUM(F4*0.4*0.01335)</f>
        <v>12816</v>
      </c>
      <c r="I4" s="3"/>
      <c r="J4" s="3">
        <f>SUM(F4*0.4*0.0189)</f>
        <v>18144</v>
      </c>
      <c r="K4" s="3">
        <v>0</v>
      </c>
      <c r="L4" s="3">
        <v>0</v>
      </c>
      <c r="M4" s="3"/>
      <c r="N4" s="3">
        <f>SUM(F4*0.4*0.03225)</f>
        <v>30960</v>
      </c>
      <c r="O4" s="9">
        <f t="shared" ref="O4:O40" si="0">SUM(N4/(M5+N4))</f>
        <v>0.14117647058823529</v>
      </c>
      <c r="P4" s="6"/>
    </row>
    <row r="5" spans="1:16">
      <c r="A5" s="32" t="s">
        <v>596</v>
      </c>
      <c r="B5" t="s">
        <v>646</v>
      </c>
      <c r="C5" s="28" t="s">
        <v>647</v>
      </c>
      <c r="D5" t="s">
        <v>644</v>
      </c>
      <c r="E5" s="44">
        <v>14600000</v>
      </c>
      <c r="F5" s="3"/>
      <c r="G5" s="3">
        <f>SUM(E5*0.4*0.01335)</f>
        <v>77964</v>
      </c>
      <c r="H5" s="3"/>
      <c r="I5" s="3">
        <v>110376</v>
      </c>
      <c r="J5" s="3"/>
      <c r="K5" s="3">
        <v>0</v>
      </c>
      <c r="L5" s="3">
        <v>0</v>
      </c>
      <c r="M5" s="3">
        <f>SUM(E5*0.4*0.03225)</f>
        <v>188340</v>
      </c>
      <c r="N5" s="3"/>
      <c r="O5" s="9"/>
      <c r="P5" s="6">
        <f t="shared" ref="P5:P41" si="1">SUM(1-O4)</f>
        <v>0.85882352941176476</v>
      </c>
    </row>
    <row r="6" spans="1:16">
      <c r="A6" s="34" t="s">
        <v>598</v>
      </c>
      <c r="B6" t="s">
        <v>648</v>
      </c>
      <c r="C6" s="33" t="s">
        <v>597</v>
      </c>
      <c r="D6" t="s">
        <v>643</v>
      </c>
      <c r="E6" s="3"/>
      <c r="F6" s="42">
        <v>2677476</v>
      </c>
      <c r="G6" s="43"/>
      <c r="H6" s="39">
        <f>SUM(F6*0.4*0.01485)</f>
        <v>15904.207440000002</v>
      </c>
      <c r="I6" s="3"/>
      <c r="J6" s="3">
        <f>SUM(F6*0.4*0.0189)</f>
        <v>20241.718560000001</v>
      </c>
      <c r="K6" s="3">
        <v>0</v>
      </c>
      <c r="L6" s="3">
        <v>0</v>
      </c>
      <c r="M6" s="3"/>
      <c r="N6" s="3">
        <f>SUM(F6*0.4*0.03375)</f>
        <v>36145.926000000007</v>
      </c>
      <c r="O6" s="9">
        <f t="shared" si="0"/>
        <v>0.1000000112045835</v>
      </c>
      <c r="P6" s="6"/>
    </row>
    <row r="7" spans="1:16">
      <c r="A7" s="35" t="s">
        <v>599</v>
      </c>
      <c r="B7" t="s">
        <v>648</v>
      </c>
      <c r="C7" s="33" t="s">
        <v>597</v>
      </c>
      <c r="D7" t="s">
        <v>643</v>
      </c>
      <c r="E7" s="44">
        <v>24097281</v>
      </c>
      <c r="F7" s="3"/>
      <c r="G7" s="3">
        <f>SUM(E7*0.4*0.01485)</f>
        <v>143137.84914000001</v>
      </c>
      <c r="H7" s="3"/>
      <c r="I7" s="3">
        <f>SUM(E7*0.4*0.0189)</f>
        <v>182175.44435999999</v>
      </c>
      <c r="J7" s="3"/>
      <c r="K7" s="3">
        <v>0</v>
      </c>
      <c r="L7" s="3">
        <v>0</v>
      </c>
      <c r="M7" s="3">
        <f>SUM(E7*0.4*0.03375)</f>
        <v>325313.29350000003</v>
      </c>
      <c r="N7" s="3"/>
      <c r="O7" s="9"/>
      <c r="P7" s="6">
        <f t="shared" si="1"/>
        <v>0.89999998879541654</v>
      </c>
    </row>
    <row r="8" spans="1:16">
      <c r="A8" s="29" t="s">
        <v>598</v>
      </c>
      <c r="B8" t="s">
        <v>649</v>
      </c>
      <c r="C8" s="28" t="s">
        <v>600</v>
      </c>
      <c r="D8" t="s">
        <v>643</v>
      </c>
      <c r="E8" s="3"/>
      <c r="F8" s="39">
        <v>2757920</v>
      </c>
      <c r="G8" s="40"/>
      <c r="H8" s="39">
        <f>SUM(F8*0.4*0.01485)</f>
        <v>16382.0448</v>
      </c>
      <c r="I8" s="3"/>
      <c r="J8" s="3">
        <f>SUM(F8*0.4*0.0189)</f>
        <v>20849.875199999999</v>
      </c>
      <c r="K8" s="3">
        <v>0</v>
      </c>
      <c r="L8" s="3">
        <v>0</v>
      </c>
      <c r="M8" s="3"/>
      <c r="N8" s="3">
        <f>SUM(F8*0.4*0.03375)</f>
        <v>37231.920000000006</v>
      </c>
      <c r="O8" s="9">
        <f t="shared" si="0"/>
        <v>0.60000004351105496</v>
      </c>
      <c r="P8" s="6"/>
    </row>
    <row r="9" spans="1:16">
      <c r="A9" s="32" t="s">
        <v>599</v>
      </c>
      <c r="B9" t="s">
        <v>650</v>
      </c>
      <c r="C9" s="28" t="s">
        <v>600</v>
      </c>
      <c r="D9" t="s">
        <v>643</v>
      </c>
      <c r="E9" s="41">
        <v>1838613</v>
      </c>
      <c r="F9" s="3"/>
      <c r="G9" s="3">
        <f>SUM(E9*0.4*0.01485)</f>
        <v>10921.361220000001</v>
      </c>
      <c r="H9" s="3"/>
      <c r="I9" s="3">
        <f>SUM(E9*0.4*0.0189)</f>
        <v>13899.914280000001</v>
      </c>
      <c r="J9" s="3"/>
      <c r="K9" s="3">
        <v>0</v>
      </c>
      <c r="L9" s="3">
        <v>0</v>
      </c>
      <c r="M9" s="3">
        <f>SUM(E9*0.4*0.03375)</f>
        <v>24821.275500000003</v>
      </c>
      <c r="N9" s="3"/>
      <c r="O9" s="9"/>
      <c r="P9" s="6">
        <f t="shared" si="1"/>
        <v>0.39999995648894504</v>
      </c>
    </row>
    <row r="10" spans="1:16">
      <c r="A10" s="31" t="s">
        <v>602</v>
      </c>
      <c r="B10" t="s">
        <v>651</v>
      </c>
      <c r="C10" s="33" t="s">
        <v>601</v>
      </c>
      <c r="D10" t="s">
        <v>652</v>
      </c>
      <c r="E10" s="3"/>
      <c r="F10" s="39">
        <v>1415686</v>
      </c>
      <c r="G10" s="40"/>
      <c r="H10" s="3">
        <f>SUM(F10*0.4*0.0173)</f>
        <v>9796.5471199999993</v>
      </c>
      <c r="I10" s="3"/>
      <c r="J10" s="3">
        <f>SUM(F10*0.4*0.0189)</f>
        <v>10702.586160000001</v>
      </c>
      <c r="K10" s="3">
        <v>0</v>
      </c>
      <c r="L10" s="3">
        <v>0</v>
      </c>
      <c r="M10" s="3"/>
      <c r="N10" s="3">
        <f>SUM(F10*0.4*0.0362)</f>
        <v>20499.133280000002</v>
      </c>
      <c r="O10" s="9">
        <f t="shared" si="0"/>
        <v>0.18181822852043042</v>
      </c>
      <c r="P10" s="6"/>
    </row>
    <row r="11" spans="1:16">
      <c r="A11" s="32" t="s">
        <v>603</v>
      </c>
      <c r="B11" t="s">
        <v>651</v>
      </c>
      <c r="C11" s="33" t="s">
        <v>601</v>
      </c>
      <c r="D11" s="37" t="s">
        <v>652</v>
      </c>
      <c r="E11" s="41">
        <v>6370585</v>
      </c>
      <c r="F11" s="3"/>
      <c r="G11" s="3">
        <f>SUM(E11*0.4*0.0173)</f>
        <v>44084.448199999999</v>
      </c>
      <c r="H11" s="3"/>
      <c r="I11" s="3">
        <v>48161.62</v>
      </c>
      <c r="J11" s="3"/>
      <c r="K11" s="3">
        <v>0</v>
      </c>
      <c r="L11" s="3">
        <v>0</v>
      </c>
      <c r="M11" s="3">
        <f>SUM(E11*0.4*0.0362)</f>
        <v>92246.070800000001</v>
      </c>
      <c r="N11" s="3"/>
      <c r="O11" s="9"/>
      <c r="P11" s="6">
        <f t="shared" si="1"/>
        <v>0.81818177147956961</v>
      </c>
    </row>
    <row r="12" spans="1:16">
      <c r="A12" s="29" t="s">
        <v>605</v>
      </c>
      <c r="B12" t="s">
        <v>653</v>
      </c>
      <c r="C12" s="33" t="s">
        <v>604</v>
      </c>
      <c r="D12" t="s">
        <v>644</v>
      </c>
      <c r="E12" s="3"/>
      <c r="F12" s="39">
        <v>1153055</v>
      </c>
      <c r="G12" s="40"/>
      <c r="H12" s="3">
        <f>SUM(F12*0.4*0.01335)</f>
        <v>6157.3137000000006</v>
      </c>
      <c r="I12" s="3"/>
      <c r="J12" s="3">
        <f>SUM(F12*0.4*0.0189)</f>
        <v>8717.095800000001</v>
      </c>
      <c r="K12" s="3">
        <v>0</v>
      </c>
      <c r="L12" s="3">
        <v>0</v>
      </c>
      <c r="M12" s="3"/>
      <c r="N12" s="3">
        <f>SUM(F12*0.4*0.03225)</f>
        <v>14874.4095</v>
      </c>
      <c r="O12" s="9">
        <f t="shared" si="0"/>
        <v>5.5262111074899832E-2</v>
      </c>
      <c r="P12" s="6"/>
    </row>
    <row r="13" spans="1:16">
      <c r="A13" s="32" t="s">
        <v>606</v>
      </c>
      <c r="B13" t="s">
        <v>653</v>
      </c>
      <c r="C13" s="33" t="s">
        <v>604</v>
      </c>
      <c r="D13" t="s">
        <v>644</v>
      </c>
      <c r="E13" s="41">
        <v>19712145</v>
      </c>
      <c r="F13" s="3"/>
      <c r="G13" s="3">
        <f>SUM(E13*0.4*0.01335)</f>
        <v>105262.85430000001</v>
      </c>
      <c r="H13" s="3"/>
      <c r="I13" s="3">
        <v>149023.82</v>
      </c>
      <c r="J13" s="3"/>
      <c r="K13" s="3">
        <v>0</v>
      </c>
      <c r="L13" s="3">
        <v>0</v>
      </c>
      <c r="M13" s="3">
        <f>SUM(E13*0.4*0.03225)</f>
        <v>254286.67050000001</v>
      </c>
      <c r="N13" s="3"/>
      <c r="O13" s="9"/>
      <c r="P13" s="6">
        <f t="shared" si="1"/>
        <v>0.94473788892510013</v>
      </c>
    </row>
    <row r="14" spans="1:16">
      <c r="A14" s="29" t="s">
        <v>608</v>
      </c>
      <c r="B14" t="s">
        <v>654</v>
      </c>
      <c r="C14" s="33" t="s">
        <v>607</v>
      </c>
      <c r="D14" t="s">
        <v>644</v>
      </c>
      <c r="E14" s="3"/>
      <c r="F14" s="39">
        <v>619160</v>
      </c>
      <c r="G14" s="40"/>
      <c r="H14" s="3">
        <f>SUM(F14*0.4*0.01335)</f>
        <v>3306.3144000000002</v>
      </c>
      <c r="I14" s="3"/>
      <c r="J14" s="3">
        <f>SUM(F14*0.4*0.0189)</f>
        <v>4680.8496000000005</v>
      </c>
      <c r="K14" s="3">
        <v>0</v>
      </c>
      <c r="L14" s="3">
        <v>0</v>
      </c>
      <c r="M14" s="3"/>
      <c r="N14" s="3">
        <f>SUM(F14*0.4*0.03225)</f>
        <v>7987.1640000000007</v>
      </c>
      <c r="O14" s="9">
        <f t="shared" si="0"/>
        <v>0.19999999999999998</v>
      </c>
      <c r="P14" s="6"/>
    </row>
    <row r="15" spans="1:16">
      <c r="A15" s="32" t="s">
        <v>609</v>
      </c>
      <c r="B15" t="s">
        <v>654</v>
      </c>
      <c r="C15" s="33" t="s">
        <v>607</v>
      </c>
      <c r="D15" t="s">
        <v>644</v>
      </c>
      <c r="E15" s="41">
        <v>2476640</v>
      </c>
      <c r="F15" s="3"/>
      <c r="G15" s="3">
        <f>SUM(E15*0.4*0.01335)</f>
        <v>13225.257600000001</v>
      </c>
      <c r="H15" s="3"/>
      <c r="I15" s="3">
        <v>18723.400000000001</v>
      </c>
      <c r="J15" s="3"/>
      <c r="K15" s="3">
        <v>0</v>
      </c>
      <c r="L15" s="3">
        <v>0</v>
      </c>
      <c r="M15" s="3">
        <f>SUM(E15*0.4*0.03225)</f>
        <v>31948.656000000003</v>
      </c>
      <c r="N15" s="3"/>
      <c r="O15" s="9"/>
      <c r="P15" s="6">
        <f t="shared" si="1"/>
        <v>0.8</v>
      </c>
    </row>
    <row r="16" spans="1:16">
      <c r="A16" s="29" t="s">
        <v>610</v>
      </c>
      <c r="B16" t="s">
        <v>655</v>
      </c>
      <c r="C16" s="33" t="s">
        <v>611</v>
      </c>
      <c r="D16" t="s">
        <v>652</v>
      </c>
      <c r="E16" s="3"/>
      <c r="F16" s="39">
        <v>5777609</v>
      </c>
      <c r="G16" s="40"/>
      <c r="H16" s="3">
        <f>SUM(F16*0.4*0.0173)</f>
        <v>39981.054279999997</v>
      </c>
      <c r="I16" s="3"/>
      <c r="J16" s="3">
        <f>SUM(F16*0.4*0.0189)</f>
        <v>43678.724040000001</v>
      </c>
      <c r="K16" s="3">
        <v>0</v>
      </c>
      <c r="L16" s="3">
        <v>0</v>
      </c>
      <c r="M16" s="3"/>
      <c r="N16" s="3">
        <f>SUM(F16*0.4*0.0362)</f>
        <v>83659.778320000012</v>
      </c>
      <c r="O16" s="9">
        <f t="shared" si="0"/>
        <v>0.20000994232310207</v>
      </c>
      <c r="P16" s="6"/>
    </row>
    <row r="17" spans="1:16">
      <c r="A17" s="32" t="s">
        <v>612</v>
      </c>
      <c r="B17" t="s">
        <v>655</v>
      </c>
      <c r="C17" s="33" t="s">
        <v>611</v>
      </c>
      <c r="D17" s="37" t="s">
        <v>652</v>
      </c>
      <c r="E17" s="41">
        <v>23109000</v>
      </c>
      <c r="F17" s="3"/>
      <c r="G17" s="3">
        <f>SUM(E17*0.4*0.0173)</f>
        <v>159914.28</v>
      </c>
      <c r="H17" s="3">
        <f>SUM(F17*0.4*0.0173)</f>
        <v>0</v>
      </c>
      <c r="I17" s="3">
        <v>174704.04</v>
      </c>
      <c r="J17" s="3"/>
      <c r="K17" s="3">
        <v>0</v>
      </c>
      <c r="L17" s="3">
        <v>0</v>
      </c>
      <c r="M17" s="3">
        <f>SUM(E17*0.4*0.0362)</f>
        <v>334618.32</v>
      </c>
      <c r="N17" s="3"/>
      <c r="O17" s="9"/>
      <c r="P17" s="6">
        <f t="shared" si="1"/>
        <v>0.7999900576768979</v>
      </c>
    </row>
    <row r="18" spans="1:16">
      <c r="A18" s="29" t="s">
        <v>613</v>
      </c>
      <c r="B18" t="s">
        <v>656</v>
      </c>
      <c r="C18" s="33" t="s">
        <v>638</v>
      </c>
      <c r="D18" t="s">
        <v>657</v>
      </c>
      <c r="E18" s="3"/>
      <c r="F18" s="39">
        <v>10037037</v>
      </c>
      <c r="G18" s="40"/>
      <c r="H18" s="3">
        <f>SUM(F18*0.4*0.0123)</f>
        <v>49382.222040000001</v>
      </c>
      <c r="I18" s="3"/>
      <c r="J18" s="3">
        <f>SUM(F18*0.4*0.0189)</f>
        <v>75879.999720000007</v>
      </c>
      <c r="K18" s="3">
        <v>0</v>
      </c>
      <c r="L18" s="3">
        <v>0</v>
      </c>
      <c r="M18" s="3"/>
      <c r="N18" s="3">
        <f>SUM(F18*0.4*0.0312)</f>
        <v>125262.22176</v>
      </c>
      <c r="O18" s="9">
        <f t="shared" si="0"/>
        <v>0.3</v>
      </c>
      <c r="P18" s="6"/>
    </row>
    <row r="19" spans="1:16">
      <c r="A19" s="32" t="s">
        <v>614</v>
      </c>
      <c r="B19" t="s">
        <v>656</v>
      </c>
      <c r="C19" s="33" t="s">
        <v>638</v>
      </c>
      <c r="D19" t="s">
        <v>657</v>
      </c>
      <c r="E19" s="41">
        <v>23419753</v>
      </c>
      <c r="F19" s="3"/>
      <c r="G19" s="3">
        <f>SUM(E19*0.4*0.0123)</f>
        <v>115225.18476000002</v>
      </c>
      <c r="H19" s="3"/>
      <c r="I19" s="3">
        <v>177053.33</v>
      </c>
      <c r="J19" s="3"/>
      <c r="K19" s="3">
        <v>0</v>
      </c>
      <c r="L19" s="3">
        <v>0</v>
      </c>
      <c r="M19" s="3">
        <f>SUM(E19*0.4*0.0312)</f>
        <v>292278.51744000003</v>
      </c>
      <c r="N19" s="3"/>
      <c r="O19" s="9"/>
      <c r="P19" s="6">
        <f t="shared" si="1"/>
        <v>0.7</v>
      </c>
    </row>
    <row r="20" spans="1:16">
      <c r="A20" s="36" t="s">
        <v>615</v>
      </c>
      <c r="B20" t="s">
        <v>648</v>
      </c>
      <c r="C20" s="33" t="s">
        <v>597</v>
      </c>
      <c r="D20" t="s">
        <v>643</v>
      </c>
      <c r="E20" s="3"/>
      <c r="F20" s="45">
        <v>576025</v>
      </c>
      <c r="G20" s="40"/>
      <c r="H20" s="39">
        <f>SUM(F20*0.4*0.01485)</f>
        <v>3421.5885000000003</v>
      </c>
      <c r="I20" s="3"/>
      <c r="J20" s="3">
        <f>SUM(F20*0.4*0.0189)</f>
        <v>4354.7489999999998</v>
      </c>
      <c r="K20" s="3">
        <v>0</v>
      </c>
      <c r="L20" s="3">
        <v>0</v>
      </c>
      <c r="M20" s="3"/>
      <c r="N20" s="3">
        <f>SUM(F20*0.4*0.03375)</f>
        <v>7776.3375000000005</v>
      </c>
      <c r="O20" s="9">
        <f t="shared" si="0"/>
        <v>9.9999826396725167E-2</v>
      </c>
      <c r="P20" s="6"/>
    </row>
    <row r="21" spans="1:16">
      <c r="A21" s="29" t="s">
        <v>616</v>
      </c>
      <c r="B21" t="s">
        <v>648</v>
      </c>
      <c r="C21" s="33" t="s">
        <v>597</v>
      </c>
      <c r="D21" t="s">
        <v>643</v>
      </c>
      <c r="E21" s="39">
        <v>5184235</v>
      </c>
      <c r="F21" s="3"/>
      <c r="G21" s="3">
        <f>SUM(E21*0.4*0.01485)</f>
        <v>30794.355900000002</v>
      </c>
      <c r="H21" s="3"/>
      <c r="I21" s="3">
        <f>SUM(E21*0.4*0.0189)</f>
        <v>39192.816599999998</v>
      </c>
      <c r="J21" s="3"/>
      <c r="K21" s="3">
        <v>0</v>
      </c>
      <c r="L21" s="3">
        <v>0</v>
      </c>
      <c r="M21" s="3">
        <f>SUM(E21*0.4*0.03375)</f>
        <v>69987.172500000001</v>
      </c>
      <c r="N21" s="3"/>
      <c r="O21" s="9"/>
      <c r="P21" s="6">
        <f t="shared" si="1"/>
        <v>0.90000017360327478</v>
      </c>
    </row>
    <row r="22" spans="1:16">
      <c r="A22" s="36" t="s">
        <v>617</v>
      </c>
      <c r="B22" t="s">
        <v>649</v>
      </c>
      <c r="C22" s="28" t="s">
        <v>600</v>
      </c>
      <c r="D22" t="s">
        <v>643</v>
      </c>
      <c r="E22" s="3"/>
      <c r="F22" s="45">
        <v>6059231</v>
      </c>
      <c r="G22" s="40"/>
      <c r="H22" s="39">
        <f>SUM(F22*0.4*0.01485)</f>
        <v>35991.832139999999</v>
      </c>
      <c r="I22" s="3"/>
      <c r="J22" s="3">
        <f>SUM(F22*0.4*0.0189)</f>
        <v>45807.786359999998</v>
      </c>
      <c r="K22" s="3">
        <v>0</v>
      </c>
      <c r="L22" s="3">
        <v>0</v>
      </c>
      <c r="M22" s="3"/>
      <c r="N22" s="3">
        <f>SUM(F22*0.4*0.03375)</f>
        <v>81799.618499999997</v>
      </c>
      <c r="O22" s="9">
        <f t="shared" si="0"/>
        <v>0.59956667399233532</v>
      </c>
      <c r="P22" s="6"/>
    </row>
    <row r="23" spans="1:16">
      <c r="A23" s="29" t="s">
        <v>618</v>
      </c>
      <c r="B23" t="s">
        <v>650</v>
      </c>
      <c r="C23" s="28" t="s">
        <v>600</v>
      </c>
      <c r="D23" t="s">
        <v>643</v>
      </c>
      <c r="E23" s="39">
        <v>4046786</v>
      </c>
      <c r="F23" s="3"/>
      <c r="G23" s="3">
        <f>SUM(E23*0.4*0.01485)</f>
        <v>24037.908840000004</v>
      </c>
      <c r="H23" s="3"/>
      <c r="I23" s="3">
        <f>SUM(E23*0.4*0.0189)</f>
        <v>30593.702160000004</v>
      </c>
      <c r="J23" s="3"/>
      <c r="K23" s="3">
        <v>0</v>
      </c>
      <c r="L23" s="3">
        <v>0</v>
      </c>
      <c r="M23" s="3">
        <f>SUM(E23*0.4*0.03375)</f>
        <v>54631.611000000012</v>
      </c>
      <c r="N23" s="3"/>
      <c r="O23" s="9"/>
      <c r="P23" s="6">
        <f t="shared" si="1"/>
        <v>0.40043332600766468</v>
      </c>
    </row>
    <row r="24" spans="1:16">
      <c r="A24" s="36" t="s">
        <v>619</v>
      </c>
      <c r="B24" t="s">
        <v>658</v>
      </c>
      <c r="C24" s="33" t="s">
        <v>601</v>
      </c>
      <c r="D24" t="s">
        <v>657</v>
      </c>
      <c r="E24" s="3"/>
      <c r="F24" s="45">
        <v>617100</v>
      </c>
      <c r="G24" s="40"/>
      <c r="H24" s="3">
        <f>SUM(F24*0.4*0.0123)</f>
        <v>3036.1320000000001</v>
      </c>
      <c r="I24" s="3"/>
      <c r="J24" s="3">
        <f>SUM(F24*0.4*0.0189)</f>
        <v>4665.2759999999998</v>
      </c>
      <c r="K24" s="3">
        <v>0</v>
      </c>
      <c r="L24" s="3">
        <v>0</v>
      </c>
      <c r="M24" s="3"/>
      <c r="N24" s="3">
        <f>SUM(F24*0.4*0.0312)</f>
        <v>7701.4079999999994</v>
      </c>
      <c r="O24" s="9">
        <f t="shared" si="0"/>
        <v>0.10000022686812124</v>
      </c>
      <c r="P24" s="6"/>
    </row>
    <row r="25" spans="1:16">
      <c r="A25" s="29" t="s">
        <v>620</v>
      </c>
      <c r="B25" t="s">
        <v>658</v>
      </c>
      <c r="C25" s="33" t="s">
        <v>601</v>
      </c>
      <c r="D25" t="s">
        <v>657</v>
      </c>
      <c r="E25" s="39">
        <v>5553886</v>
      </c>
      <c r="F25" s="3"/>
      <c r="G25" s="3">
        <f>SUM(E25*0.4*0.0123)</f>
        <v>27325.119119999999</v>
      </c>
      <c r="H25" s="3"/>
      <c r="I25" s="3">
        <v>41987.37</v>
      </c>
      <c r="J25" s="3"/>
      <c r="K25" s="3">
        <v>0</v>
      </c>
      <c r="L25" s="3">
        <v>0</v>
      </c>
      <c r="M25" s="3">
        <f>SUM(E25*0.4*0.0312)</f>
        <v>69312.497279999996</v>
      </c>
      <c r="N25" s="3"/>
      <c r="O25" s="9"/>
      <c r="P25" s="6">
        <f t="shared" si="1"/>
        <v>0.89999977313187873</v>
      </c>
    </row>
    <row r="26" spans="1:16">
      <c r="A26" s="31" t="s">
        <v>622</v>
      </c>
      <c r="B26" t="s">
        <v>651</v>
      </c>
      <c r="C26" s="33" t="s">
        <v>621</v>
      </c>
      <c r="D26" t="s">
        <v>652</v>
      </c>
      <c r="E26" s="3"/>
      <c r="F26" s="39">
        <v>33188967</v>
      </c>
      <c r="G26" s="40"/>
      <c r="H26" s="3">
        <f>SUM(F26*0.4*0.0173)</f>
        <v>229667.65164</v>
      </c>
      <c r="I26" s="3"/>
      <c r="J26" s="3">
        <f>SUM(F26*0.4*0.0189)</f>
        <v>250908.59052000003</v>
      </c>
      <c r="K26" s="3">
        <v>0</v>
      </c>
      <c r="L26" s="3">
        <v>0</v>
      </c>
      <c r="M26" s="3"/>
      <c r="N26" s="3">
        <f>SUM(F26*0.4*0.0362)</f>
        <v>480576.24216000008</v>
      </c>
      <c r="O26" s="9">
        <f t="shared" si="0"/>
        <v>1</v>
      </c>
      <c r="P26" s="6"/>
    </row>
    <row r="27" spans="1:16">
      <c r="A27" s="31" t="s">
        <v>623</v>
      </c>
      <c r="B27" t="s">
        <v>651</v>
      </c>
      <c r="C27" s="33" t="s">
        <v>621</v>
      </c>
      <c r="D27" s="37" t="s">
        <v>652</v>
      </c>
      <c r="E27" s="39">
        <v>0</v>
      </c>
      <c r="F27" s="3"/>
      <c r="G27" s="3">
        <f>SUM(E27*0.4*0.0173)</f>
        <v>0</v>
      </c>
      <c r="H27" s="3"/>
      <c r="I27" s="3">
        <f>SUM(E27*0.4*0.0189)</f>
        <v>0</v>
      </c>
      <c r="J27" s="3"/>
      <c r="K27" s="3">
        <v>0</v>
      </c>
      <c r="L27" s="3">
        <v>0</v>
      </c>
      <c r="M27" s="3">
        <f>SUM(E27*0.4*0.0362)</f>
        <v>0</v>
      </c>
      <c r="N27" s="3"/>
      <c r="O27" s="9"/>
      <c r="P27" s="6">
        <f t="shared" si="1"/>
        <v>0</v>
      </c>
    </row>
    <row r="28" spans="1:16">
      <c r="A28" s="36" t="s">
        <v>625</v>
      </c>
      <c r="B28" t="s">
        <v>642</v>
      </c>
      <c r="C28" s="33" t="s">
        <v>624</v>
      </c>
      <c r="D28" s="37" t="s">
        <v>56</v>
      </c>
      <c r="E28" s="3"/>
      <c r="F28" s="45">
        <v>2320015</v>
      </c>
      <c r="G28" s="40"/>
      <c r="H28" s="3">
        <f>SUM(F28*0.4*0.00985)</f>
        <v>9140.8590999999997</v>
      </c>
      <c r="I28" s="3"/>
      <c r="J28" s="3">
        <f>SUM(F28*0.4*0.0189)</f>
        <v>17539.313399999999</v>
      </c>
      <c r="K28" s="3">
        <v>0</v>
      </c>
      <c r="L28" s="3">
        <v>0</v>
      </c>
      <c r="M28" s="3"/>
      <c r="N28" s="3">
        <f>SUM(F28*0.4*0.02875)</f>
        <v>26680.172500000001</v>
      </c>
      <c r="O28" s="9">
        <f t="shared" si="0"/>
        <v>0.70000003017222001</v>
      </c>
      <c r="P28" s="6"/>
    </row>
    <row r="29" spans="1:16">
      <c r="A29" s="29" t="s">
        <v>626</v>
      </c>
      <c r="B29" t="s">
        <v>642</v>
      </c>
      <c r="C29" s="33" t="s">
        <v>624</v>
      </c>
      <c r="D29" s="37" t="s">
        <v>56</v>
      </c>
      <c r="E29" s="39">
        <v>994292</v>
      </c>
      <c r="F29" s="3"/>
      <c r="G29" s="3">
        <f>SUM(E29*0.4*0.00985)</f>
        <v>3917.5104800000004</v>
      </c>
      <c r="H29" s="3"/>
      <c r="I29" s="3">
        <v>7516.85</v>
      </c>
      <c r="J29" s="3"/>
      <c r="K29" s="3">
        <v>0</v>
      </c>
      <c r="L29" s="3">
        <v>0</v>
      </c>
      <c r="M29" s="3">
        <f>SUM(E29*0.4*0.02875)</f>
        <v>11434.358000000002</v>
      </c>
      <c r="N29" s="3"/>
      <c r="O29" s="9"/>
      <c r="P29" s="6">
        <f t="shared" si="1"/>
        <v>0.29999996982777999</v>
      </c>
    </row>
    <row r="30" spans="1:16">
      <c r="A30" s="36" t="s">
        <v>627</v>
      </c>
      <c r="B30" t="s">
        <v>653</v>
      </c>
      <c r="C30" s="33" t="s">
        <v>604</v>
      </c>
      <c r="D30" s="37" t="s">
        <v>56</v>
      </c>
      <c r="E30" s="3"/>
      <c r="F30" s="45">
        <v>242339</v>
      </c>
      <c r="G30" s="40"/>
      <c r="H30" s="3">
        <f>SUM(F30*0.4*0.00985)</f>
        <v>954.81565999999998</v>
      </c>
      <c r="I30" s="3"/>
      <c r="J30" s="3">
        <f>SUM(F30*0.4*0.0189)</f>
        <v>1832.08284</v>
      </c>
      <c r="K30" s="3">
        <v>0</v>
      </c>
      <c r="L30" s="3">
        <v>0</v>
      </c>
      <c r="M30" s="3"/>
      <c r="N30" s="3">
        <f>SUM(F30*0.4*0.02875)</f>
        <v>2786.8985000000002</v>
      </c>
      <c r="O30" s="9">
        <f t="shared" si="0"/>
        <v>2.8914891266244559E-2</v>
      </c>
      <c r="P30" s="6"/>
    </row>
    <row r="31" spans="1:16">
      <c r="A31" s="29" t="s">
        <v>628</v>
      </c>
      <c r="B31" t="s">
        <v>653</v>
      </c>
      <c r="C31" s="33" t="s">
        <v>604</v>
      </c>
      <c r="D31" s="37" t="s">
        <v>56</v>
      </c>
      <c r="E31" s="39">
        <v>8138775</v>
      </c>
      <c r="F31" s="3"/>
      <c r="G31" s="3">
        <f>SUM(E31*0.4*0.00985)</f>
        <v>32066.773499999999</v>
      </c>
      <c r="H31" s="3"/>
      <c r="I31" s="3">
        <v>61529.14</v>
      </c>
      <c r="J31" s="3"/>
      <c r="K31" s="3">
        <v>0</v>
      </c>
      <c r="L31" s="3">
        <v>0</v>
      </c>
      <c r="M31" s="3">
        <f>SUM(E31*0.4*0.02875)</f>
        <v>93595.912500000006</v>
      </c>
      <c r="N31" s="3"/>
      <c r="O31" s="9"/>
      <c r="P31" s="6">
        <f t="shared" si="1"/>
        <v>0.97108510873375542</v>
      </c>
    </row>
    <row r="32" spans="1:16">
      <c r="A32" s="36" t="s">
        <v>630</v>
      </c>
      <c r="B32" t="s">
        <v>659</v>
      </c>
      <c r="C32" s="33" t="s">
        <v>629</v>
      </c>
      <c r="D32" s="37" t="s">
        <v>56</v>
      </c>
      <c r="E32" s="3"/>
      <c r="F32" s="45">
        <v>8536600</v>
      </c>
      <c r="G32" s="40"/>
      <c r="H32" s="3">
        <f>SUM(F32*0.4*0.00985)</f>
        <v>33634.203999999998</v>
      </c>
      <c r="I32" s="3"/>
      <c r="J32" s="3">
        <f>SUM(F32*0.4*0.0189)</f>
        <v>64536.696000000004</v>
      </c>
      <c r="K32" s="3">
        <v>0</v>
      </c>
      <c r="L32" s="3">
        <v>0</v>
      </c>
      <c r="M32" s="3"/>
      <c r="N32" s="3">
        <f>SUM(F32*0.4*0.02875)</f>
        <v>98170.900000000009</v>
      </c>
      <c r="O32" s="9">
        <f t="shared" si="0"/>
        <v>1</v>
      </c>
      <c r="P32" s="6"/>
    </row>
    <row r="33" spans="1:16">
      <c r="A33" s="29" t="s">
        <v>631</v>
      </c>
      <c r="B33" t="s">
        <v>659</v>
      </c>
      <c r="C33" s="33" t="s">
        <v>629</v>
      </c>
      <c r="D33" s="37" t="s">
        <v>56</v>
      </c>
      <c r="E33" s="39">
        <v>0</v>
      </c>
      <c r="F33" s="3"/>
      <c r="G33" s="3">
        <f>SUM(E33*0.4*0.00985)</f>
        <v>0</v>
      </c>
      <c r="H33" s="3"/>
      <c r="I33" s="3">
        <f>SUM(E33*0.4*0.0189)</f>
        <v>0</v>
      </c>
      <c r="J33" s="3"/>
      <c r="K33" s="3">
        <v>0</v>
      </c>
      <c r="L33" s="3">
        <v>0</v>
      </c>
      <c r="M33" s="3">
        <f>SUM(E33*0.4*0.02875)</f>
        <v>0</v>
      </c>
      <c r="N33" s="3"/>
      <c r="O33" s="9"/>
      <c r="P33" s="6">
        <f t="shared" si="1"/>
        <v>0</v>
      </c>
    </row>
    <row r="34" spans="1:16">
      <c r="A34" s="36" t="s">
        <v>660</v>
      </c>
      <c r="B34" t="s">
        <v>662</v>
      </c>
      <c r="C34" s="33" t="s">
        <v>632</v>
      </c>
      <c r="D34" s="37" t="s">
        <v>56</v>
      </c>
      <c r="E34" s="3"/>
      <c r="F34" s="45">
        <v>11627054</v>
      </c>
      <c r="G34" s="40"/>
      <c r="H34" s="3">
        <f>SUM(F34*0.4*0.00985)</f>
        <v>45810.59276</v>
      </c>
      <c r="I34" s="3"/>
      <c r="J34" s="3">
        <f>SUM(F34*0.4*0.0189)</f>
        <v>87900.528240000014</v>
      </c>
      <c r="K34" s="3">
        <v>0</v>
      </c>
      <c r="L34" s="3">
        <v>0</v>
      </c>
      <c r="M34" s="3"/>
      <c r="N34" s="3">
        <f>SUM(F34*0.4*0.02875)</f>
        <v>133711.12100000001</v>
      </c>
      <c r="O34" s="9">
        <f t="shared" si="0"/>
        <v>0.99504422864190734</v>
      </c>
      <c r="P34" s="6"/>
    </row>
    <row r="35" spans="1:16">
      <c r="A35" s="29" t="s">
        <v>661</v>
      </c>
      <c r="B35" t="s">
        <v>662</v>
      </c>
      <c r="C35" s="33" t="s">
        <v>632</v>
      </c>
      <c r="D35" s="37" t="s">
        <v>56</v>
      </c>
      <c r="E35" s="39">
        <v>57908</v>
      </c>
      <c r="F35" s="3"/>
      <c r="G35" s="3">
        <f>SUM(E35*0.4*0.00985)</f>
        <v>228.15752000000001</v>
      </c>
      <c r="H35" s="3"/>
      <c r="I35" s="3">
        <v>437.78</v>
      </c>
      <c r="J35" s="3"/>
      <c r="K35" s="3">
        <v>0</v>
      </c>
      <c r="L35" s="3">
        <v>0</v>
      </c>
      <c r="M35" s="3">
        <f>SUM(E35*0.4*0.02875)</f>
        <v>665.94200000000001</v>
      </c>
      <c r="N35" s="3"/>
      <c r="O35" s="9"/>
      <c r="P35" s="6">
        <f t="shared" si="1"/>
        <v>4.9557713580926643E-3</v>
      </c>
    </row>
    <row r="36" spans="1:16">
      <c r="A36" s="36" t="s">
        <v>634</v>
      </c>
      <c r="B36" t="s">
        <v>663</v>
      </c>
      <c r="C36" s="33" t="s">
        <v>633</v>
      </c>
      <c r="D36" s="37" t="s">
        <v>664</v>
      </c>
      <c r="E36" s="3"/>
      <c r="F36" s="45">
        <v>1437071</v>
      </c>
      <c r="G36" s="40"/>
      <c r="H36" s="3">
        <f>SUM(F36*0.4*0.00689)</f>
        <v>3960.5676760000001</v>
      </c>
      <c r="I36" s="3"/>
      <c r="J36" s="3">
        <f>SUM(F36*0.4*0.01797)</f>
        <v>10329.666348000001</v>
      </c>
      <c r="K36" s="40">
        <v>0</v>
      </c>
      <c r="L36" s="3">
        <f>SUM(F36*0.4*0.005617)</f>
        <v>3228.8111227999998</v>
      </c>
      <c r="M36" s="3"/>
      <c r="N36" s="3">
        <f>SUM(F36*0.4*0.030477)</f>
        <v>17519.045146800003</v>
      </c>
      <c r="O36" s="9">
        <f t="shared" si="0"/>
        <v>0.20750318711747556</v>
      </c>
      <c r="P36" s="6"/>
    </row>
    <row r="37" spans="1:16">
      <c r="A37" s="29" t="s">
        <v>635</v>
      </c>
      <c r="B37" t="s">
        <v>663</v>
      </c>
      <c r="C37" s="33" t="s">
        <v>633</v>
      </c>
      <c r="D37" s="38" t="s">
        <v>664</v>
      </c>
      <c r="E37" s="39">
        <v>5488466</v>
      </c>
      <c r="F37" s="3"/>
      <c r="G37" s="3">
        <f>SUM(E37*0.4*0.00689)</f>
        <v>15126.212296</v>
      </c>
      <c r="H37" s="3"/>
      <c r="I37" s="3">
        <f>SUM(E37*0.4*0.01797)</f>
        <v>39451.093607999996</v>
      </c>
      <c r="J37" s="3"/>
      <c r="K37" s="3">
        <f>SUM(E37*0.4*0.005617)</f>
        <v>12331.485408799999</v>
      </c>
      <c r="L37" s="3">
        <v>0</v>
      </c>
      <c r="M37" s="3">
        <f>SUM(E37*0.4*0.030477)</f>
        <v>66908.791312799993</v>
      </c>
      <c r="N37" s="3"/>
      <c r="O37" s="9"/>
      <c r="P37" s="6">
        <f t="shared" si="1"/>
        <v>0.79249681288252449</v>
      </c>
    </row>
    <row r="38" spans="1:16">
      <c r="A38" s="36" t="s">
        <v>636</v>
      </c>
      <c r="B38" t="s">
        <v>655</v>
      </c>
      <c r="C38" s="33" t="s">
        <v>611</v>
      </c>
      <c r="D38" t="s">
        <v>657</v>
      </c>
      <c r="E38" s="3"/>
      <c r="F38" s="45">
        <v>547102</v>
      </c>
      <c r="G38" s="40"/>
      <c r="H38" s="3">
        <f>SUM(F38*0.4*0.0123)</f>
        <v>2691.7418400000001</v>
      </c>
      <c r="I38" s="3"/>
      <c r="J38" s="3">
        <f>SUM(F38*0.4*0.0189)</f>
        <v>4136.09112</v>
      </c>
      <c r="K38" s="3">
        <v>0</v>
      </c>
      <c r="L38" s="3">
        <v>0</v>
      </c>
      <c r="M38" s="3"/>
      <c r="N38" s="3">
        <f>SUM(F38*0.4*0.0312)</f>
        <v>6827.8329600000006</v>
      </c>
      <c r="O38" s="9">
        <f t="shared" si="0"/>
        <v>0.15569740571675755</v>
      </c>
      <c r="P38" s="6"/>
    </row>
    <row r="39" spans="1:16">
      <c r="A39" s="29" t="s">
        <v>637</v>
      </c>
      <c r="B39" t="s">
        <v>655</v>
      </c>
      <c r="C39" s="33" t="s">
        <v>611</v>
      </c>
      <c r="D39" t="s">
        <v>657</v>
      </c>
      <c r="E39" s="39">
        <v>2966778</v>
      </c>
      <c r="F39" s="3"/>
      <c r="G39" s="3">
        <f>SUM(E39*0.4*0.0123)</f>
        <v>14596.547759999999</v>
      </c>
      <c r="H39" s="3"/>
      <c r="I39" s="3">
        <v>22428.84</v>
      </c>
      <c r="J39" s="3"/>
      <c r="K39" s="3">
        <v>0</v>
      </c>
      <c r="L39" s="3">
        <v>0</v>
      </c>
      <c r="M39" s="3">
        <f>SUM(E39*0.4*0.0312)</f>
        <v>37025.389439999999</v>
      </c>
      <c r="N39" s="3"/>
      <c r="O39" s="9"/>
      <c r="P39" s="6">
        <f t="shared" si="1"/>
        <v>0.8443025942832425</v>
      </c>
    </row>
    <row r="40" spans="1:16">
      <c r="A40" s="36" t="s">
        <v>639</v>
      </c>
      <c r="B40" t="s">
        <v>656</v>
      </c>
      <c r="C40" s="33" t="s">
        <v>638</v>
      </c>
      <c r="D40" t="s">
        <v>657</v>
      </c>
      <c r="E40" s="3"/>
      <c r="F40" s="45">
        <v>1769433</v>
      </c>
      <c r="G40" s="40"/>
      <c r="H40" s="3">
        <f>SUM(F40*0.4*0.0123)</f>
        <v>8705.6103600000006</v>
      </c>
      <c r="I40" s="3"/>
      <c r="J40" s="3">
        <f>SUM(F40*0.4*0.0189)</f>
        <v>13376.913480000001</v>
      </c>
      <c r="K40" s="3">
        <v>0</v>
      </c>
      <c r="L40" s="3">
        <v>0</v>
      </c>
      <c r="M40" s="3"/>
      <c r="N40" s="3">
        <f>SUM(F40*0.4*0.0312)</f>
        <v>22082.523840000002</v>
      </c>
      <c r="O40" s="9">
        <f t="shared" si="0"/>
        <v>0.15742607211481444</v>
      </c>
      <c r="P40" s="6"/>
    </row>
    <row r="41" spans="1:16">
      <c r="A41" s="29" t="s">
        <v>640</v>
      </c>
      <c r="B41" t="s">
        <v>656</v>
      </c>
      <c r="C41" s="33" t="s">
        <v>638</v>
      </c>
      <c r="D41" t="s">
        <v>657</v>
      </c>
      <c r="E41" s="39">
        <v>9470338</v>
      </c>
      <c r="F41" s="3"/>
      <c r="G41" s="3">
        <f>SUM(E41*0.4*0.0123)</f>
        <v>46594.062960000003</v>
      </c>
      <c r="H41" s="3"/>
      <c r="I41" s="3">
        <v>71595.75</v>
      </c>
      <c r="J41" s="3"/>
      <c r="K41" s="3">
        <v>0</v>
      </c>
      <c r="L41" s="3">
        <v>0</v>
      </c>
      <c r="M41" s="3">
        <f>SUM(E41*0.4*0.0312)</f>
        <v>118189.81823999999</v>
      </c>
      <c r="N41" s="3"/>
      <c r="O41" s="9"/>
      <c r="P41" s="6">
        <f t="shared" si="1"/>
        <v>0.84257392788518559</v>
      </c>
    </row>
    <row r="42" spans="1:16">
      <c r="J42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A18" workbookViewId="0">
      <selection activeCell="A45" sqref="A45:N46"/>
    </sheetView>
  </sheetViews>
  <sheetFormatPr baseColWidth="10" defaultColWidth="8.83203125" defaultRowHeight="14" x14ac:dyDescent="0"/>
  <cols>
    <col min="1" max="1" width="10.5" customWidth="1"/>
    <col min="2" max="2" width="27.1640625" customWidth="1"/>
    <col min="3" max="3" width="15" customWidth="1"/>
    <col min="4" max="4" width="18.6640625" customWidth="1"/>
    <col min="5" max="5" width="23.33203125" style="3" customWidth="1"/>
    <col min="6" max="7" width="18.6640625" style="3" customWidth="1"/>
    <col min="8" max="8" width="19.5" style="3" customWidth="1"/>
    <col min="9" max="9" width="19" style="3" customWidth="1"/>
    <col min="10" max="10" width="20.5" style="3" customWidth="1"/>
    <col min="11" max="11" width="20.33203125" style="3" customWidth="1"/>
    <col min="12" max="12" width="13.5" style="3" customWidth="1"/>
    <col min="13" max="13" width="12.6640625" style="3" customWidth="1"/>
  </cols>
  <sheetData>
    <row r="1" spans="1:15">
      <c r="A1" s="1" t="s">
        <v>382</v>
      </c>
      <c r="B1" s="1" t="s">
        <v>1</v>
      </c>
      <c r="C1" s="1" t="s">
        <v>52</v>
      </c>
      <c r="D1" s="1" t="s">
        <v>285</v>
      </c>
      <c r="E1" s="2" t="s">
        <v>350</v>
      </c>
      <c r="F1" s="2" t="s">
        <v>367</v>
      </c>
      <c r="G1" s="2" t="s">
        <v>62</v>
      </c>
      <c r="H1" s="2" t="s">
        <v>61</v>
      </c>
      <c r="I1" s="2" t="s">
        <v>191</v>
      </c>
      <c r="J1" s="2" t="s">
        <v>192</v>
      </c>
      <c r="K1" s="2" t="s">
        <v>351</v>
      </c>
      <c r="L1" s="2" t="s">
        <v>328</v>
      </c>
      <c r="M1" s="2" t="s">
        <v>333</v>
      </c>
      <c r="N1" s="1" t="s">
        <v>190</v>
      </c>
      <c r="O1" s="1" t="s">
        <v>357</v>
      </c>
    </row>
    <row r="2" spans="1:15">
      <c r="B2" t="s">
        <v>347</v>
      </c>
      <c r="C2" t="s">
        <v>56</v>
      </c>
      <c r="D2" s="3">
        <f>SUM(E2/0.4)</f>
        <v>6355057.5</v>
      </c>
      <c r="E2" s="3">
        <v>2542023</v>
      </c>
      <c r="F2" s="3">
        <f>SUM(E2*0.013176)</f>
        <v>33493.695048000001</v>
      </c>
      <c r="G2" s="3">
        <v>0</v>
      </c>
      <c r="H2" s="3">
        <v>33494</v>
      </c>
      <c r="I2" s="3">
        <v>55543</v>
      </c>
      <c r="J2" s="3">
        <v>0</v>
      </c>
      <c r="K2" s="3">
        <f>SUM(E2*0.03536)</f>
        <v>89885.933280000012</v>
      </c>
      <c r="L2" s="3">
        <f>SUM(K2-M2)</f>
        <v>848.93328000001202</v>
      </c>
      <c r="M2" s="3">
        <f>SUM(H2:J2)</f>
        <v>89037</v>
      </c>
      <c r="N2" s="9">
        <f>SUM(M2/K2)</f>
        <v>0.99055543788642064</v>
      </c>
      <c r="O2" s="6">
        <f>SUM(1-N2)</f>
        <v>9.4445621135793578E-3</v>
      </c>
    </row>
    <row r="3" spans="1:15">
      <c r="B3" t="s">
        <v>352</v>
      </c>
      <c r="C3" t="s">
        <v>353</v>
      </c>
      <c r="D3" s="3">
        <f t="shared" ref="D3:D5" si="0">SUM(E3/0.4)</f>
        <v>6592600</v>
      </c>
      <c r="E3" s="3">
        <v>2637040</v>
      </c>
      <c r="F3" s="3">
        <f>SUM(E3*0.011216)</f>
        <v>29577.040639999999</v>
      </c>
      <c r="G3" s="3">
        <v>0</v>
      </c>
      <c r="H3" s="3">
        <v>29577</v>
      </c>
      <c r="I3" s="3">
        <v>57619</v>
      </c>
      <c r="J3" s="3">
        <v>15160</v>
      </c>
      <c r="K3" s="3">
        <f>SUM(E3*0.038815)</f>
        <v>102356.70760000001</v>
      </c>
      <c r="L3" s="3">
        <f t="shared" ref="L3:L5" si="1">SUM(K3-M3)</f>
        <v>0.70760000000882428</v>
      </c>
      <c r="M3" s="3">
        <f t="shared" ref="M3:M5" si="2">SUM(H3:J3)</f>
        <v>102356</v>
      </c>
      <c r="N3" s="9">
        <f t="shared" ref="N3:N5" si="3">SUM(M3/K3)</f>
        <v>0.99999308692105671</v>
      </c>
      <c r="O3" s="6">
        <f t="shared" ref="O3:O5" si="4">SUM(1-N3)</f>
        <v>6.9130789432936268E-6</v>
      </c>
    </row>
    <row r="4" spans="1:15">
      <c r="B4" t="s">
        <v>354</v>
      </c>
      <c r="C4" t="s">
        <v>353</v>
      </c>
      <c r="D4" s="3">
        <f t="shared" si="0"/>
        <v>2352865</v>
      </c>
      <c r="E4" s="3">
        <v>941146</v>
      </c>
      <c r="F4" s="3">
        <f>SUM(E4*0.011216)</f>
        <v>10555.893536</v>
      </c>
      <c r="G4" s="3">
        <v>0</v>
      </c>
      <c r="H4" s="3">
        <v>10556</v>
      </c>
      <c r="I4" s="3">
        <v>20564</v>
      </c>
      <c r="J4" s="3">
        <v>5411</v>
      </c>
      <c r="K4" s="3">
        <f>SUM(E4*0.038815)</f>
        <v>36530.581989999999</v>
      </c>
      <c r="L4" s="3">
        <f t="shared" si="1"/>
        <v>-0.41801000000123167</v>
      </c>
      <c r="M4" s="3">
        <f t="shared" si="2"/>
        <v>36531</v>
      </c>
      <c r="N4" s="9">
        <f t="shared" si="3"/>
        <v>1.0000114427413205</v>
      </c>
      <c r="O4" s="6">
        <f t="shared" si="4"/>
        <v>-1.1442741320477623E-5</v>
      </c>
    </row>
    <row r="5" spans="1:15">
      <c r="B5" t="s">
        <v>355</v>
      </c>
      <c r="C5" t="s">
        <v>56</v>
      </c>
      <c r="D5" s="3">
        <f t="shared" si="0"/>
        <v>33437000</v>
      </c>
      <c r="E5" s="3">
        <v>13374800</v>
      </c>
      <c r="F5" s="3">
        <f>SUM(E5*0.013176)</f>
        <v>176226.36480000001</v>
      </c>
      <c r="G5" s="3">
        <v>0</v>
      </c>
      <c r="H5" s="3">
        <v>176226</v>
      </c>
      <c r="I5" s="3">
        <v>292239</v>
      </c>
      <c r="J5" s="3">
        <v>0</v>
      </c>
      <c r="K5" s="3">
        <f>SUM(E5*0.03536)</f>
        <v>472932.92800000001</v>
      </c>
      <c r="L5" s="3">
        <f t="shared" si="1"/>
        <v>4467.9280000000144</v>
      </c>
      <c r="M5" s="3">
        <f t="shared" si="2"/>
        <v>468465</v>
      </c>
      <c r="N5" s="9">
        <f t="shared" si="3"/>
        <v>0.99055272378919657</v>
      </c>
      <c r="O5" s="6">
        <f t="shared" si="4"/>
        <v>9.4472762108034347E-3</v>
      </c>
    </row>
    <row r="6" spans="1:15">
      <c r="D6" s="3"/>
      <c r="N6" s="9"/>
      <c r="O6" s="6"/>
    </row>
    <row r="8" spans="1:15">
      <c r="B8" t="s">
        <v>356</v>
      </c>
    </row>
    <row r="10" spans="1:15">
      <c r="B10" s="1" t="s">
        <v>1</v>
      </c>
      <c r="C10" s="1" t="s">
        <v>52</v>
      </c>
      <c r="D10" s="1" t="s">
        <v>285</v>
      </c>
      <c r="E10" s="2" t="s">
        <v>350</v>
      </c>
      <c r="F10" s="2"/>
      <c r="G10" s="2"/>
      <c r="H10" s="2" t="s">
        <v>61</v>
      </c>
      <c r="I10" s="2" t="s">
        <v>191</v>
      </c>
      <c r="J10" s="2" t="s">
        <v>192</v>
      </c>
      <c r="K10" s="2" t="s">
        <v>351</v>
      </c>
      <c r="L10" s="2" t="s">
        <v>328</v>
      </c>
      <c r="M10" s="2" t="s">
        <v>333</v>
      </c>
      <c r="N10" s="1" t="s">
        <v>190</v>
      </c>
    </row>
    <row r="11" spans="1:15">
      <c r="B11" t="s">
        <v>347</v>
      </c>
      <c r="C11" t="s">
        <v>56</v>
      </c>
      <c r="D11" s="3">
        <v>2542023</v>
      </c>
      <c r="H11" s="3">
        <v>33494</v>
      </c>
      <c r="I11" s="3">
        <v>55543</v>
      </c>
      <c r="J11" s="3">
        <v>0</v>
      </c>
      <c r="K11" s="3">
        <f>SUM(D11*0.4*0.03536)</f>
        <v>35954.373312000003</v>
      </c>
      <c r="L11" s="3">
        <f>SUM(K11-M11)</f>
        <v>-53082.626687999997</v>
      </c>
      <c r="M11" s="3">
        <f>SUM(H11:J11)</f>
        <v>89037</v>
      </c>
      <c r="N11" s="9">
        <f>SUM(M11/K11)</f>
        <v>2.4763885947160515</v>
      </c>
    </row>
    <row r="12" spans="1:15">
      <c r="B12" t="s">
        <v>352</v>
      </c>
      <c r="C12" t="s">
        <v>353</v>
      </c>
      <c r="D12" s="3">
        <v>2637040</v>
      </c>
      <c r="H12" s="3">
        <v>29577</v>
      </c>
      <c r="I12" s="3">
        <v>57619</v>
      </c>
      <c r="J12" s="3">
        <v>15160</v>
      </c>
      <c r="K12" s="3">
        <f t="shared" ref="K12:K14" si="5">SUM(D12*0.4*0.03536)</f>
        <v>37298.29376</v>
      </c>
      <c r="L12" s="3">
        <f t="shared" ref="L12:L14" si="6">SUM(K12-M12)</f>
        <v>-65057.70624</v>
      </c>
      <c r="M12" s="3">
        <f t="shared" ref="M12:M14" si="7">SUM(H12:J12)</f>
        <v>102356</v>
      </c>
      <c r="N12" s="9">
        <f t="shared" ref="N12:N14" si="8">SUM(M12/K12)</f>
        <v>2.7442542186680443</v>
      </c>
    </row>
    <row r="13" spans="1:15">
      <c r="B13" t="s">
        <v>354</v>
      </c>
      <c r="C13" t="s">
        <v>353</v>
      </c>
      <c r="D13" s="3">
        <v>941146</v>
      </c>
      <c r="H13" s="3">
        <v>10556</v>
      </c>
      <c r="I13" s="3">
        <v>20564</v>
      </c>
      <c r="J13" s="3">
        <v>5411</v>
      </c>
      <c r="K13" s="3">
        <f t="shared" si="5"/>
        <v>13311.569024000002</v>
      </c>
      <c r="L13" s="3">
        <f t="shared" si="6"/>
        <v>-23219.430975999996</v>
      </c>
      <c r="M13" s="3">
        <f t="shared" si="7"/>
        <v>36531</v>
      </c>
      <c r="N13" s="9">
        <f t="shared" si="8"/>
        <v>2.7443045920534748</v>
      </c>
    </row>
    <row r="14" spans="1:15">
      <c r="B14" t="s">
        <v>355</v>
      </c>
      <c r="C14" t="s">
        <v>56</v>
      </c>
      <c r="D14" s="3">
        <v>13374800</v>
      </c>
      <c r="H14" s="3">
        <v>176226</v>
      </c>
      <c r="I14" s="3">
        <v>292239</v>
      </c>
      <c r="J14" s="3">
        <v>0</v>
      </c>
      <c r="K14" s="3">
        <f t="shared" si="5"/>
        <v>189173.17120000001</v>
      </c>
      <c r="L14" s="3">
        <f t="shared" si="6"/>
        <v>-279291.82880000002</v>
      </c>
      <c r="M14" s="3">
        <f t="shared" si="7"/>
        <v>468465</v>
      </c>
      <c r="N14" s="9">
        <f t="shared" si="8"/>
        <v>2.4763818094729912</v>
      </c>
    </row>
    <row r="16" spans="1:15">
      <c r="A16" t="s">
        <v>383</v>
      </c>
      <c r="B16" t="s">
        <v>354</v>
      </c>
      <c r="C16" t="s">
        <v>353</v>
      </c>
      <c r="D16" s="3">
        <v>9005107</v>
      </c>
      <c r="E16" s="3">
        <v>3602050</v>
      </c>
      <c r="F16" s="3">
        <f>SUM(26126.18+13409.93+571.27+293.22)</f>
        <v>40400.6</v>
      </c>
      <c r="G16" s="3">
        <f>SUM(26126.18+571.27)</f>
        <v>26697.45</v>
      </c>
      <c r="H16" s="3">
        <f>SUM(F16-G16)</f>
        <v>13703.149999999998</v>
      </c>
      <c r="K16" s="3">
        <f>SUM(78707.01+40398.39)</f>
        <v>119105.4</v>
      </c>
    </row>
    <row r="17" spans="1:7">
      <c r="A17" t="s">
        <v>385</v>
      </c>
      <c r="B17" t="s">
        <v>384</v>
      </c>
      <c r="C17" t="s">
        <v>56</v>
      </c>
      <c r="D17" s="3">
        <v>5186209</v>
      </c>
      <c r="E17" s="3">
        <v>2074490</v>
      </c>
    </row>
    <row r="18" spans="1:7">
      <c r="D18" s="3"/>
    </row>
    <row r="19" spans="1:7">
      <c r="D19" t="s">
        <v>388</v>
      </c>
      <c r="E19" s="3" t="s">
        <v>389</v>
      </c>
      <c r="F19" s="3" t="s">
        <v>390</v>
      </c>
    </row>
    <row r="20" spans="1:7">
      <c r="A20" t="s">
        <v>387</v>
      </c>
      <c r="B20" t="s">
        <v>355</v>
      </c>
      <c r="C20" t="s">
        <v>56</v>
      </c>
      <c r="D20" s="3">
        <v>22291300</v>
      </c>
      <c r="E20" s="3">
        <v>33437000</v>
      </c>
      <c r="G20" s="3">
        <v>0.375</v>
      </c>
    </row>
    <row r="21" spans="1:7">
      <c r="A21" t="s">
        <v>391</v>
      </c>
      <c r="B21" t="s">
        <v>393</v>
      </c>
    </row>
    <row r="22" spans="1:7">
      <c r="A22" t="s">
        <v>392</v>
      </c>
      <c r="B22" t="s">
        <v>347</v>
      </c>
    </row>
    <row r="23" spans="1:7">
      <c r="A23" t="s">
        <v>395</v>
      </c>
      <c r="B23" t="s">
        <v>396</v>
      </c>
    </row>
    <row r="24" spans="1:7">
      <c r="A24" t="s">
        <v>397</v>
      </c>
      <c r="B24" t="s">
        <v>352</v>
      </c>
    </row>
    <row r="25" spans="1:7">
      <c r="A25" t="s">
        <v>399</v>
      </c>
      <c r="B25" t="s">
        <v>398</v>
      </c>
    </row>
    <row r="26" spans="1:7">
      <c r="A26" t="s">
        <v>401</v>
      </c>
      <c r="B26" t="s">
        <v>352</v>
      </c>
    </row>
    <row r="27" spans="1:7">
      <c r="A27" t="s">
        <v>402</v>
      </c>
      <c r="B27" t="s">
        <v>398</v>
      </c>
    </row>
    <row r="28" spans="1:7">
      <c r="A28" t="s">
        <v>404</v>
      </c>
      <c r="B28" t="s">
        <v>354</v>
      </c>
    </row>
    <row r="29" spans="1:7">
      <c r="A29" t="s">
        <v>405</v>
      </c>
      <c r="B29" t="s">
        <v>403</v>
      </c>
    </row>
    <row r="30" spans="1:7">
      <c r="A30" t="s">
        <v>406</v>
      </c>
      <c r="B30" t="s">
        <v>354</v>
      </c>
    </row>
    <row r="31" spans="1:7">
      <c r="A31" t="s">
        <v>407</v>
      </c>
      <c r="B31" t="s">
        <v>403</v>
      </c>
    </row>
    <row r="34" spans="1:11">
      <c r="A34" t="s">
        <v>394</v>
      </c>
    </row>
    <row r="35" spans="1:11">
      <c r="A35" t="s">
        <v>400</v>
      </c>
    </row>
    <row r="38" spans="1:11">
      <c r="D38" t="s">
        <v>388</v>
      </c>
      <c r="E38" s="3" t="s">
        <v>389</v>
      </c>
      <c r="F38" s="3" t="s">
        <v>390</v>
      </c>
    </row>
    <row r="39" spans="1:11">
      <c r="B39" t="s">
        <v>355</v>
      </c>
      <c r="C39" t="s">
        <v>56</v>
      </c>
      <c r="D39" s="3">
        <v>22291300</v>
      </c>
      <c r="E39" s="3">
        <v>33437000</v>
      </c>
      <c r="G39" s="3">
        <v>0.375</v>
      </c>
    </row>
    <row r="40" spans="1:11">
      <c r="B40" t="s">
        <v>393</v>
      </c>
    </row>
    <row r="42" spans="1:11">
      <c r="A42" t="s">
        <v>394</v>
      </c>
    </row>
    <row r="43" spans="1:11">
      <c r="A43" t="s">
        <v>400</v>
      </c>
    </row>
    <row r="45" spans="1:11">
      <c r="A45" t="s">
        <v>383</v>
      </c>
      <c r="B45" t="s">
        <v>354</v>
      </c>
      <c r="C45" t="s">
        <v>353</v>
      </c>
      <c r="D45" s="3">
        <v>9005107</v>
      </c>
      <c r="E45" s="3">
        <v>3602050</v>
      </c>
      <c r="F45" s="3">
        <f>SUM(26126.18+13409.93+571.27+293.22)</f>
        <v>40400.6</v>
      </c>
      <c r="G45" s="3">
        <f>SUM(26126.18+571.27)</f>
        <v>26697.45</v>
      </c>
      <c r="H45" s="3">
        <f>SUM(F45-G45)</f>
        <v>13703.149999999998</v>
      </c>
      <c r="K45" s="3">
        <f>SUM(78707.01+40398.39)</f>
        <v>119105.4</v>
      </c>
    </row>
    <row r="46" spans="1:11">
      <c r="A46" t="s">
        <v>385</v>
      </c>
      <c r="B46" t="s">
        <v>384</v>
      </c>
      <c r="C46" t="s">
        <v>56</v>
      </c>
      <c r="D46" s="3">
        <v>5186209</v>
      </c>
      <c r="E46" s="3">
        <v>2074490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5"/>
  <sheetViews>
    <sheetView tabSelected="1" topLeftCell="C1" workbookViewId="0">
      <selection activeCell="G173" sqref="G173:G179"/>
    </sheetView>
  </sheetViews>
  <sheetFormatPr baseColWidth="10" defaultColWidth="8.83203125" defaultRowHeight="14" x14ac:dyDescent="0"/>
  <cols>
    <col min="2" max="2" width="32.1640625" customWidth="1"/>
    <col min="3" max="3" width="35.83203125" customWidth="1"/>
    <col min="4" max="4" width="26.5" customWidth="1"/>
    <col min="5" max="5" width="31.1640625" style="51" customWidth="1"/>
    <col min="6" max="7" width="26.5" customWidth="1"/>
    <col min="8" max="8" width="15.6640625" bestFit="1" customWidth="1"/>
    <col min="9" max="9" width="16.33203125" bestFit="1" customWidth="1"/>
    <col min="10" max="10" width="18.5" hidden="1" customWidth="1"/>
    <col min="11" max="11" width="18.1640625" hidden="1" customWidth="1"/>
    <col min="12" max="12" width="19.5" hidden="1" customWidth="1"/>
    <col min="13" max="14" width="13.6640625" bestFit="1" customWidth="1"/>
  </cols>
  <sheetData>
    <row r="1" spans="1:15">
      <c r="A1" s="1" t="s">
        <v>96</v>
      </c>
      <c r="B1" s="1" t="s">
        <v>411</v>
      </c>
      <c r="C1" s="1" t="s">
        <v>1</v>
      </c>
      <c r="D1" s="1" t="s">
        <v>52</v>
      </c>
      <c r="E1" s="53" t="s">
        <v>696</v>
      </c>
      <c r="F1" s="53" t="s">
        <v>695</v>
      </c>
      <c r="G1" s="53" t="s">
        <v>715</v>
      </c>
      <c r="H1" s="1" t="s">
        <v>326</v>
      </c>
      <c r="I1" s="1" t="s">
        <v>91</v>
      </c>
      <c r="J1" s="1" t="s">
        <v>61</v>
      </c>
      <c r="K1" s="1" t="s">
        <v>191</v>
      </c>
      <c r="L1" s="1" t="s">
        <v>192</v>
      </c>
      <c r="M1" s="1" t="s">
        <v>328</v>
      </c>
      <c r="N1" s="1" t="s">
        <v>333</v>
      </c>
      <c r="O1" s="1" t="s">
        <v>190</v>
      </c>
    </row>
    <row r="2" spans="1:15">
      <c r="A2" t="s">
        <v>17</v>
      </c>
      <c r="B2" t="s">
        <v>567</v>
      </c>
      <c r="C2" t="s">
        <v>66</v>
      </c>
      <c r="D2" t="s">
        <v>58</v>
      </c>
      <c r="E2" t="s">
        <v>66</v>
      </c>
      <c r="F2" t="s">
        <v>58</v>
      </c>
      <c r="H2" s="3">
        <v>2459200</v>
      </c>
      <c r="I2" s="3">
        <v>12355</v>
      </c>
      <c r="J2" s="3">
        <v>7042</v>
      </c>
      <c r="K2" s="3">
        <v>13108.682999999999</v>
      </c>
      <c r="L2" s="3">
        <v>1159.0415760000001</v>
      </c>
      <c r="M2" s="3">
        <v>16077.61526161431</v>
      </c>
      <c r="N2" s="3">
        <v>21309.724575999997</v>
      </c>
      <c r="O2" s="9">
        <v>0.56997167138810201</v>
      </c>
    </row>
    <row r="3" spans="1:15">
      <c r="A3" s="3" t="s">
        <v>284</v>
      </c>
      <c r="B3" s="3" t="s">
        <v>547</v>
      </c>
      <c r="C3" s="3" t="s">
        <v>550</v>
      </c>
      <c r="D3" s="3" t="s">
        <v>206</v>
      </c>
      <c r="E3" s="3" t="s">
        <v>550</v>
      </c>
      <c r="F3" s="3" t="s">
        <v>206</v>
      </c>
      <c r="G3" s="3"/>
      <c r="H3" s="3">
        <v>56822400</v>
      </c>
      <c r="I3" s="3">
        <v>194560.00000000003</v>
      </c>
      <c r="J3" s="3">
        <v>48640</v>
      </c>
      <c r="K3" s="3">
        <v>98826</v>
      </c>
      <c r="L3" s="3">
        <v>49368</v>
      </c>
      <c r="M3" s="3">
        <v>787336.00000000023</v>
      </c>
      <c r="N3" s="3">
        <v>196834</v>
      </c>
      <c r="O3" s="9">
        <v>0.19999999999999996</v>
      </c>
    </row>
    <row r="4" spans="1:15">
      <c r="A4" t="s">
        <v>147</v>
      </c>
      <c r="B4" t="s">
        <v>229</v>
      </c>
      <c r="C4" t="s">
        <v>229</v>
      </c>
      <c r="D4" t="s">
        <v>206</v>
      </c>
      <c r="E4" t="s">
        <v>229</v>
      </c>
      <c r="F4" t="s">
        <v>206</v>
      </c>
      <c r="H4" s="3">
        <v>100000</v>
      </c>
      <c r="I4" s="3">
        <v>387.00000000000011</v>
      </c>
      <c r="J4" s="3">
        <v>43</v>
      </c>
      <c r="K4" s="3">
        <v>87</v>
      </c>
      <c r="L4" s="3">
        <v>64</v>
      </c>
      <c r="M4" s="3">
        <v>1746.0000000000005</v>
      </c>
      <c r="N4" s="3">
        <v>194</v>
      </c>
      <c r="O4" s="9">
        <v>9.9999999999999978E-2</v>
      </c>
    </row>
    <row r="5" spans="1:15">
      <c r="A5" t="s">
        <v>135</v>
      </c>
      <c r="B5" t="s">
        <v>450</v>
      </c>
      <c r="C5" t="s">
        <v>208</v>
      </c>
      <c r="D5" t="s">
        <v>206</v>
      </c>
      <c r="E5" t="s">
        <v>208</v>
      </c>
      <c r="F5" t="s">
        <v>206</v>
      </c>
      <c r="H5" s="3">
        <v>1600000</v>
      </c>
      <c r="I5" s="3">
        <v>6165.0000000000018</v>
      </c>
      <c r="J5" s="3">
        <v>685</v>
      </c>
      <c r="K5" s="3">
        <v>1392</v>
      </c>
      <c r="L5" s="3">
        <v>1015</v>
      </c>
      <c r="M5" s="3">
        <v>27828.000000000007</v>
      </c>
      <c r="N5" s="3">
        <v>3092</v>
      </c>
      <c r="O5" s="9">
        <v>9.9999999999999978E-2</v>
      </c>
    </row>
    <row r="6" spans="1:15">
      <c r="A6" t="s">
        <v>168</v>
      </c>
      <c r="B6" t="s">
        <v>489</v>
      </c>
      <c r="C6" t="s">
        <v>490</v>
      </c>
      <c r="D6" t="s">
        <v>206</v>
      </c>
      <c r="E6" t="s">
        <v>490</v>
      </c>
      <c r="F6" t="s">
        <v>206</v>
      </c>
      <c r="H6" s="3">
        <v>135680000</v>
      </c>
      <c r="I6" s="3">
        <v>493600.66666666651</v>
      </c>
      <c r="J6" s="3">
        <v>87106</v>
      </c>
      <c r="K6" s="3">
        <v>176981</v>
      </c>
      <c r="L6" s="3">
        <v>112830</v>
      </c>
      <c r="M6" s="3">
        <v>2135862.9999999995</v>
      </c>
      <c r="N6" s="3">
        <v>376917</v>
      </c>
      <c r="O6" s="9">
        <v>0.15000000000000002</v>
      </c>
    </row>
    <row r="7" spans="1:15">
      <c r="A7" t="s">
        <v>159</v>
      </c>
      <c r="B7" t="s">
        <v>481</v>
      </c>
      <c r="C7" t="s">
        <v>251</v>
      </c>
      <c r="D7" t="s">
        <v>206</v>
      </c>
      <c r="E7" s="51" t="s">
        <v>251</v>
      </c>
      <c r="F7" s="51" t="s">
        <v>206</v>
      </c>
      <c r="G7" s="51" t="s">
        <v>717</v>
      </c>
      <c r="H7" s="3">
        <v>111927000</v>
      </c>
      <c r="I7" s="3">
        <v>359286</v>
      </c>
      <c r="J7" s="3">
        <v>119762</v>
      </c>
      <c r="K7" s="3">
        <v>243329</v>
      </c>
      <c r="L7" s="3">
        <v>155130</v>
      </c>
      <c r="M7" s="3">
        <v>1554663</v>
      </c>
      <c r="N7" s="3">
        <v>518221</v>
      </c>
      <c r="O7" s="9">
        <v>0.25</v>
      </c>
    </row>
    <row r="8" spans="1:15">
      <c r="A8" t="s">
        <v>160</v>
      </c>
      <c r="B8" t="s">
        <v>481</v>
      </c>
      <c r="C8" t="s">
        <v>251</v>
      </c>
      <c r="D8" t="s">
        <v>206</v>
      </c>
      <c r="E8" s="51" t="s">
        <v>251</v>
      </c>
      <c r="F8" s="51" t="s">
        <v>206</v>
      </c>
      <c r="G8" s="51" t="s">
        <v>717</v>
      </c>
      <c r="H8" s="3">
        <v>2880200</v>
      </c>
      <c r="I8" s="3">
        <v>9246</v>
      </c>
      <c r="J8" s="3">
        <v>3082</v>
      </c>
      <c r="K8" s="3">
        <v>6261</v>
      </c>
      <c r="L8" s="3">
        <v>3992</v>
      </c>
      <c r="M8" s="3">
        <v>40005</v>
      </c>
      <c r="N8" s="3">
        <v>13335</v>
      </c>
      <c r="O8" s="9">
        <v>0.25</v>
      </c>
    </row>
    <row r="9" spans="1:15">
      <c r="A9" t="s">
        <v>236</v>
      </c>
      <c r="B9" t="s">
        <v>469</v>
      </c>
      <c r="C9" t="s">
        <v>234</v>
      </c>
      <c r="D9" t="s">
        <v>206</v>
      </c>
      <c r="E9" t="s">
        <v>234</v>
      </c>
      <c r="F9" t="s">
        <v>206</v>
      </c>
      <c r="H9" s="3">
        <v>57000000</v>
      </c>
      <c r="I9" s="3">
        <v>219564.00000000006</v>
      </c>
      <c r="J9" s="3">
        <v>24396</v>
      </c>
      <c r="K9" s="3">
        <v>49567</v>
      </c>
      <c r="L9" s="3">
        <v>36160</v>
      </c>
      <c r="M9" s="3">
        <v>991107.00000000023</v>
      </c>
      <c r="N9" s="3">
        <v>110123</v>
      </c>
      <c r="O9" s="9">
        <v>9.9999999999999978E-2</v>
      </c>
    </row>
    <row r="10" spans="1:15">
      <c r="A10" t="s">
        <v>178</v>
      </c>
      <c r="B10" t="s">
        <v>498</v>
      </c>
      <c r="C10" t="s">
        <v>541</v>
      </c>
      <c r="D10" t="s">
        <v>206</v>
      </c>
      <c r="E10" t="s">
        <v>541</v>
      </c>
      <c r="F10" t="s">
        <v>206</v>
      </c>
      <c r="H10" s="3">
        <v>116166200</v>
      </c>
      <c r="I10" s="3">
        <v>298315.5</v>
      </c>
      <c r="J10" s="3">
        <v>198877</v>
      </c>
      <c r="K10" s="3">
        <v>404073</v>
      </c>
      <c r="L10" s="3">
        <v>201850</v>
      </c>
      <c r="M10" s="3">
        <v>1207200</v>
      </c>
      <c r="N10" s="3">
        <v>804800</v>
      </c>
      <c r="O10" s="9">
        <v>0.4</v>
      </c>
    </row>
    <row r="11" spans="1:15">
      <c r="A11" s="3" t="s">
        <v>596</v>
      </c>
      <c r="B11" s="3" t="s">
        <v>646</v>
      </c>
      <c r="C11" s="3" t="s">
        <v>647</v>
      </c>
      <c r="D11" s="3" t="s">
        <v>644</v>
      </c>
      <c r="E11" s="3" t="s">
        <v>647</v>
      </c>
      <c r="F11" s="3" t="s">
        <v>644</v>
      </c>
      <c r="G11" s="3"/>
      <c r="H11" s="3">
        <v>14600000</v>
      </c>
      <c r="I11" s="3">
        <v>77964</v>
      </c>
      <c r="J11" s="3">
        <v>12816</v>
      </c>
      <c r="K11" s="3">
        <v>18144</v>
      </c>
      <c r="L11" s="3">
        <v>0</v>
      </c>
      <c r="M11" s="3">
        <v>188340</v>
      </c>
      <c r="N11" s="3">
        <v>30960</v>
      </c>
      <c r="O11" s="9">
        <v>0.14117647058823529</v>
      </c>
    </row>
    <row r="12" spans="1:15">
      <c r="A12" t="s">
        <v>176</v>
      </c>
      <c r="B12" t="s">
        <v>496</v>
      </c>
      <c r="C12" t="s">
        <v>266</v>
      </c>
      <c r="D12" t="s">
        <v>206</v>
      </c>
      <c r="E12" t="s">
        <v>266</v>
      </c>
      <c r="F12" t="s">
        <v>206</v>
      </c>
      <c r="H12" s="3">
        <v>171139600</v>
      </c>
      <c r="I12" s="3">
        <v>695855.9999999993</v>
      </c>
      <c r="J12" s="3">
        <v>36624</v>
      </c>
      <c r="K12" s="3">
        <v>74412</v>
      </c>
      <c r="L12" s="3">
        <v>54285</v>
      </c>
      <c r="M12" s="3">
        <v>3141098.9999999972</v>
      </c>
      <c r="N12" s="3">
        <v>165321</v>
      </c>
      <c r="O12" s="9">
        <v>5.0000000000000044E-2</v>
      </c>
    </row>
    <row r="13" spans="1:15">
      <c r="A13" t="s">
        <v>28</v>
      </c>
      <c r="B13" t="s">
        <v>578</v>
      </c>
      <c r="C13" t="s">
        <v>78</v>
      </c>
      <c r="D13" t="s">
        <v>53</v>
      </c>
      <c r="E13" t="s">
        <v>78</v>
      </c>
      <c r="F13" t="s">
        <v>53</v>
      </c>
      <c r="H13" s="3">
        <v>5600000</v>
      </c>
      <c r="I13" s="3">
        <v>46614</v>
      </c>
      <c r="J13" s="3">
        <v>30299</v>
      </c>
      <c r="K13" s="3">
        <v>34030.087048832276</v>
      </c>
      <c r="L13" s="3">
        <v>0</v>
      </c>
      <c r="M13" s="3">
        <v>34639.06581740977</v>
      </c>
      <c r="N13" s="3">
        <v>64329.087048832276</v>
      </c>
      <c r="O13" s="9">
        <v>0.64999785472175742</v>
      </c>
    </row>
    <row r="14" spans="1:15">
      <c r="A14" t="s">
        <v>40</v>
      </c>
      <c r="B14" t="s">
        <v>589</v>
      </c>
      <c r="C14" t="s">
        <v>89</v>
      </c>
      <c r="D14" t="s">
        <v>432</v>
      </c>
      <c r="E14" t="s">
        <v>89</v>
      </c>
      <c r="F14" t="s">
        <v>432</v>
      </c>
      <c r="H14" s="3">
        <v>410486</v>
      </c>
      <c r="I14" s="3">
        <v>3417</v>
      </c>
      <c r="J14" s="3">
        <v>1335</v>
      </c>
      <c r="K14" s="3">
        <v>1499.3949044585988</v>
      </c>
      <c r="L14" s="3">
        <v>0</v>
      </c>
      <c r="M14" s="3">
        <v>4420.3821656050959</v>
      </c>
      <c r="N14" s="3">
        <v>2834.3949044585988</v>
      </c>
      <c r="O14" s="9">
        <v>0.39069359086918348</v>
      </c>
    </row>
    <row r="15" spans="1:15">
      <c r="A15" t="s">
        <v>186</v>
      </c>
      <c r="B15" t="s">
        <v>507</v>
      </c>
      <c r="C15" t="s">
        <v>277</v>
      </c>
      <c r="D15" t="s">
        <v>119</v>
      </c>
      <c r="E15" t="s">
        <v>277</v>
      </c>
      <c r="F15" t="s">
        <v>119</v>
      </c>
      <c r="H15" s="3">
        <v>19446000</v>
      </c>
      <c r="I15" s="3">
        <v>79058.999999999927</v>
      </c>
      <c r="J15" s="3">
        <v>4161</v>
      </c>
      <c r="K15" s="3">
        <v>7188</v>
      </c>
      <c r="L15" s="3">
        <v>3403</v>
      </c>
      <c r="M15" s="3">
        <v>280287.99999999971</v>
      </c>
      <c r="N15" s="3">
        <v>14752</v>
      </c>
      <c r="O15" s="9">
        <v>5.0000000000000044E-2</v>
      </c>
    </row>
    <row r="16" spans="1:15">
      <c r="A16" t="s">
        <v>316</v>
      </c>
      <c r="B16" t="s">
        <v>526</v>
      </c>
      <c r="C16" t="s">
        <v>343</v>
      </c>
      <c r="D16" t="s">
        <v>199</v>
      </c>
      <c r="E16" t="s">
        <v>343</v>
      </c>
      <c r="F16" t="s">
        <v>199</v>
      </c>
      <c r="H16" s="3">
        <v>198532937</v>
      </c>
      <c r="I16" s="3">
        <v>471033.61454118759</v>
      </c>
      <c r="J16" s="3">
        <v>378687.37000000005</v>
      </c>
      <c r="K16" s="3">
        <v>654138.18000000005</v>
      </c>
      <c r="L16" s="3">
        <v>154306.25</v>
      </c>
      <c r="M16" s="3">
        <v>1476624.3265276744</v>
      </c>
      <c r="N16" s="3">
        <v>1187131.8</v>
      </c>
      <c r="O16" s="9">
        <v>0.44566084266410666</v>
      </c>
    </row>
    <row r="17" spans="1:15">
      <c r="A17" t="s">
        <v>37</v>
      </c>
      <c r="B17" t="s">
        <v>586</v>
      </c>
      <c r="C17" t="s">
        <v>86</v>
      </c>
      <c r="D17" t="s">
        <v>432</v>
      </c>
      <c r="E17" t="s">
        <v>86</v>
      </c>
      <c r="F17" t="s">
        <v>432</v>
      </c>
      <c r="H17" s="3">
        <v>1500000</v>
      </c>
      <c r="I17" s="3">
        <v>12486</v>
      </c>
      <c r="J17" s="3">
        <v>4877</v>
      </c>
      <c r="K17" s="3">
        <v>5477.5647558386418</v>
      </c>
      <c r="L17" s="3">
        <v>0</v>
      </c>
      <c r="M17" s="3">
        <v>16154.989384288741</v>
      </c>
      <c r="N17" s="3">
        <v>10354.564755838641</v>
      </c>
      <c r="O17" s="9">
        <v>0.39059746916546539</v>
      </c>
    </row>
    <row r="18" spans="1:15">
      <c r="A18" t="s">
        <v>22</v>
      </c>
      <c r="B18" t="s">
        <v>572</v>
      </c>
      <c r="C18" t="s">
        <v>71</v>
      </c>
      <c r="D18" t="s">
        <v>70</v>
      </c>
      <c r="E18" t="s">
        <v>71</v>
      </c>
      <c r="F18" t="s">
        <v>70</v>
      </c>
      <c r="H18" s="3">
        <v>9946903</v>
      </c>
      <c r="I18" s="3">
        <v>52034</v>
      </c>
      <c r="J18" s="3">
        <v>3345</v>
      </c>
      <c r="K18" s="3">
        <v>5979.8564999999999</v>
      </c>
      <c r="L18" s="3">
        <v>2141.1345000000001</v>
      </c>
      <c r="M18" s="3">
        <v>166896.15420000002</v>
      </c>
      <c r="N18" s="3">
        <v>11465.991</v>
      </c>
      <c r="O18" s="9">
        <v>6.4284890648422188E-2</v>
      </c>
    </row>
    <row r="19" spans="1:15">
      <c r="A19" t="s">
        <v>296</v>
      </c>
      <c r="B19" t="s">
        <v>442</v>
      </c>
      <c r="C19" t="s">
        <v>335</v>
      </c>
      <c r="D19" t="s">
        <v>115</v>
      </c>
      <c r="E19" t="s">
        <v>335</v>
      </c>
      <c r="F19" t="s">
        <v>115</v>
      </c>
      <c r="H19" s="3">
        <v>6723551</v>
      </c>
      <c r="I19" s="3">
        <v>20175.042367237878</v>
      </c>
      <c r="J19" s="3">
        <v>8601.7799999999988</v>
      </c>
      <c r="K19" s="3">
        <v>14858.55</v>
      </c>
      <c r="L19" s="3">
        <v>12614.86</v>
      </c>
      <c r="M19" s="3">
        <v>84612.54375910059</v>
      </c>
      <c r="N19" s="3">
        <v>36075.19</v>
      </c>
      <c r="O19" s="9">
        <v>0.29891347592960921</v>
      </c>
    </row>
    <row r="20" spans="1:15">
      <c r="A20" t="s">
        <v>150</v>
      </c>
      <c r="B20" t="s">
        <v>466</v>
      </c>
      <c r="C20" t="s">
        <v>232</v>
      </c>
      <c r="D20" t="s">
        <v>206</v>
      </c>
      <c r="E20" s="51" t="s">
        <v>232</v>
      </c>
      <c r="F20" s="51" t="s">
        <v>206</v>
      </c>
      <c r="G20" s="51" t="s">
        <v>716</v>
      </c>
      <c r="H20" s="3">
        <v>68000000</v>
      </c>
      <c r="I20" s="3">
        <v>232832.00000000006</v>
      </c>
      <c r="J20" s="3">
        <v>58208</v>
      </c>
      <c r="K20" s="3">
        <v>118266</v>
      </c>
      <c r="L20" s="3">
        <v>86278</v>
      </c>
      <c r="M20" s="3">
        <v>1051008.0000000002</v>
      </c>
      <c r="N20" s="3">
        <v>262752</v>
      </c>
      <c r="O20" s="9">
        <v>0.19999999999999996</v>
      </c>
    </row>
    <row r="21" spans="1:15">
      <c r="A21" t="s">
        <v>300</v>
      </c>
      <c r="B21" t="s">
        <v>466</v>
      </c>
      <c r="C21" t="s">
        <v>232</v>
      </c>
      <c r="D21" t="s">
        <v>206</v>
      </c>
      <c r="E21" s="51" t="s">
        <v>232</v>
      </c>
      <c r="F21" s="51" t="s">
        <v>206</v>
      </c>
      <c r="G21" s="51" t="s">
        <v>716</v>
      </c>
      <c r="H21" s="3">
        <v>5269618</v>
      </c>
      <c r="I21" s="3">
        <v>19067.27704683075</v>
      </c>
      <c r="J21" s="3">
        <v>3486.74</v>
      </c>
      <c r="K21" s="3">
        <v>7084.2599999999993</v>
      </c>
      <c r="L21" s="3">
        <v>3538.8699999999994</v>
      </c>
      <c r="M21" s="3">
        <v>77159.983361181454</v>
      </c>
      <c r="N21" s="3">
        <v>14109.869999999999</v>
      </c>
      <c r="O21" s="9">
        <v>0.15459507691069826</v>
      </c>
    </row>
    <row r="22" spans="1:15">
      <c r="A22" t="s">
        <v>13</v>
      </c>
      <c r="B22" t="s">
        <v>563</v>
      </c>
      <c r="C22" t="s">
        <v>60</v>
      </c>
      <c r="D22" t="s">
        <v>58</v>
      </c>
      <c r="E22" t="s">
        <v>60</v>
      </c>
      <c r="F22" t="s">
        <v>58</v>
      </c>
      <c r="H22" s="3">
        <v>85089300</v>
      </c>
      <c r="I22" s="3">
        <v>427488</v>
      </c>
      <c r="J22" s="3">
        <v>396380</v>
      </c>
      <c r="K22" s="3">
        <v>737861.37</v>
      </c>
      <c r="L22" s="3">
        <v>6786.2724160000007</v>
      </c>
      <c r="M22" s="3">
        <v>89548.130330180458</v>
      </c>
      <c r="N22" s="3">
        <v>1141027.6424160001</v>
      </c>
      <c r="O22" s="9">
        <v>0.92723070589115952</v>
      </c>
    </row>
    <row r="23" spans="1:15">
      <c r="A23" t="s">
        <v>165</v>
      </c>
      <c r="B23" t="s">
        <v>486</v>
      </c>
      <c r="C23" t="s">
        <v>538</v>
      </c>
      <c r="D23" t="s">
        <v>206</v>
      </c>
      <c r="E23" t="s">
        <v>256</v>
      </c>
      <c r="F23" t="s">
        <v>206</v>
      </c>
      <c r="H23" s="3">
        <v>54356900</v>
      </c>
      <c r="I23" s="3">
        <v>174486</v>
      </c>
      <c r="J23" s="3">
        <v>58162</v>
      </c>
      <c r="K23" s="3">
        <v>118172</v>
      </c>
      <c r="L23" s="3">
        <v>59032</v>
      </c>
      <c r="M23" s="3">
        <v>706098</v>
      </c>
      <c r="N23" s="3">
        <v>235366</v>
      </c>
      <c r="O23" s="9">
        <v>0.25</v>
      </c>
    </row>
    <row r="24" spans="1:15">
      <c r="A24" t="s">
        <v>125</v>
      </c>
      <c r="B24" t="s">
        <v>440</v>
      </c>
      <c r="C24" t="s">
        <v>197</v>
      </c>
      <c r="D24" t="s">
        <v>115</v>
      </c>
      <c r="E24" t="s">
        <v>197</v>
      </c>
      <c r="F24" t="s">
        <v>115</v>
      </c>
      <c r="H24" s="3">
        <v>40716800</v>
      </c>
      <c r="I24" s="3">
        <v>130701</v>
      </c>
      <c r="J24" s="3">
        <v>43567</v>
      </c>
      <c r="K24" s="3">
        <v>75257</v>
      </c>
      <c r="L24" s="3">
        <v>63893</v>
      </c>
      <c r="M24" s="3">
        <v>548151</v>
      </c>
      <c r="N24" s="3">
        <v>182717</v>
      </c>
      <c r="O24" s="9">
        <v>0.25</v>
      </c>
    </row>
    <row r="25" spans="1:15">
      <c r="A25" t="s">
        <v>298</v>
      </c>
      <c r="B25" t="s">
        <v>516</v>
      </c>
      <c r="C25" t="s">
        <v>337</v>
      </c>
      <c r="D25" t="s">
        <v>248</v>
      </c>
      <c r="E25" t="s">
        <v>337</v>
      </c>
      <c r="F25" t="s">
        <v>248</v>
      </c>
      <c r="H25" s="3">
        <v>745799</v>
      </c>
      <c r="I25" s="3">
        <v>2450.3904086496841</v>
      </c>
      <c r="J25" s="3">
        <v>741.63</v>
      </c>
      <c r="K25" s="3">
        <v>1281.08</v>
      </c>
      <c r="L25" s="3">
        <v>327.91</v>
      </c>
      <c r="M25" s="3">
        <v>7766.5907560105725</v>
      </c>
      <c r="N25" s="3">
        <v>2350.62</v>
      </c>
      <c r="O25" s="9">
        <v>0.23233874006267105</v>
      </c>
    </row>
    <row r="26" spans="1:15">
      <c r="A26" t="s">
        <v>11</v>
      </c>
      <c r="B26" t="s">
        <v>561</v>
      </c>
      <c r="C26" t="s">
        <v>57</v>
      </c>
      <c r="D26" t="s">
        <v>432</v>
      </c>
      <c r="E26" t="s">
        <v>57</v>
      </c>
      <c r="F26" t="s">
        <v>432</v>
      </c>
      <c r="H26" s="3">
        <v>59055000</v>
      </c>
      <c r="I26" s="3">
        <v>491573</v>
      </c>
      <c r="J26" s="3">
        <v>159761</v>
      </c>
      <c r="K26" s="3">
        <v>179434.32908704886</v>
      </c>
      <c r="L26" s="3">
        <v>0</v>
      </c>
      <c r="M26" s="3">
        <v>704484.07643312099</v>
      </c>
      <c r="N26" s="3">
        <v>339195.32908704889</v>
      </c>
      <c r="O26" s="9">
        <v>0.32499954228568295</v>
      </c>
    </row>
    <row r="27" spans="1:15">
      <c r="A27" t="s">
        <v>202</v>
      </c>
      <c r="B27" t="s">
        <v>445</v>
      </c>
      <c r="C27" t="s">
        <v>457</v>
      </c>
      <c r="D27" t="s">
        <v>119</v>
      </c>
      <c r="E27" t="s">
        <v>457</v>
      </c>
      <c r="F27" t="s">
        <v>119</v>
      </c>
      <c r="H27" s="3">
        <v>338344500</v>
      </c>
      <c r="I27" s="3">
        <v>724057</v>
      </c>
      <c r="J27" s="3">
        <v>724057</v>
      </c>
      <c r="K27" s="3">
        <v>1250724</v>
      </c>
      <c r="L27" s="3">
        <v>592103</v>
      </c>
      <c r="M27" s="3">
        <v>2566884</v>
      </c>
      <c r="N27" s="3">
        <v>2566884</v>
      </c>
      <c r="O27" s="9">
        <v>0.5</v>
      </c>
    </row>
    <row r="28" spans="1:15">
      <c r="A28" t="s">
        <v>241</v>
      </c>
      <c r="B28" t="s">
        <v>475</v>
      </c>
      <c r="C28" t="s">
        <v>244</v>
      </c>
      <c r="D28" t="s">
        <v>206</v>
      </c>
      <c r="E28" t="s">
        <v>244</v>
      </c>
      <c r="F28" t="s">
        <v>206</v>
      </c>
      <c r="H28" s="3">
        <v>226915000</v>
      </c>
      <c r="I28" s="3">
        <v>582718.5</v>
      </c>
      <c r="J28" s="3">
        <v>388479</v>
      </c>
      <c r="K28" s="3">
        <v>789301</v>
      </c>
      <c r="L28" s="3">
        <v>575819</v>
      </c>
      <c r="M28" s="3">
        <v>2630398.5</v>
      </c>
      <c r="N28" s="3">
        <v>1753599</v>
      </c>
      <c r="O28" s="9">
        <v>0.4</v>
      </c>
    </row>
    <row r="29" spans="1:15">
      <c r="A29" t="s">
        <v>23</v>
      </c>
      <c r="B29" t="s">
        <v>573</v>
      </c>
      <c r="C29" t="s">
        <v>72</v>
      </c>
      <c r="D29" t="s">
        <v>70</v>
      </c>
      <c r="E29" t="s">
        <v>72</v>
      </c>
      <c r="F29" t="s">
        <v>70</v>
      </c>
      <c r="H29" s="3">
        <v>1549538</v>
      </c>
      <c r="I29" s="3">
        <v>8106</v>
      </c>
      <c r="J29" s="3">
        <v>521</v>
      </c>
      <c r="K29" s="3">
        <v>931.39170000000001</v>
      </c>
      <c r="L29" s="3">
        <v>333.49209999999999</v>
      </c>
      <c r="M29" s="3">
        <v>25999.863000000005</v>
      </c>
      <c r="N29" s="3">
        <v>1785.8838000000001</v>
      </c>
      <c r="O29" s="9">
        <v>6.4273377744880331E-2</v>
      </c>
    </row>
    <row r="30" spans="1:15">
      <c r="A30" t="s">
        <v>182</v>
      </c>
      <c r="B30" t="s">
        <v>501</v>
      </c>
      <c r="C30" t="s">
        <v>270</v>
      </c>
      <c r="D30" t="s">
        <v>206</v>
      </c>
      <c r="E30" t="s">
        <v>270</v>
      </c>
      <c r="F30" t="s">
        <v>206</v>
      </c>
      <c r="H30" s="3">
        <v>3952700</v>
      </c>
      <c r="I30" s="3">
        <v>10150.499999999998</v>
      </c>
      <c r="J30" s="3">
        <v>6767</v>
      </c>
      <c r="K30" s="3">
        <v>13749</v>
      </c>
      <c r="L30" s="3">
        <v>10030</v>
      </c>
      <c r="M30" s="3">
        <v>45819</v>
      </c>
      <c r="N30" s="3">
        <v>30546</v>
      </c>
      <c r="O30" s="9">
        <v>0.4</v>
      </c>
    </row>
    <row r="31" spans="1:15">
      <c r="A31" t="s">
        <v>122</v>
      </c>
      <c r="B31" t="s">
        <v>437</v>
      </c>
      <c r="C31" t="s">
        <v>194</v>
      </c>
      <c r="D31" t="s">
        <v>116</v>
      </c>
      <c r="E31" t="s">
        <v>194</v>
      </c>
      <c r="F31" t="s">
        <v>116</v>
      </c>
      <c r="H31" s="3">
        <v>11621300</v>
      </c>
      <c r="I31" s="3">
        <v>32331.000000000004</v>
      </c>
      <c r="J31" s="3">
        <v>17409</v>
      </c>
      <c r="K31" s="3">
        <v>30072</v>
      </c>
      <c r="L31" s="3">
        <v>20435</v>
      </c>
      <c r="M31" s="3">
        <v>126129.71428571429</v>
      </c>
      <c r="N31" s="3">
        <v>67916</v>
      </c>
      <c r="O31" s="9">
        <v>0.35</v>
      </c>
    </row>
    <row r="32" spans="1:15">
      <c r="A32" t="s">
        <v>120</v>
      </c>
      <c r="B32" t="s">
        <v>436</v>
      </c>
      <c r="C32" t="s">
        <v>193</v>
      </c>
      <c r="D32" t="s">
        <v>116</v>
      </c>
      <c r="E32" t="s">
        <v>193</v>
      </c>
      <c r="F32" t="s">
        <v>116</v>
      </c>
      <c r="H32" s="3">
        <v>36411225</v>
      </c>
      <c r="I32" s="3">
        <v>109087.99999999997</v>
      </c>
      <c r="J32" s="3">
        <v>46752</v>
      </c>
      <c r="K32" s="3">
        <v>80759</v>
      </c>
      <c r="L32" s="3">
        <v>54879</v>
      </c>
      <c r="M32" s="3">
        <v>425576.66666666663</v>
      </c>
      <c r="N32" s="3">
        <v>182390</v>
      </c>
      <c r="O32" s="9">
        <v>0.30000000000000004</v>
      </c>
    </row>
    <row r="33" spans="1:15">
      <c r="A33" t="s">
        <v>308</v>
      </c>
      <c r="B33" t="s">
        <v>522</v>
      </c>
      <c r="C33" t="s">
        <v>339</v>
      </c>
      <c r="D33" t="s">
        <v>206</v>
      </c>
      <c r="E33" t="s">
        <v>339</v>
      </c>
      <c r="F33" t="s">
        <v>206</v>
      </c>
      <c r="H33" s="3">
        <v>102613778</v>
      </c>
      <c r="I33" s="3">
        <v>291908.67815047671</v>
      </c>
      <c r="J33" s="3">
        <v>147278.28</v>
      </c>
      <c r="K33" s="3">
        <v>299236.44</v>
      </c>
      <c r="L33" s="3">
        <v>149480.57</v>
      </c>
      <c r="M33" s="3">
        <v>1181275.31967246</v>
      </c>
      <c r="N33" s="3">
        <v>595995.29</v>
      </c>
      <c r="O33" s="9">
        <v>0.33534301797171917</v>
      </c>
    </row>
    <row r="34" spans="1:15">
      <c r="A34" t="s">
        <v>309</v>
      </c>
      <c r="B34" t="s">
        <v>523</v>
      </c>
      <c r="C34" t="s">
        <v>339</v>
      </c>
      <c r="D34" t="s">
        <v>331</v>
      </c>
      <c r="E34" s="51" t="s">
        <v>339</v>
      </c>
      <c r="F34" s="51" t="s">
        <v>206</v>
      </c>
      <c r="G34" s="51" t="s">
        <v>717</v>
      </c>
      <c r="H34" s="3">
        <v>6400161</v>
      </c>
      <c r="I34" s="3">
        <v>21775.084751226266</v>
      </c>
      <c r="J34" s="3">
        <v>5617.57</v>
      </c>
      <c r="K34" s="3">
        <v>9703.7099999999991</v>
      </c>
      <c r="L34" s="3">
        <v>6079.06</v>
      </c>
      <c r="M34" s="3">
        <v>82952.988072255015</v>
      </c>
      <c r="N34" s="3">
        <v>21400.34</v>
      </c>
      <c r="O34" s="9">
        <v>0.20507577856244555</v>
      </c>
    </row>
    <row r="35" spans="1:15">
      <c r="A35" t="s">
        <v>320</v>
      </c>
      <c r="B35" t="s">
        <v>529</v>
      </c>
      <c r="C35" t="s">
        <v>339</v>
      </c>
      <c r="D35" t="s">
        <v>206</v>
      </c>
      <c r="E35" t="s">
        <v>339</v>
      </c>
      <c r="F35" t="s">
        <v>206</v>
      </c>
      <c r="H35" s="3">
        <v>26494320</v>
      </c>
      <c r="I35" s="3">
        <v>58499.350256325895</v>
      </c>
      <c r="J35" s="3">
        <v>54896.36</v>
      </c>
      <c r="K35" s="3">
        <v>111537.06999999999</v>
      </c>
      <c r="L35" s="3">
        <v>55717.229999999996</v>
      </c>
      <c r="M35" s="3">
        <v>236730.98305632587</v>
      </c>
      <c r="N35" s="3">
        <v>222150.65999999997</v>
      </c>
      <c r="O35" s="9">
        <v>0.48411319860256841</v>
      </c>
    </row>
    <row r="36" spans="1:15">
      <c r="A36" t="s">
        <v>149</v>
      </c>
      <c r="B36" t="s">
        <v>464</v>
      </c>
      <c r="C36" t="s">
        <v>465</v>
      </c>
      <c r="D36" t="s">
        <v>206</v>
      </c>
      <c r="E36" t="s">
        <v>339</v>
      </c>
      <c r="F36" t="s">
        <v>206</v>
      </c>
      <c r="H36" s="3">
        <v>13275800</v>
      </c>
      <c r="I36" s="3">
        <v>45460.000000000007</v>
      </c>
      <c r="J36" s="3">
        <v>11365</v>
      </c>
      <c r="K36" s="3">
        <v>23090</v>
      </c>
      <c r="L36" s="3">
        <v>20434</v>
      </c>
      <c r="M36" s="3">
        <v>219556.00000000006</v>
      </c>
      <c r="N36" s="3">
        <v>54889</v>
      </c>
      <c r="O36" s="9">
        <v>0.19999999999999996</v>
      </c>
    </row>
    <row r="37" spans="1:15">
      <c r="A37" s="3" t="s">
        <v>592</v>
      </c>
      <c r="B37" s="3" t="s">
        <v>642</v>
      </c>
      <c r="C37" s="3" t="s">
        <v>641</v>
      </c>
      <c r="D37" s="3" t="s">
        <v>643</v>
      </c>
      <c r="E37" s="52" t="s">
        <v>697</v>
      </c>
      <c r="F37" s="3" t="s">
        <v>643</v>
      </c>
      <c r="G37" s="3" t="s">
        <v>717</v>
      </c>
      <c r="H37" s="3">
        <v>3565260</v>
      </c>
      <c r="I37" s="3">
        <v>21177.644400000001</v>
      </c>
      <c r="J37" s="3">
        <v>49414.503600000004</v>
      </c>
      <c r="K37" s="3">
        <v>62891.186399999999</v>
      </c>
      <c r="L37" s="3">
        <v>0</v>
      </c>
      <c r="M37" s="3">
        <v>48131.01</v>
      </c>
      <c r="N37" s="3">
        <v>112305.69</v>
      </c>
      <c r="O37" s="9">
        <v>0.7</v>
      </c>
    </row>
    <row r="38" spans="1:15">
      <c r="A38" t="s">
        <v>323</v>
      </c>
      <c r="B38" t="s">
        <v>532</v>
      </c>
      <c r="C38" t="s">
        <v>347</v>
      </c>
      <c r="D38" t="s">
        <v>119</v>
      </c>
      <c r="E38" s="51" t="s">
        <v>347</v>
      </c>
      <c r="F38" s="51" t="s">
        <v>119</v>
      </c>
      <c r="G38" s="51" t="s">
        <v>717</v>
      </c>
      <c r="H38" s="3">
        <v>15094293</v>
      </c>
      <c r="I38" s="3">
        <v>32301.775720001213</v>
      </c>
      <c r="J38" s="3">
        <v>32301.78</v>
      </c>
      <c r="K38" s="3">
        <v>55797.56</v>
      </c>
      <c r="L38" s="3">
        <v>17358.439999999999</v>
      </c>
      <c r="M38" s="3">
        <v>105457.7660268019</v>
      </c>
      <c r="N38" s="3">
        <v>105457.78</v>
      </c>
      <c r="O38" s="9">
        <v>0.50000003312510233</v>
      </c>
    </row>
    <row r="39" spans="1:15">
      <c r="A39" t="s">
        <v>324</v>
      </c>
      <c r="B39" t="s">
        <v>533</v>
      </c>
      <c r="C39" t="s">
        <v>347</v>
      </c>
      <c r="D39" t="s">
        <v>206</v>
      </c>
      <c r="E39" s="51" t="s">
        <v>347</v>
      </c>
      <c r="F39" s="51" t="s">
        <v>206</v>
      </c>
      <c r="G39" s="51" t="s">
        <v>717</v>
      </c>
      <c r="H39" s="3">
        <v>1014568</v>
      </c>
      <c r="I39" s="3">
        <v>2299.9534212357189</v>
      </c>
      <c r="J39" s="3">
        <v>2042.4</v>
      </c>
      <c r="K39" s="3">
        <v>4149.6900000000005</v>
      </c>
      <c r="L39" s="3">
        <v>2072.94</v>
      </c>
      <c r="M39" s="3">
        <v>9307.2777247923277</v>
      </c>
      <c r="N39" s="3">
        <v>8265.0300000000007</v>
      </c>
      <c r="O39" s="9">
        <v>0.47034402819722287</v>
      </c>
    </row>
    <row r="40" spans="1:15">
      <c r="A40" t="s">
        <v>395</v>
      </c>
      <c r="B40" t="s">
        <v>415</v>
      </c>
      <c r="C40" t="s">
        <v>347</v>
      </c>
      <c r="D40" t="s">
        <v>669</v>
      </c>
      <c r="E40" s="51" t="s">
        <v>347</v>
      </c>
      <c r="F40" s="51" t="s">
        <v>669</v>
      </c>
      <c r="G40" s="51" t="s">
        <v>717</v>
      </c>
      <c r="H40" s="3">
        <v>6355057</v>
      </c>
      <c r="I40" s="3">
        <v>0</v>
      </c>
      <c r="J40" s="3">
        <v>33494</v>
      </c>
      <c r="K40" s="3">
        <v>55543</v>
      </c>
      <c r="L40" s="3">
        <v>0</v>
      </c>
      <c r="M40" s="3">
        <v>0</v>
      </c>
      <c r="N40" s="3">
        <v>89037</v>
      </c>
      <c r="O40" s="9">
        <v>1</v>
      </c>
    </row>
    <row r="41" spans="1:15">
      <c r="A41" t="s">
        <v>30</v>
      </c>
      <c r="B41" t="s">
        <v>580</v>
      </c>
      <c r="C41" t="s">
        <v>80</v>
      </c>
      <c r="D41" t="s">
        <v>54</v>
      </c>
      <c r="E41" t="s">
        <v>80</v>
      </c>
      <c r="F41" t="s">
        <v>54</v>
      </c>
      <c r="H41" s="3">
        <v>2921400</v>
      </c>
      <c r="I41" s="3">
        <v>24318</v>
      </c>
      <c r="J41" s="3">
        <v>12645</v>
      </c>
      <c r="K41" s="3">
        <v>14202.133757961785</v>
      </c>
      <c r="L41" s="3">
        <v>0</v>
      </c>
      <c r="M41" s="3">
        <v>24783.43949044586</v>
      </c>
      <c r="N41" s="3">
        <v>26847.133757961783</v>
      </c>
      <c r="O41" s="9">
        <v>0.51998519615099925</v>
      </c>
    </row>
    <row r="42" spans="1:15">
      <c r="A42" t="s">
        <v>18</v>
      </c>
      <c r="B42" t="s">
        <v>568</v>
      </c>
      <c r="C42" t="s">
        <v>67</v>
      </c>
      <c r="D42" t="s">
        <v>58</v>
      </c>
      <c r="E42" t="s">
        <v>67</v>
      </c>
      <c r="F42" t="s">
        <v>58</v>
      </c>
      <c r="H42" s="3">
        <v>1228073</v>
      </c>
      <c r="I42" s="3">
        <v>6170</v>
      </c>
      <c r="J42" s="3">
        <v>2931</v>
      </c>
      <c r="K42" s="3">
        <v>5456.0564999999997</v>
      </c>
      <c r="L42" s="3">
        <v>706.59432800000002</v>
      </c>
      <c r="M42" s="3">
        <v>10049.24429610781</v>
      </c>
      <c r="N42" s="3">
        <v>9093.650827999998</v>
      </c>
      <c r="O42" s="9">
        <v>0.47504051863857372</v>
      </c>
    </row>
    <row r="43" spans="1:15">
      <c r="A43" t="s">
        <v>21</v>
      </c>
      <c r="B43" t="s">
        <v>571</v>
      </c>
      <c r="C43" t="s">
        <v>67</v>
      </c>
      <c r="D43" t="s">
        <v>58</v>
      </c>
      <c r="E43" t="s">
        <v>67</v>
      </c>
      <c r="F43" t="s">
        <v>58</v>
      </c>
      <c r="H43" s="3">
        <v>2641500</v>
      </c>
      <c r="I43" s="3">
        <v>13271</v>
      </c>
      <c r="J43" s="3">
        <v>6304</v>
      </c>
      <c r="K43" s="3">
        <v>11734.895999999999</v>
      </c>
      <c r="L43" s="3">
        <v>1519.864984</v>
      </c>
      <c r="M43" s="3">
        <v>21615.781690280455</v>
      </c>
      <c r="N43" s="3">
        <v>19558.760984</v>
      </c>
      <c r="O43" s="9">
        <v>0.47502072187476452</v>
      </c>
    </row>
    <row r="44" spans="1:15">
      <c r="A44" t="s">
        <v>39</v>
      </c>
      <c r="B44" t="s">
        <v>588</v>
      </c>
      <c r="C44" t="s">
        <v>88</v>
      </c>
      <c r="D44" t="s">
        <v>432</v>
      </c>
      <c r="E44" t="s">
        <v>88</v>
      </c>
      <c r="F44" t="s">
        <v>432</v>
      </c>
      <c r="H44" s="3">
        <v>3530779</v>
      </c>
      <c r="I44" s="3">
        <v>29390</v>
      </c>
      <c r="J44" s="3">
        <v>11479</v>
      </c>
      <c r="K44" s="3">
        <v>12892.54989384289</v>
      </c>
      <c r="L44" s="3">
        <v>0</v>
      </c>
      <c r="M44" s="3">
        <v>38027.600849256902</v>
      </c>
      <c r="N44" s="3">
        <v>24371.54989384289</v>
      </c>
      <c r="O44" s="9">
        <v>0.39057502551888401</v>
      </c>
    </row>
    <row r="45" spans="1:15">
      <c r="A45" t="s">
        <v>156</v>
      </c>
      <c r="B45" t="s">
        <v>478</v>
      </c>
      <c r="C45" t="s">
        <v>249</v>
      </c>
      <c r="D45" t="s">
        <v>248</v>
      </c>
      <c r="E45" s="51" t="s">
        <v>249</v>
      </c>
      <c r="F45" s="51" t="s">
        <v>248</v>
      </c>
      <c r="G45" s="51" t="s">
        <v>717</v>
      </c>
      <c r="H45" s="3">
        <v>52026400</v>
      </c>
      <c r="I45" s="3">
        <v>200403.00000000003</v>
      </c>
      <c r="J45" s="3">
        <v>22267</v>
      </c>
      <c r="K45" s="3">
        <v>38464</v>
      </c>
      <c r="L45" s="3">
        <v>18169</v>
      </c>
      <c r="M45" s="3">
        <v>710100.00000000023</v>
      </c>
      <c r="N45" s="3">
        <v>78900</v>
      </c>
      <c r="O45" s="9">
        <v>9.9999999999999978E-2</v>
      </c>
    </row>
    <row r="46" spans="1:15">
      <c r="A46" t="s">
        <v>157</v>
      </c>
      <c r="B46" t="s">
        <v>479</v>
      </c>
      <c r="C46" t="s">
        <v>249</v>
      </c>
      <c r="D46" t="s">
        <v>248</v>
      </c>
      <c r="E46" s="51" t="s">
        <v>249</v>
      </c>
      <c r="F46" s="51" t="s">
        <v>248</v>
      </c>
      <c r="G46" s="51" t="s">
        <v>717</v>
      </c>
      <c r="H46" s="3">
        <v>36559400</v>
      </c>
      <c r="I46" s="3">
        <v>140832.00000000003</v>
      </c>
      <c r="J46" s="3">
        <v>15648</v>
      </c>
      <c r="K46" s="3">
        <v>27029</v>
      </c>
      <c r="L46" s="3">
        <v>12769</v>
      </c>
      <c r="M46" s="3">
        <v>499014.00000000012</v>
      </c>
      <c r="N46" s="3">
        <v>55446</v>
      </c>
      <c r="O46" s="9">
        <v>9.9999999999999978E-2</v>
      </c>
    </row>
    <row r="47" spans="1:15">
      <c r="A47" t="s">
        <v>20</v>
      </c>
      <c r="B47" t="s">
        <v>570</v>
      </c>
      <c r="C47" t="s">
        <v>69</v>
      </c>
      <c r="D47" t="s">
        <v>58</v>
      </c>
      <c r="E47" t="s">
        <v>69</v>
      </c>
      <c r="F47" t="s">
        <v>58</v>
      </c>
      <c r="H47" s="3">
        <v>18451703</v>
      </c>
      <c r="I47" s="3">
        <v>92701</v>
      </c>
      <c r="J47" s="3">
        <v>33795</v>
      </c>
      <c r="K47" s="3">
        <v>62909.392499999994</v>
      </c>
      <c r="L47" s="3">
        <v>6425.2308560000001</v>
      </c>
      <c r="M47" s="3">
        <v>179758.94639468958</v>
      </c>
      <c r="N47" s="3">
        <v>103129.62335599998</v>
      </c>
      <c r="O47" s="9">
        <v>0.36455917411894156</v>
      </c>
    </row>
    <row r="48" spans="1:15">
      <c r="A48" t="s">
        <v>24</v>
      </c>
      <c r="B48" t="s">
        <v>574</v>
      </c>
      <c r="C48" t="s">
        <v>73</v>
      </c>
      <c r="D48" t="s">
        <v>58</v>
      </c>
      <c r="E48" s="51" t="s">
        <v>73</v>
      </c>
      <c r="F48" s="51" t="s">
        <v>58</v>
      </c>
      <c r="G48" s="51" t="s">
        <v>717</v>
      </c>
      <c r="H48" s="3">
        <v>75247600</v>
      </c>
      <c r="I48" s="3">
        <v>378044</v>
      </c>
      <c r="J48" s="3">
        <v>170120</v>
      </c>
      <c r="K48" s="3">
        <v>316678.38</v>
      </c>
      <c r="L48" s="3">
        <v>31181.119816000002</v>
      </c>
      <c r="M48" s="3">
        <v>633084.70209112391</v>
      </c>
      <c r="N48" s="3">
        <v>517979.499816</v>
      </c>
      <c r="O48" s="9">
        <v>0.45000052903894783</v>
      </c>
    </row>
    <row r="49" spans="1:15">
      <c r="A49" t="s">
        <v>274</v>
      </c>
      <c r="B49" t="s">
        <v>505</v>
      </c>
      <c r="C49" t="s">
        <v>344</v>
      </c>
      <c r="D49" t="s">
        <v>248</v>
      </c>
      <c r="E49" s="51" t="s">
        <v>344</v>
      </c>
      <c r="F49" s="51" t="s">
        <v>248</v>
      </c>
      <c r="G49" s="51" t="s">
        <v>717</v>
      </c>
      <c r="H49" s="3">
        <v>84240100</v>
      </c>
      <c r="I49" s="3">
        <v>198301.88888888893</v>
      </c>
      <c r="J49" s="3">
        <v>162247</v>
      </c>
      <c r="K49" s="3">
        <v>280262</v>
      </c>
      <c r="L49" s="3">
        <v>132390</v>
      </c>
      <c r="M49" s="3">
        <v>702654.33333333349</v>
      </c>
      <c r="N49" s="3">
        <v>574899</v>
      </c>
      <c r="O49" s="9">
        <v>0.44999999999999996</v>
      </c>
    </row>
    <row r="50" spans="1:15">
      <c r="A50" t="s">
        <v>315</v>
      </c>
      <c r="B50" t="s">
        <v>505</v>
      </c>
      <c r="C50" t="s">
        <v>344</v>
      </c>
      <c r="D50" t="s">
        <v>248</v>
      </c>
      <c r="E50" s="51" t="s">
        <v>344</v>
      </c>
      <c r="F50" s="51" t="s">
        <v>248</v>
      </c>
      <c r="G50" s="51" t="s">
        <v>717</v>
      </c>
      <c r="H50" s="3">
        <v>20682794</v>
      </c>
      <c r="I50" s="3">
        <v>67287.444646599572</v>
      </c>
      <c r="J50" s="3">
        <v>21234.899999999998</v>
      </c>
      <c r="K50" s="3">
        <v>36680.81</v>
      </c>
      <c r="L50" s="3">
        <v>9389</v>
      </c>
      <c r="M50" s="3">
        <v>213269.75632475017</v>
      </c>
      <c r="N50" s="3">
        <v>67304.709999999992</v>
      </c>
      <c r="O50" s="9">
        <v>0.23988180707113363</v>
      </c>
    </row>
    <row r="51" spans="1:15">
      <c r="A51" t="s">
        <v>319</v>
      </c>
      <c r="B51" t="s">
        <v>528</v>
      </c>
      <c r="C51" t="s">
        <v>344</v>
      </c>
      <c r="D51" t="s">
        <v>248</v>
      </c>
      <c r="E51" s="51" t="s">
        <v>344</v>
      </c>
      <c r="F51" s="51" t="s">
        <v>248</v>
      </c>
      <c r="G51" s="51" t="s">
        <v>717</v>
      </c>
      <c r="H51" s="3">
        <v>102514209</v>
      </c>
      <c r="I51" s="3">
        <v>362412.30417573068</v>
      </c>
      <c r="J51" s="3">
        <v>76348.5</v>
      </c>
      <c r="K51" s="3">
        <v>131883.12</v>
      </c>
      <c r="L51" s="3">
        <v>33757.449999999997</v>
      </c>
      <c r="M51" s="3">
        <v>1148677.6615656125</v>
      </c>
      <c r="N51" s="3">
        <v>241989.07</v>
      </c>
      <c r="O51" s="9">
        <v>0.17400939024950191</v>
      </c>
    </row>
    <row r="52" spans="1:15">
      <c r="A52" t="s">
        <v>680</v>
      </c>
      <c r="B52" t="s">
        <v>681</v>
      </c>
      <c r="C52" t="s">
        <v>682</v>
      </c>
      <c r="D52" t="s">
        <v>432</v>
      </c>
      <c r="E52" t="s">
        <v>682</v>
      </c>
      <c r="F52" t="s">
        <v>432</v>
      </c>
      <c r="H52" s="3"/>
      <c r="I52" s="3">
        <v>354289.86486486485</v>
      </c>
      <c r="J52" s="3">
        <v>208075</v>
      </c>
      <c r="K52" s="3">
        <v>234637.76595744683</v>
      </c>
      <c r="L52" s="3">
        <v>0</v>
      </c>
      <c r="M52" s="3">
        <v>753808.22311673372</v>
      </c>
      <c r="N52" s="3">
        <v>442712.76595744683</v>
      </c>
      <c r="O52" s="9">
        <v>0.16634033950167565</v>
      </c>
    </row>
    <row r="53" spans="1:15">
      <c r="A53" t="s">
        <v>128</v>
      </c>
      <c r="B53" t="s">
        <v>442</v>
      </c>
      <c r="C53" t="s">
        <v>198</v>
      </c>
      <c r="D53" t="s">
        <v>115</v>
      </c>
      <c r="E53" s="51" t="s">
        <v>198</v>
      </c>
      <c r="F53" s="51" t="s">
        <v>115</v>
      </c>
      <c r="G53" s="51" t="s">
        <v>716</v>
      </c>
      <c r="H53" s="3">
        <v>16500000</v>
      </c>
      <c r="I53" s="3">
        <v>60032.666666666657</v>
      </c>
      <c r="J53" s="3">
        <v>10594</v>
      </c>
      <c r="K53" s="3">
        <v>18298</v>
      </c>
      <c r="L53" s="3">
        <v>15535</v>
      </c>
      <c r="M53" s="3">
        <v>251752.99999999994</v>
      </c>
      <c r="N53" s="3">
        <v>44427</v>
      </c>
      <c r="O53" s="9">
        <v>0.15000000000000002</v>
      </c>
    </row>
    <row r="54" spans="1:15">
      <c r="A54" t="s">
        <v>129</v>
      </c>
      <c r="B54" t="s">
        <v>442</v>
      </c>
      <c r="C54" t="s">
        <v>198</v>
      </c>
      <c r="D54" t="s">
        <v>115</v>
      </c>
      <c r="E54" s="51" t="s">
        <v>198</v>
      </c>
      <c r="F54" s="51" t="s">
        <v>115</v>
      </c>
      <c r="G54" s="51" t="s">
        <v>716</v>
      </c>
      <c r="H54" s="3">
        <v>25124700</v>
      </c>
      <c r="I54" s="3">
        <v>91403.333333333314</v>
      </c>
      <c r="J54" s="3">
        <v>16130</v>
      </c>
      <c r="K54" s="3">
        <v>27863</v>
      </c>
      <c r="L54" s="3">
        <v>23655</v>
      </c>
      <c r="M54" s="3">
        <v>383338.66666666663</v>
      </c>
      <c r="N54" s="3">
        <v>67648</v>
      </c>
      <c r="O54" s="9">
        <v>0.15000000000000002</v>
      </c>
    </row>
    <row r="55" spans="1:15">
      <c r="A55" t="s">
        <v>126</v>
      </c>
      <c r="B55" t="s">
        <v>441</v>
      </c>
      <c r="C55" t="s">
        <v>340</v>
      </c>
      <c r="D55" t="s">
        <v>115</v>
      </c>
      <c r="E55" s="51" t="s">
        <v>340</v>
      </c>
      <c r="F55" s="51" t="s">
        <v>115</v>
      </c>
      <c r="G55" s="51" t="s">
        <v>716</v>
      </c>
      <c r="H55" s="3">
        <v>7419900</v>
      </c>
      <c r="I55" s="3">
        <v>23817</v>
      </c>
      <c r="J55" s="3">
        <v>7939</v>
      </c>
      <c r="K55" s="3">
        <v>13714</v>
      </c>
      <c r="L55" s="3">
        <v>11643</v>
      </c>
      <c r="M55" s="3">
        <v>99888</v>
      </c>
      <c r="N55" s="3">
        <v>33296</v>
      </c>
      <c r="O55" s="9">
        <v>0.25</v>
      </c>
    </row>
    <row r="56" spans="1:15">
      <c r="A56" t="s">
        <v>127</v>
      </c>
      <c r="B56" t="s">
        <v>441</v>
      </c>
      <c r="C56" t="s">
        <v>340</v>
      </c>
      <c r="D56" t="s">
        <v>115</v>
      </c>
      <c r="E56" s="51" t="s">
        <v>340</v>
      </c>
      <c r="F56" s="51" t="s">
        <v>115</v>
      </c>
      <c r="G56" s="51" t="s">
        <v>716</v>
      </c>
      <c r="H56" s="3">
        <v>37044800</v>
      </c>
      <c r="I56" s="3">
        <v>118914</v>
      </c>
      <c r="J56" s="3">
        <v>39638</v>
      </c>
      <c r="K56" s="3">
        <v>68470</v>
      </c>
      <c r="L56" s="3">
        <v>58131</v>
      </c>
      <c r="M56" s="3">
        <v>498717</v>
      </c>
      <c r="N56" s="3">
        <v>166239</v>
      </c>
      <c r="O56" s="9">
        <v>0.25</v>
      </c>
    </row>
    <row r="57" spans="1:15">
      <c r="A57" t="s">
        <v>311</v>
      </c>
      <c r="B57" t="s">
        <v>441</v>
      </c>
      <c r="C57" t="s">
        <v>340</v>
      </c>
      <c r="D57" t="s">
        <v>115</v>
      </c>
      <c r="E57" s="51" t="s">
        <v>340</v>
      </c>
      <c r="F57" s="51" t="s">
        <v>115</v>
      </c>
      <c r="G57" s="51" t="s">
        <v>716</v>
      </c>
      <c r="H57" s="3">
        <v>2169357</v>
      </c>
      <c r="I57" s="3">
        <v>6445.6407654910945</v>
      </c>
      <c r="J57" s="3">
        <v>2839.2000000000003</v>
      </c>
      <c r="K57" s="3">
        <v>5768.61</v>
      </c>
      <c r="L57" s="3">
        <v>7045.4600000000009</v>
      </c>
      <c r="M57" s="3">
        <v>35536.543824048596</v>
      </c>
      <c r="N57" s="3">
        <v>15653.27</v>
      </c>
      <c r="O57" s="9">
        <v>0.30578876597996552</v>
      </c>
    </row>
    <row r="58" spans="1:15">
      <c r="A58" t="s">
        <v>3</v>
      </c>
      <c r="B58" t="s">
        <v>552</v>
      </c>
      <c r="C58" t="s">
        <v>44</v>
      </c>
      <c r="D58" t="s">
        <v>53</v>
      </c>
      <c r="E58" t="s">
        <v>698</v>
      </c>
      <c r="F58" t="s">
        <v>53</v>
      </c>
      <c r="G58" s="51" t="s">
        <v>718</v>
      </c>
      <c r="H58" s="3">
        <v>9000000</v>
      </c>
      <c r="I58" s="3">
        <v>74916</v>
      </c>
      <c r="J58" s="3">
        <v>18729</v>
      </c>
      <c r="K58" s="3">
        <v>21035.331210191081</v>
      </c>
      <c r="L58" s="3">
        <v>0</v>
      </c>
      <c r="M58" s="3">
        <v>119292.99363057326</v>
      </c>
      <c r="N58" s="3">
        <v>39764.331210191085</v>
      </c>
      <c r="O58" s="9">
        <v>0.25</v>
      </c>
    </row>
    <row r="59" spans="1:15">
      <c r="A59" t="s">
        <v>290</v>
      </c>
      <c r="B59" t="s">
        <v>511</v>
      </c>
      <c r="C59" t="s">
        <v>329</v>
      </c>
      <c r="D59" t="s">
        <v>119</v>
      </c>
      <c r="E59" t="s">
        <v>329</v>
      </c>
      <c r="F59" t="s">
        <v>119</v>
      </c>
      <c r="H59" s="3">
        <v>31356776</v>
      </c>
      <c r="I59" s="3">
        <v>123683.69259963233</v>
      </c>
      <c r="J59" s="3">
        <v>10523.88</v>
      </c>
      <c r="K59" s="3">
        <v>21382.07</v>
      </c>
      <c r="L59" s="3">
        <v>16336.53</v>
      </c>
      <c r="M59" s="3">
        <v>566977.96502467827</v>
      </c>
      <c r="N59" s="3">
        <v>48242.479999999996</v>
      </c>
      <c r="O59" s="9">
        <v>7.8414949291980784E-2</v>
      </c>
    </row>
    <row r="60" spans="1:15">
      <c r="A60" t="s">
        <v>123</v>
      </c>
      <c r="B60" t="s">
        <v>438</v>
      </c>
      <c r="C60" t="s">
        <v>195</v>
      </c>
      <c r="D60" t="s">
        <v>116</v>
      </c>
      <c r="E60" t="s">
        <v>195</v>
      </c>
      <c r="F60" t="s">
        <v>116</v>
      </c>
      <c r="H60" s="3">
        <v>14000000</v>
      </c>
      <c r="I60" s="3">
        <v>41943.999999999993</v>
      </c>
      <c r="J60" s="3">
        <v>17976</v>
      </c>
      <c r="K60" s="3">
        <v>31051</v>
      </c>
      <c r="L60" s="3">
        <v>21101</v>
      </c>
      <c r="M60" s="3">
        <v>163631.99999999997</v>
      </c>
      <c r="N60" s="3">
        <v>70128</v>
      </c>
      <c r="O60" s="9">
        <v>0.30000000000000004</v>
      </c>
    </row>
    <row r="61" spans="1:15">
      <c r="A61" t="s">
        <v>164</v>
      </c>
      <c r="B61" t="s">
        <v>485</v>
      </c>
      <c r="C61" t="s">
        <v>537</v>
      </c>
      <c r="D61" t="s">
        <v>206</v>
      </c>
      <c r="E61" t="s">
        <v>255</v>
      </c>
      <c r="F61" t="s">
        <v>206</v>
      </c>
      <c r="H61" s="3">
        <v>64666200</v>
      </c>
      <c r="I61" s="3">
        <v>207579</v>
      </c>
      <c r="J61" s="3">
        <v>69193</v>
      </c>
      <c r="K61" s="3">
        <v>140585</v>
      </c>
      <c r="L61" s="3">
        <v>70228</v>
      </c>
      <c r="M61" s="3">
        <v>840018</v>
      </c>
      <c r="N61" s="3">
        <v>280006</v>
      </c>
      <c r="O61" s="9">
        <v>0.25</v>
      </c>
    </row>
    <row r="62" spans="1:15">
      <c r="A62" t="s">
        <v>292</v>
      </c>
      <c r="B62" t="s">
        <v>513</v>
      </c>
      <c r="C62" t="s">
        <v>332</v>
      </c>
      <c r="D62" t="s">
        <v>206</v>
      </c>
      <c r="E62" s="51" t="s">
        <v>332</v>
      </c>
      <c r="F62" s="51" t="s">
        <v>206</v>
      </c>
      <c r="G62" s="51" t="s">
        <v>717</v>
      </c>
      <c r="H62" s="3">
        <v>279553</v>
      </c>
      <c r="I62" s="3">
        <v>644.54184071153304</v>
      </c>
      <c r="J62" s="3">
        <v>551.95999999999992</v>
      </c>
      <c r="K62" s="3">
        <v>1121.44</v>
      </c>
      <c r="L62" s="3">
        <v>560.19999999999993</v>
      </c>
      <c r="M62" s="3">
        <v>2608.2481618473803</v>
      </c>
      <c r="N62" s="3">
        <v>2233.6</v>
      </c>
      <c r="O62" s="9">
        <v>0.46131145078035291</v>
      </c>
    </row>
    <row r="63" spans="1:15">
      <c r="A63" t="s">
        <v>303</v>
      </c>
      <c r="B63" t="s">
        <v>513</v>
      </c>
      <c r="C63" t="s">
        <v>332</v>
      </c>
      <c r="D63" t="s">
        <v>206</v>
      </c>
      <c r="E63" s="51" t="s">
        <v>332</v>
      </c>
      <c r="F63" s="51" t="s">
        <v>206</v>
      </c>
      <c r="G63" s="51" t="s">
        <v>717</v>
      </c>
      <c r="H63" s="3">
        <v>1622886</v>
      </c>
      <c r="I63" s="3">
        <v>5050.6977134417612</v>
      </c>
      <c r="J63" s="3">
        <v>1895.24</v>
      </c>
      <c r="K63" s="3">
        <v>3850.71</v>
      </c>
      <c r="L63" s="3">
        <v>1923.58</v>
      </c>
      <c r="M63" s="3">
        <v>20438.824441322995</v>
      </c>
      <c r="N63" s="3">
        <v>7669.53</v>
      </c>
      <c r="O63" s="9">
        <v>0.27285588759777335</v>
      </c>
    </row>
    <row r="64" spans="1:15">
      <c r="A64" t="s">
        <v>304</v>
      </c>
      <c r="B64" t="s">
        <v>513</v>
      </c>
      <c r="C64" t="s">
        <v>332</v>
      </c>
      <c r="D64" t="s">
        <v>206</v>
      </c>
      <c r="E64" s="51" t="s">
        <v>332</v>
      </c>
      <c r="F64" s="51" t="s">
        <v>206</v>
      </c>
      <c r="G64" s="51" t="s">
        <v>717</v>
      </c>
      <c r="H64" s="3">
        <v>123818</v>
      </c>
      <c r="I64" s="3">
        <v>335.85301819384716</v>
      </c>
      <c r="J64" s="3">
        <v>194.07</v>
      </c>
      <c r="K64" s="3">
        <v>394.31</v>
      </c>
      <c r="L64" s="3">
        <v>196.97</v>
      </c>
      <c r="M64" s="3">
        <v>1359.1084033520783</v>
      </c>
      <c r="N64" s="3">
        <v>785.35</v>
      </c>
      <c r="O64" s="9">
        <v>0.36622300473275293</v>
      </c>
    </row>
    <row r="65" spans="1:15">
      <c r="A65" t="s">
        <v>305</v>
      </c>
      <c r="B65" t="s">
        <v>520</v>
      </c>
      <c r="C65" t="s">
        <v>332</v>
      </c>
      <c r="D65" t="s">
        <v>119</v>
      </c>
      <c r="E65" s="51" t="s">
        <v>332</v>
      </c>
      <c r="F65" s="51" t="s">
        <v>119</v>
      </c>
      <c r="G65" s="51" t="s">
        <v>717</v>
      </c>
      <c r="H65" s="3">
        <v>2932413</v>
      </c>
      <c r="I65" s="3">
        <v>8515.6680132503025</v>
      </c>
      <c r="J65" s="3">
        <v>4035.0600000000004</v>
      </c>
      <c r="K65" s="3">
        <v>6970.09</v>
      </c>
      <c r="L65" s="3">
        <v>2168.37</v>
      </c>
      <c r="M65" s="3">
        <v>27801.649265664728</v>
      </c>
      <c r="N65" s="3">
        <v>13173.52</v>
      </c>
      <c r="O65" s="9">
        <v>0.32150007519404666</v>
      </c>
    </row>
    <row r="66" spans="1:15">
      <c r="A66" t="s">
        <v>306</v>
      </c>
      <c r="B66" t="s">
        <v>520</v>
      </c>
      <c r="C66" t="s">
        <v>332</v>
      </c>
      <c r="D66" t="s">
        <v>119</v>
      </c>
      <c r="E66" s="51" t="s">
        <v>332</v>
      </c>
      <c r="F66" s="51" t="s">
        <v>119</v>
      </c>
      <c r="G66" s="51" t="s">
        <v>717</v>
      </c>
      <c r="H66" s="3">
        <v>6146187</v>
      </c>
      <c r="I66" s="3">
        <v>15640.445687613921</v>
      </c>
      <c r="J66" s="3">
        <v>10665.24</v>
      </c>
      <c r="K66" s="3">
        <v>18422.95</v>
      </c>
      <c r="L66" s="3">
        <v>5731.32</v>
      </c>
      <c r="M66" s="3">
        <v>51062.391003327619</v>
      </c>
      <c r="N66" s="3">
        <v>34819.51</v>
      </c>
      <c r="O66" s="9">
        <v>0.40543478420035056</v>
      </c>
    </row>
    <row r="67" spans="1:15">
      <c r="A67" t="s">
        <v>307</v>
      </c>
      <c r="B67" t="s">
        <v>521</v>
      </c>
      <c r="C67" t="s">
        <v>332</v>
      </c>
      <c r="D67" t="s">
        <v>248</v>
      </c>
      <c r="E67" s="51" t="s">
        <v>332</v>
      </c>
      <c r="F67" s="51" t="s">
        <v>248</v>
      </c>
      <c r="G67" s="51" t="s">
        <v>717</v>
      </c>
      <c r="H67" s="3">
        <v>67586</v>
      </c>
      <c r="I67" s="3">
        <v>163.24421526339029</v>
      </c>
      <c r="J67" s="3">
        <v>126.00999999999999</v>
      </c>
      <c r="K67" s="3">
        <v>217.68</v>
      </c>
      <c r="L67" s="3">
        <v>55.72</v>
      </c>
      <c r="M67" s="3">
        <v>517.4301406106714</v>
      </c>
      <c r="N67" s="3">
        <v>399.40999999999997</v>
      </c>
      <c r="O67" s="9">
        <v>0.43563755807415738</v>
      </c>
    </row>
    <row r="68" spans="1:15">
      <c r="A68" t="s">
        <v>312</v>
      </c>
      <c r="B68" t="s">
        <v>524</v>
      </c>
      <c r="C68" t="s">
        <v>332</v>
      </c>
      <c r="D68" t="s">
        <v>119</v>
      </c>
      <c r="E68" s="51" t="s">
        <v>332</v>
      </c>
      <c r="F68" s="51" t="s">
        <v>119</v>
      </c>
      <c r="G68" s="51" t="s">
        <v>717</v>
      </c>
      <c r="H68" s="3">
        <v>6307222</v>
      </c>
      <c r="I68" s="3">
        <v>17254.94528205047</v>
      </c>
      <c r="J68" s="3">
        <v>9739.9599999999991</v>
      </c>
      <c r="K68" s="3">
        <v>16824.650000000001</v>
      </c>
      <c r="L68" s="3">
        <v>5234.09</v>
      </c>
      <c r="M68" s="3">
        <v>56333.375962564358</v>
      </c>
      <c r="N68" s="3">
        <v>31798.7</v>
      </c>
      <c r="O68" s="9">
        <v>0.36080734117175517</v>
      </c>
    </row>
    <row r="69" spans="1:15">
      <c r="A69" s="3" t="s">
        <v>599</v>
      </c>
      <c r="B69" s="3" t="s">
        <v>648</v>
      </c>
      <c r="C69" s="3" t="s">
        <v>597</v>
      </c>
      <c r="D69" s="3" t="s">
        <v>643</v>
      </c>
      <c r="E69" s="52" t="s">
        <v>597</v>
      </c>
      <c r="F69" s="52" t="s">
        <v>643</v>
      </c>
      <c r="G69" s="52" t="s">
        <v>717</v>
      </c>
      <c r="H69" s="3">
        <v>24097281</v>
      </c>
      <c r="I69" s="3">
        <v>143137.84914000001</v>
      </c>
      <c r="J69" s="3">
        <v>15904.207440000002</v>
      </c>
      <c r="K69" s="3">
        <v>20241.718560000001</v>
      </c>
      <c r="L69" s="3">
        <v>0</v>
      </c>
      <c r="M69" s="3">
        <v>325313.29350000003</v>
      </c>
      <c r="N69" s="3">
        <v>36145.926000000007</v>
      </c>
      <c r="O69" s="9">
        <v>0.1000000112045835</v>
      </c>
    </row>
    <row r="70" spans="1:15">
      <c r="A70" s="3" t="s">
        <v>616</v>
      </c>
      <c r="B70" s="3" t="s">
        <v>648</v>
      </c>
      <c r="C70" s="3" t="s">
        <v>597</v>
      </c>
      <c r="D70" s="3" t="s">
        <v>643</v>
      </c>
      <c r="E70" s="52" t="s">
        <v>597</v>
      </c>
      <c r="F70" s="52" t="s">
        <v>643</v>
      </c>
      <c r="G70" s="52" t="s">
        <v>717</v>
      </c>
      <c r="H70" s="3">
        <v>5184235</v>
      </c>
      <c r="I70" s="3">
        <v>30794.355900000002</v>
      </c>
      <c r="J70" s="3">
        <v>3421.5885000000003</v>
      </c>
      <c r="K70" s="3">
        <v>4354.7489999999998</v>
      </c>
      <c r="L70" s="3">
        <v>0</v>
      </c>
      <c r="M70" s="3">
        <v>69987.172500000001</v>
      </c>
      <c r="N70" s="3">
        <v>7776.3375000000005</v>
      </c>
      <c r="O70" s="9">
        <v>9.9999826396725167E-2</v>
      </c>
    </row>
    <row r="71" spans="1:15">
      <c r="A71" s="3" t="s">
        <v>599</v>
      </c>
      <c r="B71" s="3" t="s">
        <v>650</v>
      </c>
      <c r="C71" s="3" t="s">
        <v>600</v>
      </c>
      <c r="D71" s="3" t="s">
        <v>643</v>
      </c>
      <c r="E71" s="52" t="s">
        <v>600</v>
      </c>
      <c r="F71" s="52" t="s">
        <v>643</v>
      </c>
      <c r="G71" s="52" t="s">
        <v>717</v>
      </c>
      <c r="H71" s="3">
        <v>1838613</v>
      </c>
      <c r="I71" s="3">
        <v>10921.361220000001</v>
      </c>
      <c r="J71" s="3">
        <v>16382.0448</v>
      </c>
      <c r="K71" s="3">
        <v>20849.875199999999</v>
      </c>
      <c r="L71" s="3">
        <v>0</v>
      </c>
      <c r="M71" s="3">
        <v>24821.275500000003</v>
      </c>
      <c r="N71" s="3">
        <v>37231.920000000006</v>
      </c>
      <c r="O71" s="9">
        <v>0.60000004351105496</v>
      </c>
    </row>
    <row r="72" spans="1:15">
      <c r="A72" s="3" t="s">
        <v>618</v>
      </c>
      <c r="B72" s="3" t="s">
        <v>650</v>
      </c>
      <c r="C72" s="3" t="s">
        <v>600</v>
      </c>
      <c r="D72" s="3" t="s">
        <v>643</v>
      </c>
      <c r="E72" s="52" t="s">
        <v>600</v>
      </c>
      <c r="F72" s="52" t="s">
        <v>643</v>
      </c>
      <c r="G72" s="52" t="s">
        <v>717</v>
      </c>
      <c r="H72" s="3">
        <v>4046786</v>
      </c>
      <c r="I72" s="3">
        <v>24037.908840000004</v>
      </c>
      <c r="J72" s="3">
        <v>35991.832139999999</v>
      </c>
      <c r="K72" s="3">
        <v>45807.786359999998</v>
      </c>
      <c r="L72" s="3">
        <v>0</v>
      </c>
      <c r="M72" s="3">
        <v>54631.611000000012</v>
      </c>
      <c r="N72" s="3">
        <v>81799.618499999997</v>
      </c>
      <c r="O72" s="9">
        <v>0.59956667399233532</v>
      </c>
    </row>
    <row r="73" spans="1:15">
      <c r="A73" t="s">
        <v>130</v>
      </c>
      <c r="B73" t="s">
        <v>443</v>
      </c>
      <c r="C73" t="s">
        <v>336</v>
      </c>
      <c r="D73" t="s">
        <v>199</v>
      </c>
      <c r="E73" s="51" t="s">
        <v>336</v>
      </c>
      <c r="F73" s="51" t="s">
        <v>199</v>
      </c>
      <c r="G73" s="52" t="s">
        <v>717</v>
      </c>
      <c r="H73" s="3">
        <v>10220300</v>
      </c>
      <c r="I73" s="3">
        <v>39366.000000000007</v>
      </c>
      <c r="J73" s="3">
        <v>4374</v>
      </c>
      <c r="K73" s="3">
        <v>7556</v>
      </c>
      <c r="L73" s="3">
        <v>1782</v>
      </c>
      <c r="M73" s="3">
        <v>123408.00000000003</v>
      </c>
      <c r="N73" s="3">
        <v>13712</v>
      </c>
      <c r="O73" s="9">
        <v>9.9999999999999978E-2</v>
      </c>
    </row>
    <row r="74" spans="1:15">
      <c r="A74" t="s">
        <v>297</v>
      </c>
      <c r="B74" t="s">
        <v>443</v>
      </c>
      <c r="C74" t="s">
        <v>336</v>
      </c>
      <c r="D74" t="s">
        <v>199</v>
      </c>
      <c r="E74" s="51" t="s">
        <v>336</v>
      </c>
      <c r="F74" s="51" t="s">
        <v>199</v>
      </c>
      <c r="G74" s="52" t="s">
        <v>717</v>
      </c>
      <c r="H74" s="3">
        <v>30430187</v>
      </c>
      <c r="I74" s="3">
        <v>37409.878844773302</v>
      </c>
      <c r="J74" s="3">
        <v>92831.32</v>
      </c>
      <c r="K74" s="3">
        <v>160355.26</v>
      </c>
      <c r="L74" s="3">
        <v>37826.589999999997</v>
      </c>
      <c r="M74" s="3">
        <v>117274.7240040691</v>
      </c>
      <c r="N74" s="3">
        <v>291013.17000000004</v>
      </c>
      <c r="O74" s="9">
        <v>0.71276463072671881</v>
      </c>
    </row>
    <row r="75" spans="1:15">
      <c r="A75" t="s">
        <v>325</v>
      </c>
      <c r="B75" t="s">
        <v>534</v>
      </c>
      <c r="C75" t="s">
        <v>336</v>
      </c>
      <c r="D75" t="s">
        <v>119</v>
      </c>
      <c r="E75" s="51" t="s">
        <v>336</v>
      </c>
      <c r="F75" s="51" t="s">
        <v>119</v>
      </c>
      <c r="G75" s="52" t="s">
        <v>717</v>
      </c>
      <c r="H75" s="3">
        <v>34012650</v>
      </c>
      <c r="I75" s="3">
        <v>61049.342344453085</v>
      </c>
      <c r="J75" s="3">
        <v>84524.800000000003</v>
      </c>
      <c r="K75" s="3">
        <v>146006.72</v>
      </c>
      <c r="L75" s="3">
        <v>45422.21</v>
      </c>
      <c r="M75" s="3">
        <v>199311.84379021038</v>
      </c>
      <c r="N75" s="3">
        <v>275953.73000000004</v>
      </c>
      <c r="O75" s="9">
        <v>0.5806305889132426</v>
      </c>
    </row>
    <row r="76" spans="1:15">
      <c r="A76" t="s">
        <v>35</v>
      </c>
      <c r="B76" t="s">
        <v>585</v>
      </c>
      <c r="C76" t="s">
        <v>85</v>
      </c>
      <c r="D76" t="s">
        <v>82</v>
      </c>
      <c r="E76" t="s">
        <v>85</v>
      </c>
      <c r="F76" t="s">
        <v>82</v>
      </c>
      <c r="H76" s="3">
        <v>3001400</v>
      </c>
      <c r="I76" s="3">
        <v>15079</v>
      </c>
      <c r="J76" s="3">
        <v>5127</v>
      </c>
      <c r="K76" s="3">
        <v>9543.9105</v>
      </c>
      <c r="L76" s="3">
        <v>1085.5243520000001</v>
      </c>
      <c r="M76" s="3">
        <v>30584.755148645207</v>
      </c>
      <c r="N76" s="3">
        <v>15756.434852</v>
      </c>
      <c r="O76" s="9">
        <v>0.34000928443530742</v>
      </c>
    </row>
    <row r="77" spans="1:15">
      <c r="A77" t="s">
        <v>16</v>
      </c>
      <c r="B77" t="s">
        <v>566</v>
      </c>
      <c r="C77" t="s">
        <v>65</v>
      </c>
      <c r="D77" t="s">
        <v>58</v>
      </c>
      <c r="E77" t="s">
        <v>699</v>
      </c>
      <c r="F77" t="s">
        <v>58</v>
      </c>
      <c r="H77" s="3">
        <v>1210300</v>
      </c>
      <c r="I77" s="3">
        <v>6081</v>
      </c>
      <c r="J77" s="3">
        <v>3466</v>
      </c>
      <c r="K77" s="3">
        <v>6451.9589999999998</v>
      </c>
      <c r="L77" s="3">
        <v>570.46748000000002</v>
      </c>
      <c r="M77" s="3">
        <v>7913.2242484708577</v>
      </c>
      <c r="N77" s="3">
        <v>10488.426479999998</v>
      </c>
      <c r="O77" s="9">
        <v>0.56997204407169877</v>
      </c>
    </row>
    <row r="78" spans="1:15">
      <c r="A78" t="s">
        <v>171</v>
      </c>
      <c r="B78" t="s">
        <v>493</v>
      </c>
      <c r="C78" t="s">
        <v>262</v>
      </c>
      <c r="D78" t="s">
        <v>206</v>
      </c>
      <c r="E78" t="s">
        <v>262</v>
      </c>
      <c r="F78" t="s">
        <v>206</v>
      </c>
      <c r="H78" s="3">
        <v>15075700</v>
      </c>
      <c r="I78" s="3">
        <v>54841.999999999985</v>
      </c>
      <c r="J78" s="3">
        <v>9678</v>
      </c>
      <c r="K78" s="3">
        <v>19665</v>
      </c>
      <c r="L78" s="3">
        <v>12537</v>
      </c>
      <c r="M78" s="3">
        <v>237319.99999999994</v>
      </c>
      <c r="N78" s="3">
        <v>41880</v>
      </c>
      <c r="O78" s="9">
        <v>0.15000000000000002</v>
      </c>
    </row>
    <row r="79" spans="1:15">
      <c r="A79" t="s">
        <v>155</v>
      </c>
      <c r="B79" t="s">
        <v>474</v>
      </c>
      <c r="C79" t="s">
        <v>240</v>
      </c>
      <c r="D79" t="s">
        <v>247</v>
      </c>
      <c r="E79" t="s">
        <v>240</v>
      </c>
      <c r="F79" t="s">
        <v>247</v>
      </c>
      <c r="H79" s="3">
        <v>8813900</v>
      </c>
      <c r="I79" s="3">
        <v>32061.999999999996</v>
      </c>
      <c r="J79" s="3">
        <v>5658</v>
      </c>
      <c r="K79" s="3">
        <v>9774</v>
      </c>
      <c r="L79" s="3">
        <v>10577</v>
      </c>
      <c r="M79" s="3">
        <v>147384.33333333331</v>
      </c>
      <c r="N79" s="3">
        <v>26009</v>
      </c>
      <c r="O79" s="9">
        <v>0.15000000000000002</v>
      </c>
    </row>
    <row r="80" spans="1:15">
      <c r="A80" t="s">
        <v>141</v>
      </c>
      <c r="B80" t="s">
        <v>456</v>
      </c>
      <c r="C80" t="s">
        <v>214</v>
      </c>
      <c r="D80" t="s">
        <v>206</v>
      </c>
      <c r="E80" t="s">
        <v>214</v>
      </c>
      <c r="F80" t="s">
        <v>206</v>
      </c>
      <c r="H80" s="3">
        <v>15800000</v>
      </c>
      <c r="I80" s="3">
        <v>60858.000000000015</v>
      </c>
      <c r="J80" s="3">
        <v>6762</v>
      </c>
      <c r="K80" s="3">
        <v>13740</v>
      </c>
      <c r="L80" s="3">
        <v>10023</v>
      </c>
      <c r="M80" s="3">
        <v>274725.00000000006</v>
      </c>
      <c r="N80" s="3">
        <v>30525</v>
      </c>
      <c r="O80" s="9">
        <v>9.9999999999999978E-2</v>
      </c>
    </row>
    <row r="81" spans="1:15">
      <c r="A81" s="3" t="s">
        <v>283</v>
      </c>
      <c r="B81" s="3" t="s">
        <v>546</v>
      </c>
      <c r="C81" s="3" t="s">
        <v>288</v>
      </c>
      <c r="D81" s="3" t="s">
        <v>206</v>
      </c>
      <c r="E81" s="3" t="s">
        <v>288</v>
      </c>
      <c r="F81" s="3" t="s">
        <v>206</v>
      </c>
      <c r="G81" s="3"/>
      <c r="H81" s="3">
        <v>40467775</v>
      </c>
      <c r="I81" s="3">
        <v>112580</v>
      </c>
      <c r="J81" s="3">
        <v>60620</v>
      </c>
      <c r="K81" s="3">
        <v>123168</v>
      </c>
      <c r="L81" s="3">
        <v>89855</v>
      </c>
      <c r="M81" s="3">
        <v>508194.14285714296</v>
      </c>
      <c r="N81" s="3">
        <v>273643</v>
      </c>
      <c r="O81" s="9">
        <v>0.35</v>
      </c>
    </row>
    <row r="82" spans="1:15">
      <c r="A82" s="3" t="s">
        <v>626</v>
      </c>
      <c r="B82" s="3" t="s">
        <v>642</v>
      </c>
      <c r="C82" s="3" t="s">
        <v>624</v>
      </c>
      <c r="D82" s="3" t="s">
        <v>668</v>
      </c>
      <c r="E82" s="52" t="s">
        <v>624</v>
      </c>
      <c r="F82" s="52" t="s">
        <v>668</v>
      </c>
      <c r="G82" s="52" t="s">
        <v>717</v>
      </c>
      <c r="H82" s="3">
        <v>994292</v>
      </c>
      <c r="I82" s="3">
        <v>0</v>
      </c>
      <c r="J82" s="3">
        <v>9140.8590999999997</v>
      </c>
      <c r="K82" s="3">
        <v>17539.313399999999</v>
      </c>
      <c r="L82" s="3">
        <v>0</v>
      </c>
      <c r="M82" s="3">
        <v>11434.358000000002</v>
      </c>
      <c r="N82" s="3">
        <v>26680.172500000001</v>
      </c>
      <c r="O82" s="9">
        <v>0.70000003017222001</v>
      </c>
    </row>
    <row r="83" spans="1:15">
      <c r="A83" s="3" t="s">
        <v>603</v>
      </c>
      <c r="B83" s="3" t="s">
        <v>651</v>
      </c>
      <c r="C83" s="3" t="s">
        <v>601</v>
      </c>
      <c r="D83" s="3" t="s">
        <v>652</v>
      </c>
      <c r="E83" s="52" t="s">
        <v>601</v>
      </c>
      <c r="F83" s="52" t="s">
        <v>652</v>
      </c>
      <c r="G83" s="52" t="s">
        <v>717</v>
      </c>
      <c r="H83" s="3">
        <v>6370585</v>
      </c>
      <c r="I83" s="3">
        <v>44084.448199999999</v>
      </c>
      <c r="J83" s="3">
        <v>9796.5471199999993</v>
      </c>
      <c r="K83" s="3">
        <v>10702.586160000001</v>
      </c>
      <c r="L83" s="3">
        <v>0</v>
      </c>
      <c r="M83" s="3">
        <v>92246.070800000001</v>
      </c>
      <c r="N83" s="3">
        <v>20499.133280000002</v>
      </c>
      <c r="O83" s="9">
        <v>0.18181822852043042</v>
      </c>
    </row>
    <row r="84" spans="1:15">
      <c r="A84" s="3" t="s">
        <v>620</v>
      </c>
      <c r="B84" s="3" t="s">
        <v>658</v>
      </c>
      <c r="C84" s="3" t="s">
        <v>601</v>
      </c>
      <c r="D84" s="3" t="s">
        <v>657</v>
      </c>
      <c r="E84" s="52" t="s">
        <v>601</v>
      </c>
      <c r="F84" s="52" t="s">
        <v>657</v>
      </c>
      <c r="G84" s="52" t="s">
        <v>717</v>
      </c>
      <c r="H84" s="3">
        <v>5553886</v>
      </c>
      <c r="I84" s="3">
        <v>27325.119119999999</v>
      </c>
      <c r="J84" s="3">
        <v>3036.1320000000001</v>
      </c>
      <c r="K84" s="3">
        <v>4665.2759999999998</v>
      </c>
      <c r="L84" s="3">
        <v>0</v>
      </c>
      <c r="M84" s="3">
        <v>69312.497279999996</v>
      </c>
      <c r="N84" s="3">
        <v>7701.4079999999994</v>
      </c>
      <c r="O84" s="9">
        <v>0.10000022686812124</v>
      </c>
    </row>
    <row r="85" spans="1:15">
      <c r="A85" t="s">
        <v>243</v>
      </c>
      <c r="B85" t="s">
        <v>477</v>
      </c>
      <c r="C85" t="s">
        <v>246</v>
      </c>
      <c r="D85" t="s">
        <v>247</v>
      </c>
      <c r="E85" t="s">
        <v>246</v>
      </c>
      <c r="F85" t="s">
        <v>247</v>
      </c>
      <c r="H85" s="3">
        <v>11100237</v>
      </c>
      <c r="I85" s="3">
        <v>26131.111111111117</v>
      </c>
      <c r="J85" s="3">
        <v>21380</v>
      </c>
      <c r="K85" s="3">
        <v>36930</v>
      </c>
      <c r="L85" s="3">
        <v>39961</v>
      </c>
      <c r="M85" s="3">
        <v>120109.00000000003</v>
      </c>
      <c r="N85" s="3">
        <v>98271</v>
      </c>
      <c r="O85" s="9">
        <v>0.44999999999999996</v>
      </c>
    </row>
    <row r="86" spans="1:15">
      <c r="A86" t="s">
        <v>187</v>
      </c>
      <c r="B86" t="s">
        <v>508</v>
      </c>
      <c r="C86" t="s">
        <v>278</v>
      </c>
      <c r="D86" t="s">
        <v>119</v>
      </c>
      <c r="E86" s="51" t="s">
        <v>278</v>
      </c>
      <c r="F86" s="51" t="s">
        <v>119</v>
      </c>
      <c r="G86" s="51" t="s">
        <v>716</v>
      </c>
      <c r="H86" s="3">
        <v>41038000</v>
      </c>
      <c r="I86" s="3">
        <v>166857.99999999985</v>
      </c>
      <c r="J86" s="3">
        <v>8782</v>
      </c>
      <c r="K86" s="3">
        <v>15170</v>
      </c>
      <c r="L86" s="3">
        <v>7181</v>
      </c>
      <c r="M86" s="3">
        <v>591526.99999999942</v>
      </c>
      <c r="N86" s="3">
        <v>31133</v>
      </c>
      <c r="O86" s="9">
        <v>5.0000000000000044E-2</v>
      </c>
    </row>
    <row r="87" spans="1:15">
      <c r="A87" t="s">
        <v>295</v>
      </c>
      <c r="B87" t="s">
        <v>508</v>
      </c>
      <c r="C87" t="s">
        <v>278</v>
      </c>
      <c r="D87" t="s">
        <v>119</v>
      </c>
      <c r="E87" s="51" t="s">
        <v>278</v>
      </c>
      <c r="F87" s="51" t="s">
        <v>119</v>
      </c>
      <c r="G87" s="51" t="s">
        <v>716</v>
      </c>
      <c r="H87" s="3">
        <v>9970374</v>
      </c>
      <c r="I87" s="3">
        <v>13189.927535786224</v>
      </c>
      <c r="J87" s="3">
        <v>29483.27</v>
      </c>
      <c r="K87" s="3">
        <v>50928.91</v>
      </c>
      <c r="L87" s="3">
        <v>15843.81</v>
      </c>
      <c r="M87" s="3">
        <v>43062.032569160867</v>
      </c>
      <c r="N87" s="3">
        <v>96255.99</v>
      </c>
      <c r="O87" s="9">
        <v>0.69090838518193998</v>
      </c>
    </row>
    <row r="88" spans="1:15">
      <c r="A88" t="s">
        <v>136</v>
      </c>
      <c r="B88" t="s">
        <v>451</v>
      </c>
      <c r="C88" t="s">
        <v>459</v>
      </c>
      <c r="D88" t="s">
        <v>206</v>
      </c>
      <c r="E88" t="s">
        <v>459</v>
      </c>
      <c r="F88" t="s">
        <v>206</v>
      </c>
      <c r="H88" s="3">
        <v>4150000</v>
      </c>
      <c r="I88" s="3">
        <v>15993.000000000004</v>
      </c>
      <c r="J88" s="3">
        <v>1777</v>
      </c>
      <c r="K88" s="3">
        <v>3609</v>
      </c>
      <c r="L88" s="3">
        <v>2633</v>
      </c>
      <c r="M88" s="3">
        <v>72171.000000000015</v>
      </c>
      <c r="N88" s="3">
        <v>8019</v>
      </c>
      <c r="O88" s="9">
        <v>9.9999999999999978E-2</v>
      </c>
    </row>
    <row r="89" spans="1:15">
      <c r="A89" t="s">
        <v>139</v>
      </c>
      <c r="B89" t="s">
        <v>454</v>
      </c>
      <c r="C89" t="s">
        <v>209</v>
      </c>
      <c r="D89" t="s">
        <v>206</v>
      </c>
      <c r="E89" t="s">
        <v>209</v>
      </c>
      <c r="F89" t="s">
        <v>206</v>
      </c>
      <c r="H89" s="3">
        <v>19310000</v>
      </c>
      <c r="I89" s="3">
        <v>74385.000000000015</v>
      </c>
      <c r="J89" s="3">
        <v>8265</v>
      </c>
      <c r="K89" s="3">
        <v>16792</v>
      </c>
      <c r="L89" s="3">
        <v>12250</v>
      </c>
      <c r="M89" s="3">
        <v>335763.00000000006</v>
      </c>
      <c r="N89" s="3">
        <v>37307</v>
      </c>
      <c r="O89" s="9">
        <v>9.9999999999999978E-2</v>
      </c>
    </row>
    <row r="90" spans="1:15">
      <c r="A90" t="s">
        <v>184</v>
      </c>
      <c r="B90" t="s">
        <v>503</v>
      </c>
      <c r="C90" t="s">
        <v>273</v>
      </c>
      <c r="D90" t="s">
        <v>206</v>
      </c>
      <c r="E90" s="51" t="s">
        <v>273</v>
      </c>
      <c r="F90" s="51" t="s">
        <v>206</v>
      </c>
      <c r="G90" s="51" t="s">
        <v>716</v>
      </c>
      <c r="H90" s="3">
        <v>42500000</v>
      </c>
      <c r="I90" s="3">
        <v>154620.66666666663</v>
      </c>
      <c r="J90" s="3">
        <v>27286</v>
      </c>
      <c r="K90" s="3">
        <v>55437</v>
      </c>
      <c r="L90" s="3">
        <v>40443</v>
      </c>
      <c r="M90" s="3">
        <v>697940.66666666651</v>
      </c>
      <c r="N90" s="3">
        <v>123166</v>
      </c>
      <c r="O90" s="9">
        <v>0.15000000000000002</v>
      </c>
    </row>
    <row r="91" spans="1:15">
      <c r="A91" t="s">
        <v>302</v>
      </c>
      <c r="B91" t="s">
        <v>519</v>
      </c>
      <c r="C91" t="s">
        <v>273</v>
      </c>
      <c r="D91" t="s">
        <v>206</v>
      </c>
      <c r="E91" s="51" t="s">
        <v>273</v>
      </c>
      <c r="F91" s="51" t="s">
        <v>206</v>
      </c>
      <c r="G91" s="51" t="s">
        <v>716</v>
      </c>
      <c r="H91" s="3">
        <v>7088909</v>
      </c>
      <c r="I91" s="3">
        <v>17333.670333387516</v>
      </c>
      <c r="J91" s="3">
        <v>13006.859999999999</v>
      </c>
      <c r="K91" s="3">
        <v>26427.02</v>
      </c>
      <c r="L91" s="3">
        <v>13201.359999999999</v>
      </c>
      <c r="M91" s="3">
        <v>70144.669664986941</v>
      </c>
      <c r="N91" s="3">
        <v>52635.24</v>
      </c>
      <c r="O91" s="9">
        <v>0.42869586843335133</v>
      </c>
    </row>
    <row r="92" spans="1:15">
      <c r="A92" t="s">
        <v>7</v>
      </c>
      <c r="B92" t="s">
        <v>556</v>
      </c>
      <c r="C92" t="s">
        <v>49</v>
      </c>
      <c r="D92" t="s">
        <v>53</v>
      </c>
      <c r="E92" t="s">
        <v>701</v>
      </c>
      <c r="F92" t="s">
        <v>53</v>
      </c>
      <c r="H92" s="3">
        <v>6980000</v>
      </c>
      <c r="I92" s="3">
        <v>58101</v>
      </c>
      <c r="J92" s="3">
        <v>14520</v>
      </c>
      <c r="K92" s="3">
        <v>16308.025477707008</v>
      </c>
      <c r="L92" s="3">
        <v>0</v>
      </c>
      <c r="M92" s="3">
        <v>92528.66242038217</v>
      </c>
      <c r="N92" s="3">
        <v>30828.025477707008</v>
      </c>
      <c r="O92" s="9">
        <v>0.24990964010946456</v>
      </c>
    </row>
    <row r="93" spans="1:15">
      <c r="A93" t="s">
        <v>14</v>
      </c>
      <c r="B93" t="s">
        <v>564</v>
      </c>
      <c r="C93" t="s">
        <v>63</v>
      </c>
      <c r="D93" t="s">
        <v>58</v>
      </c>
      <c r="E93" t="s">
        <v>700</v>
      </c>
      <c r="F93" t="s">
        <v>58</v>
      </c>
      <c r="H93" s="3">
        <v>39256500</v>
      </c>
      <c r="I93" s="3">
        <v>197225</v>
      </c>
      <c r="J93" s="3">
        <v>112418</v>
      </c>
      <c r="K93" s="3">
        <v>209266.10699999999</v>
      </c>
      <c r="L93" s="3">
        <v>18500.816664000002</v>
      </c>
      <c r="M93" s="3">
        <v>256632.0591112886</v>
      </c>
      <c r="N93" s="3">
        <v>340184.92366399994</v>
      </c>
      <c r="O93" s="9">
        <v>0.56999873241221954</v>
      </c>
    </row>
    <row r="94" spans="1:15">
      <c r="A94" s="3" t="s">
        <v>606</v>
      </c>
      <c r="B94" s="3" t="s">
        <v>653</v>
      </c>
      <c r="C94" s="3" t="s">
        <v>604</v>
      </c>
      <c r="D94" s="3" t="s">
        <v>644</v>
      </c>
      <c r="E94" s="52" t="s">
        <v>604</v>
      </c>
      <c r="F94" s="52" t="s">
        <v>644</v>
      </c>
      <c r="G94" s="52" t="s">
        <v>716</v>
      </c>
      <c r="H94" s="3">
        <v>19712145</v>
      </c>
      <c r="I94" s="3">
        <v>105262.85430000001</v>
      </c>
      <c r="J94" s="3">
        <v>6157.3137000000006</v>
      </c>
      <c r="K94" s="3">
        <v>8717.095800000001</v>
      </c>
      <c r="L94" s="3">
        <v>0</v>
      </c>
      <c r="M94" s="3">
        <v>254286.67050000001</v>
      </c>
      <c r="N94" s="3">
        <v>14874.4095</v>
      </c>
      <c r="O94" s="9">
        <v>5.5262111074899832E-2</v>
      </c>
    </row>
    <row r="95" spans="1:15">
      <c r="A95" s="3" t="s">
        <v>628</v>
      </c>
      <c r="B95" s="3" t="s">
        <v>653</v>
      </c>
      <c r="C95" s="3" t="s">
        <v>604</v>
      </c>
      <c r="D95" s="3" t="s">
        <v>668</v>
      </c>
      <c r="E95" s="52" t="s">
        <v>604</v>
      </c>
      <c r="F95" s="52" t="s">
        <v>668</v>
      </c>
      <c r="G95" s="52" t="s">
        <v>716</v>
      </c>
      <c r="H95" s="3">
        <v>8138775</v>
      </c>
      <c r="I95" s="3">
        <v>32066.773499999999</v>
      </c>
      <c r="J95" s="3">
        <v>954.81565999999998</v>
      </c>
      <c r="K95" s="3">
        <v>1832.08284</v>
      </c>
      <c r="L95" s="3">
        <v>0</v>
      </c>
      <c r="M95" s="3">
        <v>93595.912500000006</v>
      </c>
      <c r="N95" s="3">
        <v>2786.8985000000002</v>
      </c>
      <c r="O95" s="9">
        <v>2.8914891266244559E-2</v>
      </c>
    </row>
    <row r="96" spans="1:15">
      <c r="A96" t="s">
        <v>19</v>
      </c>
      <c r="B96" t="s">
        <v>569</v>
      </c>
      <c r="C96" t="s">
        <v>68</v>
      </c>
      <c r="D96" t="s">
        <v>58</v>
      </c>
      <c r="E96" t="s">
        <v>702</v>
      </c>
      <c r="F96" t="s">
        <v>58</v>
      </c>
      <c r="H96" s="3">
        <v>2919400</v>
      </c>
      <c r="I96" s="3">
        <v>14667</v>
      </c>
      <c r="J96" s="3">
        <v>8360</v>
      </c>
      <c r="K96" s="3">
        <v>15562.14</v>
      </c>
      <c r="L96" s="3">
        <v>1375.8846640000002</v>
      </c>
      <c r="M96" s="3">
        <v>19085.483439694744</v>
      </c>
      <c r="N96" s="3">
        <v>25298.024664</v>
      </c>
      <c r="O96" s="9">
        <v>0.5699870457489602</v>
      </c>
    </row>
    <row r="97" spans="1:15">
      <c r="A97" t="s">
        <v>173</v>
      </c>
      <c r="B97" t="s">
        <v>495</v>
      </c>
      <c r="C97" t="s">
        <v>263</v>
      </c>
      <c r="D97" t="s">
        <v>248</v>
      </c>
      <c r="E97" t="s">
        <v>263</v>
      </c>
      <c r="F97" t="s">
        <v>248</v>
      </c>
      <c r="H97" s="3">
        <v>14569500</v>
      </c>
      <c r="I97" s="3">
        <v>53005.999999999993</v>
      </c>
      <c r="J97" s="3">
        <v>9354</v>
      </c>
      <c r="K97" s="3">
        <v>16157</v>
      </c>
      <c r="L97" s="3">
        <v>4136</v>
      </c>
      <c r="M97" s="3">
        <v>167999.66666666663</v>
      </c>
      <c r="N97" s="3">
        <v>29647</v>
      </c>
      <c r="O97" s="9">
        <v>0.15000000000000002</v>
      </c>
    </row>
    <row r="98" spans="1:15">
      <c r="A98" t="s">
        <v>167</v>
      </c>
      <c r="B98" t="s">
        <v>488</v>
      </c>
      <c r="C98" t="s">
        <v>540</v>
      </c>
      <c r="D98" t="s">
        <v>206</v>
      </c>
      <c r="E98" t="s">
        <v>703</v>
      </c>
      <c r="F98" t="s">
        <v>206</v>
      </c>
      <c r="G98" t="s">
        <v>720</v>
      </c>
      <c r="H98" s="3">
        <v>40339000</v>
      </c>
      <c r="I98" s="3">
        <v>129486</v>
      </c>
      <c r="J98" s="3">
        <v>43162</v>
      </c>
      <c r="K98" s="3">
        <v>87697</v>
      </c>
      <c r="L98" s="3">
        <v>43808</v>
      </c>
      <c r="M98" s="3">
        <v>524001</v>
      </c>
      <c r="N98" s="3">
        <v>174667</v>
      </c>
      <c r="O98" s="9">
        <v>0.25</v>
      </c>
    </row>
    <row r="99" spans="1:15">
      <c r="A99" t="s">
        <v>166</v>
      </c>
      <c r="B99" t="s">
        <v>487</v>
      </c>
      <c r="C99" t="s">
        <v>539</v>
      </c>
      <c r="D99" t="s">
        <v>206</v>
      </c>
      <c r="E99" t="s">
        <v>257</v>
      </c>
      <c r="F99" t="s">
        <v>206</v>
      </c>
      <c r="G99" t="s">
        <v>717</v>
      </c>
      <c r="H99" s="3">
        <v>63265600</v>
      </c>
      <c r="I99" s="3">
        <v>203085</v>
      </c>
      <c r="J99" s="3">
        <v>67695</v>
      </c>
      <c r="K99" s="3">
        <v>137539</v>
      </c>
      <c r="L99" s="3">
        <v>68706</v>
      </c>
      <c r="M99" s="3">
        <v>821820</v>
      </c>
      <c r="N99" s="3">
        <v>273940</v>
      </c>
      <c r="O99" s="9">
        <v>0.25</v>
      </c>
    </row>
    <row r="100" spans="1:15">
      <c r="A100" t="s">
        <v>131</v>
      </c>
      <c r="B100" t="s">
        <v>446</v>
      </c>
      <c r="C100" t="s">
        <v>203</v>
      </c>
      <c r="D100" t="s">
        <v>118</v>
      </c>
      <c r="E100" t="s">
        <v>704</v>
      </c>
      <c r="F100" t="s">
        <v>118</v>
      </c>
      <c r="H100" s="3">
        <v>5118575</v>
      </c>
      <c r="I100" s="3">
        <v>19719.000000000004</v>
      </c>
      <c r="J100" s="3">
        <v>2191</v>
      </c>
      <c r="K100" s="3">
        <v>3784</v>
      </c>
      <c r="L100" s="3">
        <v>0</v>
      </c>
      <c r="M100" s="3">
        <v>53775.000000000015</v>
      </c>
      <c r="N100" s="3">
        <v>5975</v>
      </c>
      <c r="O100" s="9">
        <v>9.9999999999999978E-2</v>
      </c>
    </row>
    <row r="101" spans="1:15">
      <c r="A101" t="s">
        <v>6</v>
      </c>
      <c r="B101" t="s">
        <v>555</v>
      </c>
      <c r="C101" t="s">
        <v>47</v>
      </c>
      <c r="D101" t="s">
        <v>53</v>
      </c>
      <c r="E101" s="51" t="s">
        <v>705</v>
      </c>
      <c r="F101" s="51" t="s">
        <v>53</v>
      </c>
      <c r="G101" s="51" t="s">
        <v>716</v>
      </c>
      <c r="H101" s="3">
        <v>7112000</v>
      </c>
      <c r="I101" s="3">
        <v>59200</v>
      </c>
      <c r="J101" s="3">
        <v>14800</v>
      </c>
      <c r="K101" s="3">
        <v>16622.50530785563</v>
      </c>
      <c r="L101" s="3">
        <v>0</v>
      </c>
      <c r="M101" s="3">
        <v>94267.515923566883</v>
      </c>
      <c r="N101" s="3">
        <v>31422.50530785563</v>
      </c>
      <c r="O101" s="9">
        <v>0.25</v>
      </c>
    </row>
    <row r="102" spans="1:15">
      <c r="A102" t="s">
        <v>314</v>
      </c>
      <c r="B102" t="s">
        <v>444</v>
      </c>
      <c r="C102" t="s">
        <v>342</v>
      </c>
      <c r="D102" t="s">
        <v>199</v>
      </c>
      <c r="E102" s="51" t="s">
        <v>342</v>
      </c>
      <c r="F102" s="51" t="s">
        <v>199</v>
      </c>
      <c r="G102" s="51" t="s">
        <v>716</v>
      </c>
      <c r="H102" s="3">
        <v>908154</v>
      </c>
      <c r="I102" s="3">
        <v>2865.2490117090133</v>
      </c>
      <c r="J102" s="3">
        <v>1021.66</v>
      </c>
      <c r="K102" s="3">
        <v>1764.8</v>
      </c>
      <c r="L102" s="3">
        <v>416.3</v>
      </c>
      <c r="M102" s="3">
        <v>8982.1515227582186</v>
      </c>
      <c r="N102" s="3">
        <v>3202.76</v>
      </c>
      <c r="O102" s="9">
        <v>0.26284638948900735</v>
      </c>
    </row>
    <row r="103" spans="1:15">
      <c r="A103" t="s">
        <v>299</v>
      </c>
      <c r="B103" t="s">
        <v>517</v>
      </c>
      <c r="C103" t="s">
        <v>518</v>
      </c>
      <c r="D103" t="s">
        <v>206</v>
      </c>
      <c r="E103" t="s">
        <v>518</v>
      </c>
      <c r="F103" t="s">
        <v>206</v>
      </c>
      <c r="H103" s="3">
        <v>3157774</v>
      </c>
      <c r="I103" s="3">
        <v>11398.482305104279</v>
      </c>
      <c r="J103" s="3">
        <v>2116.83</v>
      </c>
      <c r="K103" s="3">
        <v>4300.92</v>
      </c>
      <c r="L103" s="3">
        <v>2148.48</v>
      </c>
      <c r="M103" s="3">
        <v>46126.529327557444</v>
      </c>
      <c r="N103" s="3">
        <v>8566.23</v>
      </c>
      <c r="O103" s="9">
        <v>0.156624571612788</v>
      </c>
    </row>
    <row r="104" spans="1:15">
      <c r="A104" t="s">
        <v>133</v>
      </c>
      <c r="B104" t="s">
        <v>448</v>
      </c>
      <c r="C104" t="s">
        <v>205</v>
      </c>
      <c r="D104" t="s">
        <v>206</v>
      </c>
      <c r="E104" s="51" t="s">
        <v>205</v>
      </c>
      <c r="F104" s="51" t="s">
        <v>206</v>
      </c>
      <c r="G104" s="51" t="s">
        <v>719</v>
      </c>
      <c r="H104" s="3">
        <v>33060000</v>
      </c>
      <c r="I104" s="3">
        <v>127350.00000000003</v>
      </c>
      <c r="J104" s="3">
        <v>14150</v>
      </c>
      <c r="K104" s="3">
        <v>28749</v>
      </c>
      <c r="L104" s="3">
        <v>20973</v>
      </c>
      <c r="M104" s="3">
        <v>574848.00000000012</v>
      </c>
      <c r="N104" s="3">
        <v>63872</v>
      </c>
      <c r="O104" s="9">
        <v>9.9999999999999978E-2</v>
      </c>
    </row>
    <row r="105" spans="1:15">
      <c r="A105" t="s">
        <v>134</v>
      </c>
      <c r="B105" t="s">
        <v>449</v>
      </c>
      <c r="C105" t="s">
        <v>207</v>
      </c>
      <c r="D105" t="s">
        <v>206</v>
      </c>
      <c r="E105" s="51" t="s">
        <v>207</v>
      </c>
      <c r="F105" s="51" t="s">
        <v>206</v>
      </c>
      <c r="G105" s="51" t="s">
        <v>719</v>
      </c>
      <c r="H105" s="3">
        <v>30030000</v>
      </c>
      <c r="I105" s="3">
        <v>115677.00000000003</v>
      </c>
      <c r="J105" s="3">
        <v>12853</v>
      </c>
      <c r="K105" s="3">
        <v>26114</v>
      </c>
      <c r="L105" s="3">
        <v>19052</v>
      </c>
      <c r="M105" s="3">
        <v>522171.00000000012</v>
      </c>
      <c r="N105" s="3">
        <v>58019</v>
      </c>
      <c r="O105" s="9">
        <v>9.9999999999999978E-2</v>
      </c>
    </row>
    <row r="106" spans="1:15">
      <c r="A106" t="s">
        <v>154</v>
      </c>
      <c r="B106" t="s">
        <v>473</v>
      </c>
      <c r="C106" t="s">
        <v>239</v>
      </c>
      <c r="D106" t="s">
        <v>247</v>
      </c>
      <c r="E106" t="s">
        <v>239</v>
      </c>
      <c r="F106" t="s">
        <v>247</v>
      </c>
      <c r="H106" s="3">
        <v>8796900</v>
      </c>
      <c r="I106" s="3">
        <v>32005.333333333328</v>
      </c>
      <c r="J106" s="3">
        <v>5648</v>
      </c>
      <c r="K106" s="3">
        <v>9756</v>
      </c>
      <c r="L106" s="3">
        <v>10556</v>
      </c>
      <c r="M106" s="3">
        <v>147106.66666666663</v>
      </c>
      <c r="N106" s="3">
        <v>25960</v>
      </c>
      <c r="O106" s="9">
        <v>0.15000000000000002</v>
      </c>
    </row>
    <row r="107" spans="1:15">
      <c r="A107" t="s">
        <v>10</v>
      </c>
      <c r="B107" t="s">
        <v>560</v>
      </c>
      <c r="C107" t="s">
        <v>55</v>
      </c>
      <c r="D107" t="s">
        <v>54</v>
      </c>
      <c r="E107" t="s">
        <v>55</v>
      </c>
      <c r="F107" t="s">
        <v>54</v>
      </c>
      <c r="H107" s="3">
        <v>6896329</v>
      </c>
      <c r="I107" s="3">
        <v>57405</v>
      </c>
      <c r="J107" s="3">
        <v>18657</v>
      </c>
      <c r="K107" s="3">
        <v>20954.464968152868</v>
      </c>
      <c r="L107" s="3">
        <v>0</v>
      </c>
      <c r="M107" s="3">
        <v>82267.515923566883</v>
      </c>
      <c r="N107" s="3">
        <v>39611.464968152868</v>
      </c>
      <c r="O107" s="9">
        <v>0.3250065325320094</v>
      </c>
    </row>
    <row r="108" spans="1:15">
      <c r="A108" t="s">
        <v>321</v>
      </c>
      <c r="B108" t="s">
        <v>530</v>
      </c>
      <c r="C108" t="s">
        <v>345</v>
      </c>
      <c r="D108" t="s">
        <v>206</v>
      </c>
      <c r="E108" t="s">
        <v>345</v>
      </c>
      <c r="F108" t="s">
        <v>206</v>
      </c>
      <c r="H108" s="3">
        <v>6387931</v>
      </c>
      <c r="I108" s="3">
        <v>13670.175719998269</v>
      </c>
      <c r="J108" s="3">
        <v>13670.18</v>
      </c>
      <c r="K108" s="3">
        <v>27774.73</v>
      </c>
      <c r="L108" s="3">
        <v>13874.59</v>
      </c>
      <c r="M108" s="3">
        <v>55319.482679997207</v>
      </c>
      <c r="N108" s="3">
        <v>55319.5</v>
      </c>
      <c r="O108" s="9">
        <v>0.50000007827260506</v>
      </c>
    </row>
    <row r="109" spans="1:15">
      <c r="A109" s="3" t="s">
        <v>609</v>
      </c>
      <c r="B109" s="3" t="s">
        <v>654</v>
      </c>
      <c r="C109" s="3" t="s">
        <v>607</v>
      </c>
      <c r="D109" s="3" t="s">
        <v>644</v>
      </c>
      <c r="E109" s="3" t="s">
        <v>607</v>
      </c>
      <c r="F109" s="3" t="s">
        <v>644</v>
      </c>
      <c r="G109" s="3"/>
      <c r="H109" s="3">
        <v>2476640</v>
      </c>
      <c r="I109" s="3">
        <v>13225.257600000001</v>
      </c>
      <c r="J109" s="3">
        <v>3306.3144000000002</v>
      </c>
      <c r="K109" s="3">
        <v>4680.8496000000005</v>
      </c>
      <c r="L109" s="3">
        <v>0</v>
      </c>
      <c r="M109" s="3">
        <v>31948.656000000003</v>
      </c>
      <c r="N109" s="3">
        <v>7987.1640000000007</v>
      </c>
      <c r="O109" s="9">
        <v>0.19999999999999998</v>
      </c>
    </row>
    <row r="110" spans="1:15">
      <c r="A110" t="s">
        <v>124</v>
      </c>
      <c r="B110" t="s">
        <v>439</v>
      </c>
      <c r="C110" t="s">
        <v>196</v>
      </c>
      <c r="D110" t="s">
        <v>115</v>
      </c>
      <c r="E110" t="s">
        <v>196</v>
      </c>
      <c r="F110" t="s">
        <v>115</v>
      </c>
      <c r="H110" s="3">
        <v>22359300</v>
      </c>
      <c r="I110" s="3">
        <v>52633.777777777781</v>
      </c>
      <c r="J110" s="3">
        <v>43064</v>
      </c>
      <c r="K110" s="3">
        <v>74388</v>
      </c>
      <c r="L110" s="3">
        <v>63155</v>
      </c>
      <c r="M110" s="3">
        <v>220741.88888888893</v>
      </c>
      <c r="N110" s="3">
        <v>180607</v>
      </c>
      <c r="O110" s="9">
        <v>0.44999999999999996</v>
      </c>
    </row>
    <row r="111" spans="1:15">
      <c r="A111" t="s">
        <v>177</v>
      </c>
      <c r="B111" t="s">
        <v>497</v>
      </c>
      <c r="C111" t="s">
        <v>267</v>
      </c>
      <c r="D111" t="s">
        <v>206</v>
      </c>
      <c r="E111" t="s">
        <v>267</v>
      </c>
      <c r="F111" t="s">
        <v>206</v>
      </c>
      <c r="H111" s="3">
        <v>32081300</v>
      </c>
      <c r="I111" s="3">
        <v>82384.499999999985</v>
      </c>
      <c r="J111" s="3">
        <v>54923</v>
      </c>
      <c r="K111" s="3">
        <v>111591</v>
      </c>
      <c r="L111" s="3">
        <v>81410</v>
      </c>
      <c r="M111" s="3">
        <v>371886</v>
      </c>
      <c r="N111" s="3">
        <v>247924</v>
      </c>
      <c r="O111" s="9">
        <v>0.4</v>
      </c>
    </row>
    <row r="112" spans="1:15">
      <c r="A112" t="s">
        <v>132</v>
      </c>
      <c r="B112" t="s">
        <v>447</v>
      </c>
      <c r="C112" t="s">
        <v>204</v>
      </c>
      <c r="D112" t="s">
        <v>118</v>
      </c>
      <c r="E112" t="s">
        <v>204</v>
      </c>
      <c r="F112" t="s">
        <v>118</v>
      </c>
      <c r="H112" s="3">
        <v>3800000</v>
      </c>
      <c r="I112" s="3">
        <v>13826.666666666664</v>
      </c>
      <c r="J112" s="3">
        <v>2440</v>
      </c>
      <c r="K112" s="3">
        <v>4214</v>
      </c>
      <c r="L112" s="3">
        <v>2877</v>
      </c>
      <c r="M112" s="3">
        <v>54008.999999999993</v>
      </c>
      <c r="N112" s="3">
        <v>9531</v>
      </c>
      <c r="O112" s="9">
        <v>0.15000000000000002</v>
      </c>
    </row>
    <row r="113" spans="1:15">
      <c r="A113" s="3" t="s">
        <v>631</v>
      </c>
      <c r="B113" s="3" t="s">
        <v>659</v>
      </c>
      <c r="C113" s="3" t="s">
        <v>629</v>
      </c>
      <c r="D113" s="3" t="s">
        <v>668</v>
      </c>
      <c r="E113" s="3" t="s">
        <v>629</v>
      </c>
      <c r="F113" s="3" t="s">
        <v>668</v>
      </c>
      <c r="G113" s="3"/>
      <c r="H113" s="3">
        <v>0</v>
      </c>
      <c r="I113" s="3">
        <v>0</v>
      </c>
      <c r="J113" s="3">
        <v>33634.203999999998</v>
      </c>
      <c r="K113" s="3">
        <v>64536.696000000004</v>
      </c>
      <c r="L113" s="3">
        <v>0</v>
      </c>
      <c r="M113" s="3">
        <v>0</v>
      </c>
      <c r="N113" s="3">
        <v>98170.900000000009</v>
      </c>
      <c r="O113" s="9">
        <v>1</v>
      </c>
    </row>
    <row r="114" spans="1:15">
      <c r="A114" t="s">
        <v>158</v>
      </c>
      <c r="B114" t="s">
        <v>480</v>
      </c>
      <c r="C114" t="s">
        <v>250</v>
      </c>
      <c r="D114" t="s">
        <v>248</v>
      </c>
      <c r="E114" s="51" t="s">
        <v>250</v>
      </c>
      <c r="F114" s="51" t="s">
        <v>248</v>
      </c>
      <c r="G114" s="51" t="s">
        <v>716</v>
      </c>
      <c r="H114" s="3">
        <v>73484000</v>
      </c>
      <c r="I114" s="3">
        <v>267330.66666666663</v>
      </c>
      <c r="J114" s="3">
        <v>47176</v>
      </c>
      <c r="K114" s="3">
        <v>81492</v>
      </c>
      <c r="L114" s="3">
        <v>38495</v>
      </c>
      <c r="M114" s="3">
        <v>947256.99999999977</v>
      </c>
      <c r="N114" s="3">
        <v>167163</v>
      </c>
      <c r="O114" s="9">
        <v>0.15000000000000002</v>
      </c>
    </row>
    <row r="115" spans="1:15">
      <c r="A115" t="s">
        <v>301</v>
      </c>
      <c r="B115" t="s">
        <v>480</v>
      </c>
      <c r="C115" t="s">
        <v>250</v>
      </c>
      <c r="D115" t="s">
        <v>248</v>
      </c>
      <c r="E115" s="51" t="s">
        <v>250</v>
      </c>
      <c r="F115" s="51" t="s">
        <v>248</v>
      </c>
      <c r="G115" s="51" t="s">
        <v>716</v>
      </c>
      <c r="H115" s="3">
        <v>2555120</v>
      </c>
      <c r="I115" s="3">
        <v>9082.3714476904734</v>
      </c>
      <c r="J115" s="3">
        <v>1853.57</v>
      </c>
      <c r="K115" s="3">
        <v>3201.82</v>
      </c>
      <c r="L115" s="3">
        <v>819.55</v>
      </c>
      <c r="M115" s="3">
        <v>28786.820736683632</v>
      </c>
      <c r="N115" s="3">
        <v>5874.9400000000005</v>
      </c>
      <c r="O115" s="9">
        <v>0.16949340931150006</v>
      </c>
    </row>
    <row r="116" spans="1:15" s="3" customFormat="1">
      <c r="A116" t="s">
        <v>137</v>
      </c>
      <c r="B116" t="s">
        <v>452</v>
      </c>
      <c r="C116" t="s">
        <v>210</v>
      </c>
      <c r="D116" t="s">
        <v>206</v>
      </c>
      <c r="E116" t="s">
        <v>210</v>
      </c>
      <c r="F116" t="s">
        <v>206</v>
      </c>
      <c r="G116"/>
      <c r="H116" s="3">
        <v>12300200</v>
      </c>
      <c r="I116" s="3">
        <v>47376.000000000015</v>
      </c>
      <c r="J116" s="3">
        <v>5264</v>
      </c>
      <c r="K116" s="3">
        <v>10696</v>
      </c>
      <c r="L116" s="3">
        <v>7803</v>
      </c>
      <c r="M116" s="3">
        <v>213867.00000000006</v>
      </c>
      <c r="N116" s="3">
        <v>23763</v>
      </c>
      <c r="O116" s="9">
        <v>9.9999999999999978E-2</v>
      </c>
    </row>
    <row r="117" spans="1:15" s="3" customFormat="1">
      <c r="A117" s="3" t="s">
        <v>661</v>
      </c>
      <c r="B117" s="3" t="s">
        <v>662</v>
      </c>
      <c r="C117" s="3" t="s">
        <v>632</v>
      </c>
      <c r="D117" s="3" t="s">
        <v>668</v>
      </c>
      <c r="E117" s="3" t="s">
        <v>632</v>
      </c>
      <c r="F117" s="3" t="s">
        <v>668</v>
      </c>
      <c r="H117" s="3">
        <v>57908</v>
      </c>
      <c r="I117" s="3">
        <v>228.15752000000001</v>
      </c>
      <c r="J117" s="3">
        <v>45810.59276</v>
      </c>
      <c r="K117" s="3">
        <v>87900.528240000014</v>
      </c>
      <c r="L117" s="3">
        <v>0</v>
      </c>
      <c r="M117" s="3">
        <v>665.94200000000001</v>
      </c>
      <c r="N117" s="3">
        <v>133711.12100000001</v>
      </c>
      <c r="O117" s="9">
        <v>0.99504422864190734</v>
      </c>
    </row>
    <row r="118" spans="1:15" s="3" customFormat="1">
      <c r="A118" t="s">
        <v>15</v>
      </c>
      <c r="B118" t="s">
        <v>565</v>
      </c>
      <c r="C118" t="s">
        <v>64</v>
      </c>
      <c r="D118" t="s">
        <v>58</v>
      </c>
      <c r="E118" t="s">
        <v>706</v>
      </c>
      <c r="F118" t="s">
        <v>58</v>
      </c>
      <c r="G118"/>
      <c r="H118" s="3">
        <v>2784000</v>
      </c>
      <c r="I118" s="3">
        <v>13986</v>
      </c>
      <c r="J118" s="3">
        <v>7972</v>
      </c>
      <c r="K118" s="3">
        <v>14839.877999999999</v>
      </c>
      <c r="L118" s="3">
        <v>1311.966128</v>
      </c>
      <c r="M118" s="3">
        <v>18198.795607851476</v>
      </c>
      <c r="N118" s="3">
        <v>24123.844127999997</v>
      </c>
      <c r="O118" s="9">
        <v>0.56999856999857001</v>
      </c>
    </row>
    <row r="119" spans="1:15" s="3" customFormat="1">
      <c r="A119" t="s">
        <v>151</v>
      </c>
      <c r="B119" t="s">
        <v>467</v>
      </c>
      <c r="C119" t="s">
        <v>233</v>
      </c>
      <c r="D119" t="s">
        <v>206</v>
      </c>
      <c r="E119" s="51" t="s">
        <v>233</v>
      </c>
      <c r="F119" s="51" t="s">
        <v>206</v>
      </c>
      <c r="G119" s="51" t="s">
        <v>716</v>
      </c>
      <c r="H119" s="3">
        <v>4521000</v>
      </c>
      <c r="I119" s="3">
        <v>17415.000000000004</v>
      </c>
      <c r="J119" s="3">
        <v>1935</v>
      </c>
      <c r="K119" s="3">
        <v>3932</v>
      </c>
      <c r="L119" s="3">
        <v>2868</v>
      </c>
      <c r="M119" s="3">
        <v>78615.000000000015</v>
      </c>
      <c r="N119" s="3">
        <v>8735</v>
      </c>
      <c r="O119" s="9">
        <v>9.9999999999999978E-2</v>
      </c>
    </row>
    <row r="120" spans="1:15">
      <c r="A120" t="s">
        <v>152</v>
      </c>
      <c r="B120" t="s">
        <v>468</v>
      </c>
      <c r="C120" t="s">
        <v>233</v>
      </c>
      <c r="D120" t="s">
        <v>206</v>
      </c>
      <c r="E120" s="51" t="s">
        <v>233</v>
      </c>
      <c r="F120" s="51" t="s">
        <v>206</v>
      </c>
      <c r="G120" s="51" t="s">
        <v>716</v>
      </c>
      <c r="H120" s="3">
        <v>31187800</v>
      </c>
      <c r="I120" s="3">
        <v>120141.00000000003</v>
      </c>
      <c r="J120" s="3">
        <v>13349</v>
      </c>
      <c r="K120" s="3">
        <v>27121</v>
      </c>
      <c r="L120" s="3">
        <v>19786</v>
      </c>
      <c r="M120" s="3">
        <v>542304.00000000012</v>
      </c>
      <c r="N120" s="3">
        <v>60256</v>
      </c>
      <c r="O120" s="9">
        <v>9.9999999999999978E-2</v>
      </c>
    </row>
    <row r="121" spans="1:15">
      <c r="A121" t="s">
        <v>142</v>
      </c>
      <c r="B121" t="s">
        <v>458</v>
      </c>
      <c r="C121" t="s">
        <v>212</v>
      </c>
      <c r="D121" t="s">
        <v>206</v>
      </c>
      <c r="E121" s="51" t="s">
        <v>212</v>
      </c>
      <c r="F121" s="51" t="s">
        <v>206</v>
      </c>
      <c r="G121" s="51" t="s">
        <v>716</v>
      </c>
      <c r="H121" s="3">
        <v>4440900</v>
      </c>
      <c r="I121" s="3">
        <v>18049.999999999985</v>
      </c>
      <c r="J121" s="3">
        <v>950</v>
      </c>
      <c r="K121" s="3">
        <v>1931</v>
      </c>
      <c r="L121" s="3">
        <v>1408</v>
      </c>
      <c r="M121" s="3">
        <v>81490.999999999927</v>
      </c>
      <c r="N121" s="3">
        <v>4289</v>
      </c>
      <c r="O121" s="9">
        <v>5.0000000000000044E-2</v>
      </c>
    </row>
    <row r="122" spans="1:15">
      <c r="A122" t="s">
        <v>143</v>
      </c>
      <c r="B122" t="s">
        <v>458</v>
      </c>
      <c r="C122" t="s">
        <v>212</v>
      </c>
      <c r="D122" t="s">
        <v>206</v>
      </c>
      <c r="E122" s="51" t="s">
        <v>212</v>
      </c>
      <c r="F122" s="51" t="s">
        <v>206</v>
      </c>
      <c r="G122" s="51" t="s">
        <v>716</v>
      </c>
      <c r="H122" s="3">
        <v>187000000</v>
      </c>
      <c r="I122" s="3">
        <v>760341.9999999993</v>
      </c>
      <c r="J122" s="3">
        <v>40018</v>
      </c>
      <c r="K122" s="3">
        <v>81308</v>
      </c>
      <c r="L122" s="3">
        <v>59316</v>
      </c>
      <c r="M122" s="3">
        <v>3432197.9999999967</v>
      </c>
      <c r="N122" s="3">
        <v>180642</v>
      </c>
      <c r="O122" s="9">
        <v>5.0000000000000044E-2</v>
      </c>
    </row>
    <row r="123" spans="1:15">
      <c r="A123" t="s">
        <v>144</v>
      </c>
      <c r="B123" t="s">
        <v>458</v>
      </c>
      <c r="C123" t="s">
        <v>212</v>
      </c>
      <c r="D123" t="s">
        <v>206</v>
      </c>
      <c r="E123" s="51" t="s">
        <v>212</v>
      </c>
      <c r="F123" s="51" t="s">
        <v>206</v>
      </c>
      <c r="G123" s="51" t="s">
        <v>716</v>
      </c>
      <c r="H123" s="3">
        <v>337500</v>
      </c>
      <c r="I123" s="3">
        <v>1296.0000000000002</v>
      </c>
      <c r="J123" s="3">
        <v>144</v>
      </c>
      <c r="K123" s="3">
        <v>293</v>
      </c>
      <c r="L123" s="3">
        <v>215</v>
      </c>
      <c r="M123" s="3">
        <v>5868.0000000000018</v>
      </c>
      <c r="N123" s="3">
        <v>652</v>
      </c>
      <c r="O123" s="9">
        <v>9.9999999999999978E-2</v>
      </c>
    </row>
    <row r="124" spans="1:15">
      <c r="A124" t="s">
        <v>145</v>
      </c>
      <c r="B124" t="s">
        <v>458</v>
      </c>
      <c r="C124" t="s">
        <v>212</v>
      </c>
      <c r="D124" t="s">
        <v>206</v>
      </c>
      <c r="E124" s="51" t="s">
        <v>212</v>
      </c>
      <c r="F124" s="51" t="s">
        <v>206</v>
      </c>
      <c r="G124" s="51" t="s">
        <v>716</v>
      </c>
      <c r="H124" s="3">
        <v>8343000</v>
      </c>
      <c r="I124" s="3">
        <v>32130.000000000007</v>
      </c>
      <c r="J124" s="3">
        <v>3570</v>
      </c>
      <c r="K124" s="3">
        <v>7255</v>
      </c>
      <c r="L124" s="3">
        <v>5293</v>
      </c>
      <c r="M124" s="3">
        <v>145062.00000000003</v>
      </c>
      <c r="N124" s="3">
        <v>16118</v>
      </c>
      <c r="O124" s="9">
        <v>9.9999999999999978E-2</v>
      </c>
    </row>
    <row r="125" spans="1:15">
      <c r="A125" t="s">
        <v>185</v>
      </c>
      <c r="B125" t="s">
        <v>504</v>
      </c>
      <c r="C125" t="s">
        <v>272</v>
      </c>
      <c r="D125" t="s">
        <v>206</v>
      </c>
      <c r="E125" t="s">
        <v>272</v>
      </c>
      <c r="F125" t="s">
        <v>206</v>
      </c>
      <c r="H125" s="3">
        <v>1600000</v>
      </c>
      <c r="I125" s="3">
        <v>5819.6666666666652</v>
      </c>
      <c r="J125" s="3">
        <v>1027</v>
      </c>
      <c r="K125" s="3">
        <v>2087</v>
      </c>
      <c r="L125" s="3">
        <v>1522</v>
      </c>
      <c r="M125" s="3">
        <v>26270.666666666661</v>
      </c>
      <c r="N125" s="3">
        <v>4636</v>
      </c>
      <c r="O125" s="9">
        <v>0.15000000000000002</v>
      </c>
    </row>
    <row r="126" spans="1:15">
      <c r="A126" t="s">
        <v>242</v>
      </c>
      <c r="B126" t="s">
        <v>476</v>
      </c>
      <c r="C126" t="s">
        <v>535</v>
      </c>
      <c r="D126" t="s">
        <v>206</v>
      </c>
      <c r="E126" t="s">
        <v>707</v>
      </c>
      <c r="F126" t="s">
        <v>206</v>
      </c>
      <c r="H126" s="3">
        <v>61517000</v>
      </c>
      <c r="I126" s="3">
        <v>144810.11111111112</v>
      </c>
      <c r="J126" s="3">
        <v>118481</v>
      </c>
      <c r="K126" s="3">
        <v>240728</v>
      </c>
      <c r="L126" s="3">
        <v>175619</v>
      </c>
      <c r="M126" s="3">
        <v>653678.66666666674</v>
      </c>
      <c r="N126" s="3">
        <v>534828</v>
      </c>
      <c r="O126" s="9">
        <v>0.44999999999999996</v>
      </c>
    </row>
    <row r="127" spans="1:15">
      <c r="A127" t="s">
        <v>201</v>
      </c>
      <c r="B127" t="s">
        <v>444</v>
      </c>
      <c r="C127" t="s">
        <v>200</v>
      </c>
      <c r="D127" t="s">
        <v>199</v>
      </c>
      <c r="E127" t="s">
        <v>200</v>
      </c>
      <c r="F127" t="s">
        <v>199</v>
      </c>
      <c r="H127" s="3">
        <v>9900000</v>
      </c>
      <c r="I127" s="3">
        <v>29661.333333333328</v>
      </c>
      <c r="J127" s="3">
        <v>12712</v>
      </c>
      <c r="K127" s="3">
        <v>21958</v>
      </c>
      <c r="L127" s="3">
        <v>5180</v>
      </c>
      <c r="M127" s="3">
        <v>92983.333333333314</v>
      </c>
      <c r="N127" s="3">
        <v>39850</v>
      </c>
      <c r="O127" s="9">
        <v>0.30000000000000004</v>
      </c>
    </row>
    <row r="128" spans="1:15">
      <c r="A128" s="3" t="s">
        <v>635</v>
      </c>
      <c r="B128" s="3" t="s">
        <v>663</v>
      </c>
      <c r="C128" s="3" t="s">
        <v>633</v>
      </c>
      <c r="D128" s="3" t="s">
        <v>664</v>
      </c>
      <c r="E128" s="3" t="s">
        <v>633</v>
      </c>
      <c r="F128" s="3" t="s">
        <v>664</v>
      </c>
      <c r="G128" s="3"/>
      <c r="H128" s="3">
        <v>5488466</v>
      </c>
      <c r="I128" s="3">
        <v>15126.212296</v>
      </c>
      <c r="J128" s="3">
        <v>3960.5676760000001</v>
      </c>
      <c r="K128" s="3">
        <v>10329.666348000001</v>
      </c>
      <c r="L128" s="3">
        <v>0</v>
      </c>
      <c r="M128" s="3">
        <v>66908.791312799993</v>
      </c>
      <c r="N128" s="3">
        <v>17519.045146800003</v>
      </c>
      <c r="O128" s="9">
        <v>0.20750318711747556</v>
      </c>
    </row>
    <row r="129" spans="1:15">
      <c r="A129" t="s">
        <v>294</v>
      </c>
      <c r="B129" t="s">
        <v>515</v>
      </c>
      <c r="C129" t="s">
        <v>334</v>
      </c>
      <c r="D129" t="s">
        <v>247</v>
      </c>
      <c r="E129" t="s">
        <v>334</v>
      </c>
      <c r="F129" t="s">
        <v>247</v>
      </c>
      <c r="H129" s="3">
        <v>13770497</v>
      </c>
      <c r="I129" s="3">
        <v>47504.300459110367</v>
      </c>
      <c r="J129" s="3">
        <v>11433.43</v>
      </c>
      <c r="K129" s="3">
        <v>19749.919999999998</v>
      </c>
      <c r="L129" s="3">
        <v>16028.17</v>
      </c>
      <c r="M129" s="3">
        <v>196157.25387843352</v>
      </c>
      <c r="N129" s="3">
        <v>47211.519999999997</v>
      </c>
      <c r="O129" s="9">
        <v>0.19399169107694517</v>
      </c>
    </row>
    <row r="130" spans="1:15">
      <c r="A130" t="s">
        <v>313</v>
      </c>
      <c r="B130" t="s">
        <v>525</v>
      </c>
      <c r="C130" t="s">
        <v>341</v>
      </c>
      <c r="D130" t="s">
        <v>331</v>
      </c>
      <c r="E130" t="s">
        <v>341</v>
      </c>
      <c r="F130" t="s">
        <v>331</v>
      </c>
      <c r="H130" s="3">
        <v>19192099</v>
      </c>
      <c r="I130" s="3">
        <v>57669.213784919222</v>
      </c>
      <c r="J130" s="3">
        <v>24472.959999999999</v>
      </c>
      <c r="K130" s="3">
        <v>42274.18</v>
      </c>
      <c r="L130" s="3">
        <v>26483.41</v>
      </c>
      <c r="M130" s="3">
        <v>219692.77599585833</v>
      </c>
      <c r="N130" s="3">
        <v>93230.55</v>
      </c>
      <c r="O130" s="9">
        <v>0.29793416551258933</v>
      </c>
    </row>
    <row r="131" spans="1:15">
      <c r="A131" t="s">
        <v>38</v>
      </c>
      <c r="B131" t="s">
        <v>587</v>
      </c>
      <c r="C131" t="s">
        <v>87</v>
      </c>
      <c r="D131" t="s">
        <v>53</v>
      </c>
      <c r="E131" t="s">
        <v>87</v>
      </c>
      <c r="F131" t="s">
        <v>53</v>
      </c>
      <c r="H131" s="3">
        <v>4254200</v>
      </c>
      <c r="I131" s="3">
        <v>35412</v>
      </c>
      <c r="J131" s="3">
        <v>6267</v>
      </c>
      <c r="K131" s="3">
        <v>7038.7324840764331</v>
      </c>
      <c r="L131" s="3">
        <v>0</v>
      </c>
      <c r="M131" s="3">
        <v>61878.980891719752</v>
      </c>
      <c r="N131" s="3">
        <v>13305.732484076434</v>
      </c>
      <c r="O131" s="9">
        <v>0.1769739071501186</v>
      </c>
    </row>
    <row r="132" spans="1:15">
      <c r="A132" t="s">
        <v>4</v>
      </c>
      <c r="B132" t="s">
        <v>553</v>
      </c>
      <c r="C132" t="s">
        <v>45</v>
      </c>
      <c r="D132" t="s">
        <v>53</v>
      </c>
      <c r="E132" t="s">
        <v>708</v>
      </c>
      <c r="F132" t="s">
        <v>53</v>
      </c>
      <c r="H132" s="3">
        <v>10051745</v>
      </c>
      <c r="I132" s="3">
        <v>83671</v>
      </c>
      <c r="J132" s="3">
        <v>20918</v>
      </c>
      <c r="K132" s="3">
        <v>23493.889596602978</v>
      </c>
      <c r="L132" s="3">
        <v>0</v>
      </c>
      <c r="M132" s="3">
        <v>133233.54564755844</v>
      </c>
      <c r="N132" s="3">
        <v>44411.889596602981</v>
      </c>
      <c r="O132" s="9">
        <v>0.2500029878930573</v>
      </c>
    </row>
    <row r="133" spans="1:15">
      <c r="A133" t="s">
        <v>148</v>
      </c>
      <c r="B133" t="s">
        <v>463</v>
      </c>
      <c r="C133" t="s">
        <v>230</v>
      </c>
      <c r="D133" t="s">
        <v>206</v>
      </c>
      <c r="E133" s="51" t="s">
        <v>230</v>
      </c>
      <c r="F133" s="51" t="s">
        <v>206</v>
      </c>
      <c r="G133" s="51" t="s">
        <v>717</v>
      </c>
      <c r="H133" s="3">
        <v>7900000</v>
      </c>
      <c r="I133" s="3">
        <v>30429.000000000007</v>
      </c>
      <c r="J133" s="3">
        <v>3381</v>
      </c>
      <c r="K133" s="3">
        <v>6870</v>
      </c>
      <c r="L133" s="3">
        <v>5012</v>
      </c>
      <c r="M133" s="3">
        <v>137367.00000000003</v>
      </c>
      <c r="N133" s="3">
        <v>15263</v>
      </c>
      <c r="O133" s="9">
        <v>9.9999999999999978E-2</v>
      </c>
    </row>
    <row r="134" spans="1:15">
      <c r="A134" t="s">
        <v>146</v>
      </c>
      <c r="B134" t="s">
        <v>461</v>
      </c>
      <c r="C134" t="s">
        <v>460</v>
      </c>
      <c r="D134" t="s">
        <v>206</v>
      </c>
      <c r="E134" s="51" t="s">
        <v>460</v>
      </c>
      <c r="F134" s="51" t="s">
        <v>206</v>
      </c>
      <c r="G134" s="51" t="s">
        <v>717</v>
      </c>
      <c r="H134" s="3">
        <v>16270000</v>
      </c>
      <c r="I134" s="3">
        <v>62676.000000000015</v>
      </c>
      <c r="J134" s="3">
        <v>6964</v>
      </c>
      <c r="K134" s="3">
        <v>14148</v>
      </c>
      <c r="L134" s="3">
        <v>10321</v>
      </c>
      <c r="M134" s="3">
        <v>282897.00000000006</v>
      </c>
      <c r="N134" s="3">
        <v>31433</v>
      </c>
      <c r="O134" s="9">
        <v>9.9999999999999978E-2</v>
      </c>
    </row>
    <row r="135" spans="1:15">
      <c r="A135" t="s">
        <v>9</v>
      </c>
      <c r="B135" t="s">
        <v>558</v>
      </c>
      <c r="C135" t="s">
        <v>559</v>
      </c>
      <c r="D135" t="s">
        <v>54</v>
      </c>
      <c r="E135" t="s">
        <v>559</v>
      </c>
      <c r="F135" t="s">
        <v>54</v>
      </c>
      <c r="H135" s="3">
        <v>17500000</v>
      </c>
      <c r="I135" s="3">
        <v>145670</v>
      </c>
      <c r="J135" s="3">
        <v>18937</v>
      </c>
      <c r="K135" s="3">
        <v>21268.944798301487</v>
      </c>
      <c r="L135" s="3">
        <v>0</v>
      </c>
      <c r="M135" s="3">
        <v>269072.18683651806</v>
      </c>
      <c r="N135" s="3">
        <v>40205.944798301483</v>
      </c>
      <c r="O135" s="9">
        <v>0.12999931351685315</v>
      </c>
    </row>
    <row r="136" spans="1:15">
      <c r="A136" t="s">
        <v>26</v>
      </c>
      <c r="B136" t="s">
        <v>576</v>
      </c>
      <c r="C136" t="s">
        <v>76</v>
      </c>
      <c r="D136" t="s">
        <v>58</v>
      </c>
      <c r="E136" s="51" t="s">
        <v>76</v>
      </c>
      <c r="F136" s="51" t="s">
        <v>58</v>
      </c>
      <c r="G136" s="51" t="s">
        <v>716</v>
      </c>
      <c r="H136" s="3">
        <v>3174400</v>
      </c>
      <c r="I136" s="3">
        <v>15948</v>
      </c>
      <c r="J136" s="3">
        <v>13556</v>
      </c>
      <c r="K136" s="3">
        <v>25234.493999999999</v>
      </c>
      <c r="L136" s="3">
        <v>521.81958400000008</v>
      </c>
      <c r="M136" s="3">
        <v>6936.7847516175825</v>
      </c>
      <c r="N136" s="3">
        <v>39312.313583999996</v>
      </c>
      <c r="O136" s="9">
        <v>0.8500125407574618</v>
      </c>
    </row>
    <row r="137" spans="1:15">
      <c r="A137" t="s">
        <v>32</v>
      </c>
      <c r="B137" t="s">
        <v>582</v>
      </c>
      <c r="C137" t="s">
        <v>76</v>
      </c>
      <c r="D137" t="s">
        <v>58</v>
      </c>
      <c r="E137" s="51" t="s">
        <v>76</v>
      </c>
      <c r="F137" s="51" t="s">
        <v>58</v>
      </c>
      <c r="G137" s="51" t="s">
        <v>716</v>
      </c>
      <c r="H137" s="3">
        <v>32123300</v>
      </c>
      <c r="I137" s="3">
        <v>161388</v>
      </c>
      <c r="J137" s="3">
        <v>48416</v>
      </c>
      <c r="K137" s="3">
        <v>90126.383999999991</v>
      </c>
      <c r="L137" s="3">
        <v>12322.533872</v>
      </c>
      <c r="M137" s="3">
        <v>352022.2963862273</v>
      </c>
      <c r="N137" s="3">
        <v>150864.91787199999</v>
      </c>
      <c r="O137" s="9">
        <v>0.29999752150097903</v>
      </c>
    </row>
    <row r="138" spans="1:15">
      <c r="A138" t="s">
        <v>161</v>
      </c>
      <c r="B138" t="s">
        <v>482</v>
      </c>
      <c r="C138" t="s">
        <v>252</v>
      </c>
      <c r="D138" t="s">
        <v>206</v>
      </c>
      <c r="E138" t="s">
        <v>252</v>
      </c>
      <c r="F138" t="s">
        <v>206</v>
      </c>
      <c r="H138" s="3">
        <v>135494500</v>
      </c>
      <c r="I138" s="3">
        <v>434937</v>
      </c>
      <c r="J138" s="3">
        <v>144979</v>
      </c>
      <c r="K138" s="3">
        <v>294565</v>
      </c>
      <c r="L138" s="3">
        <v>187795</v>
      </c>
      <c r="M138" s="3">
        <v>1882017</v>
      </c>
      <c r="N138" s="3">
        <v>627339</v>
      </c>
      <c r="O138" s="9">
        <v>0.25</v>
      </c>
    </row>
    <row r="139" spans="1:15">
      <c r="A139" t="s">
        <v>27</v>
      </c>
      <c r="B139" t="s">
        <v>577</v>
      </c>
      <c r="C139" t="s">
        <v>77</v>
      </c>
      <c r="D139" t="s">
        <v>432</v>
      </c>
      <c r="E139" s="51" t="s">
        <v>77</v>
      </c>
      <c r="F139" s="51" t="s">
        <v>432</v>
      </c>
      <c r="G139" s="51" t="s">
        <v>716</v>
      </c>
      <c r="H139" s="3">
        <v>2167300</v>
      </c>
      <c r="I139" s="3">
        <v>18040</v>
      </c>
      <c r="J139" s="3">
        <v>11726</v>
      </c>
      <c r="K139" s="3">
        <v>13169.966029723992</v>
      </c>
      <c r="L139" s="3">
        <v>0</v>
      </c>
      <c r="M139" s="3">
        <v>13405.520169851377</v>
      </c>
      <c r="N139" s="3">
        <v>24895.96602972399</v>
      </c>
      <c r="O139" s="9">
        <v>0.65</v>
      </c>
    </row>
    <row r="140" spans="1:15">
      <c r="A140" t="s">
        <v>41</v>
      </c>
      <c r="B140" t="s">
        <v>590</v>
      </c>
      <c r="C140" t="s">
        <v>90</v>
      </c>
      <c r="D140" t="s">
        <v>432</v>
      </c>
      <c r="E140" s="51" t="s">
        <v>90</v>
      </c>
      <c r="F140" s="51" t="s">
        <v>432</v>
      </c>
      <c r="G140" s="51" t="s">
        <v>716</v>
      </c>
      <c r="H140" s="3">
        <v>103700</v>
      </c>
      <c r="I140" s="3">
        <v>863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9">
        <v>0</v>
      </c>
    </row>
    <row r="141" spans="1:15">
      <c r="A141" t="s">
        <v>275</v>
      </c>
      <c r="B141" t="s">
        <v>506</v>
      </c>
      <c r="C141" t="s">
        <v>542</v>
      </c>
      <c r="D141" t="s">
        <v>206</v>
      </c>
      <c r="E141" t="s">
        <v>276</v>
      </c>
      <c r="F141" t="s">
        <v>206</v>
      </c>
      <c r="H141" s="3">
        <v>61260900</v>
      </c>
      <c r="I141" s="3">
        <v>131098</v>
      </c>
      <c r="J141" s="3">
        <v>131098</v>
      </c>
      <c r="K141" s="3">
        <v>266362</v>
      </c>
      <c r="L141" s="3">
        <v>133058</v>
      </c>
      <c r="M141" s="3">
        <v>530518</v>
      </c>
      <c r="N141" s="3">
        <v>530518</v>
      </c>
      <c r="O141" s="9">
        <v>0.5</v>
      </c>
    </row>
    <row r="142" spans="1:15">
      <c r="A142" t="s">
        <v>31</v>
      </c>
      <c r="B142" t="s">
        <v>581</v>
      </c>
      <c r="C142" t="s">
        <v>81</v>
      </c>
      <c r="D142" t="s">
        <v>58</v>
      </c>
      <c r="E142" t="s">
        <v>709</v>
      </c>
      <c r="F142" t="s">
        <v>58</v>
      </c>
      <c r="H142" s="3">
        <v>65184300</v>
      </c>
      <c r="I142" s="3">
        <v>327486</v>
      </c>
      <c r="J142" s="3">
        <v>128162</v>
      </c>
      <c r="K142" s="3">
        <v>238573.56299999999</v>
      </c>
      <c r="L142" s="3">
        <v>21741.464624</v>
      </c>
      <c r="M142" s="3">
        <v>604179.04725368018</v>
      </c>
      <c r="N142" s="3">
        <v>388477.02762399998</v>
      </c>
      <c r="O142" s="9">
        <v>0.39135108065688307</v>
      </c>
    </row>
    <row r="143" spans="1:15">
      <c r="A143" t="s">
        <v>391</v>
      </c>
      <c r="B143" t="s">
        <v>419</v>
      </c>
      <c r="C143" t="s">
        <v>355</v>
      </c>
      <c r="D143" t="s">
        <v>669</v>
      </c>
      <c r="E143" t="s">
        <v>355</v>
      </c>
      <c r="F143" t="s">
        <v>669</v>
      </c>
      <c r="H143" s="3">
        <v>55728300</v>
      </c>
      <c r="I143" s="3">
        <v>117484.06000000001</v>
      </c>
      <c r="J143" s="3">
        <v>176226.36000000002</v>
      </c>
      <c r="K143" s="3">
        <v>292239.38</v>
      </c>
      <c r="L143" s="3"/>
      <c r="M143" s="3">
        <v>312310.03000000003</v>
      </c>
      <c r="N143" s="3">
        <v>468465.74</v>
      </c>
      <c r="O143" s="9">
        <v>0.60000035605613122</v>
      </c>
    </row>
    <row r="144" spans="1:15">
      <c r="A144" s="3" t="s">
        <v>612</v>
      </c>
      <c r="B144" s="3" t="s">
        <v>655</v>
      </c>
      <c r="C144" s="3" t="s">
        <v>611</v>
      </c>
      <c r="D144" s="3" t="s">
        <v>652</v>
      </c>
      <c r="E144" s="52" t="s">
        <v>611</v>
      </c>
      <c r="F144" s="52" t="s">
        <v>652</v>
      </c>
      <c r="G144" s="52" t="s">
        <v>716</v>
      </c>
      <c r="H144" s="3">
        <v>23109000</v>
      </c>
      <c r="I144" s="3">
        <v>159914.28</v>
      </c>
      <c r="J144" s="3">
        <v>39981.054279999997</v>
      </c>
      <c r="K144" s="3">
        <v>43678.724040000001</v>
      </c>
      <c r="L144" s="3">
        <v>0</v>
      </c>
      <c r="M144" s="3">
        <v>334618.32</v>
      </c>
      <c r="N144" s="3">
        <v>83659.778320000012</v>
      </c>
      <c r="O144" s="9">
        <v>0.20000994232310207</v>
      </c>
    </row>
    <row r="145" spans="1:15">
      <c r="A145" s="3" t="s">
        <v>637</v>
      </c>
      <c r="B145" s="3" t="s">
        <v>655</v>
      </c>
      <c r="C145" s="3" t="s">
        <v>611</v>
      </c>
      <c r="D145" s="3" t="s">
        <v>657</v>
      </c>
      <c r="E145" s="52" t="s">
        <v>611</v>
      </c>
      <c r="F145" s="52" t="s">
        <v>657</v>
      </c>
      <c r="G145" s="52" t="s">
        <v>716</v>
      </c>
      <c r="H145" s="3">
        <v>2966778</v>
      </c>
      <c r="I145" s="3">
        <v>14596.547759999999</v>
      </c>
      <c r="J145" s="3">
        <v>2691.7418400000001</v>
      </c>
      <c r="K145" s="3">
        <v>4136.09112</v>
      </c>
      <c r="L145" s="3">
        <v>0</v>
      </c>
      <c r="M145" s="3">
        <v>37025.389439999999</v>
      </c>
      <c r="N145" s="3">
        <v>6827.8329600000006</v>
      </c>
      <c r="O145" s="9">
        <v>0.15569740571675755</v>
      </c>
    </row>
    <row r="146" spans="1:15">
      <c r="A146" t="s">
        <v>12</v>
      </c>
      <c r="B146" t="s">
        <v>562</v>
      </c>
      <c r="C146" t="s">
        <v>59</v>
      </c>
      <c r="D146" t="s">
        <v>58</v>
      </c>
      <c r="E146" t="s">
        <v>710</v>
      </c>
      <c r="F146" t="s">
        <v>58</v>
      </c>
      <c r="H146" s="3">
        <v>11982100</v>
      </c>
      <c r="I146" s="3">
        <v>60198</v>
      </c>
      <c r="J146" s="3">
        <v>28594</v>
      </c>
      <c r="K146" s="3">
        <v>53227.731</v>
      </c>
      <c r="L146" s="3">
        <v>6894.4758080000001</v>
      </c>
      <c r="M146" s="3">
        <v>98055.081484228605</v>
      </c>
      <c r="N146" s="3">
        <v>88716.206808000003</v>
      </c>
      <c r="O146" s="9">
        <v>0.47499916940762149</v>
      </c>
    </row>
    <row r="147" spans="1:15">
      <c r="A147" t="s">
        <v>179</v>
      </c>
      <c r="B147" t="s">
        <v>499</v>
      </c>
      <c r="C147" t="s">
        <v>269</v>
      </c>
      <c r="D147" t="s">
        <v>206</v>
      </c>
      <c r="E147" s="51" t="s">
        <v>269</v>
      </c>
      <c r="F147" s="51" t="s">
        <v>206</v>
      </c>
      <c r="G147" s="51" t="s">
        <v>716</v>
      </c>
      <c r="H147" s="3">
        <v>5525000</v>
      </c>
      <c r="I147" s="3">
        <v>17736</v>
      </c>
      <c r="J147" s="3">
        <v>5912</v>
      </c>
      <c r="K147" s="3">
        <v>12012</v>
      </c>
      <c r="L147" s="3">
        <v>8763</v>
      </c>
      <c r="M147" s="3">
        <v>80061</v>
      </c>
      <c r="N147" s="3">
        <v>26687</v>
      </c>
      <c r="O147" s="9">
        <v>0.25</v>
      </c>
    </row>
    <row r="148" spans="1:15">
      <c r="A148" t="s">
        <v>180</v>
      </c>
      <c r="B148" t="s">
        <v>499</v>
      </c>
      <c r="C148" t="s">
        <v>269</v>
      </c>
      <c r="D148" t="s">
        <v>206</v>
      </c>
      <c r="E148" s="51" t="s">
        <v>269</v>
      </c>
      <c r="F148" s="51" t="s">
        <v>206</v>
      </c>
      <c r="G148" s="51" t="s">
        <v>716</v>
      </c>
      <c r="H148" s="3">
        <v>161959000</v>
      </c>
      <c r="I148" s="3">
        <v>519888</v>
      </c>
      <c r="J148" s="3">
        <v>173296</v>
      </c>
      <c r="K148" s="3">
        <v>352099</v>
      </c>
      <c r="L148" s="3">
        <v>256868</v>
      </c>
      <c r="M148" s="3">
        <v>2346789</v>
      </c>
      <c r="N148" s="3">
        <v>782263</v>
      </c>
      <c r="O148" s="9">
        <v>0.25</v>
      </c>
    </row>
    <row r="149" spans="1:15">
      <c r="A149" t="s">
        <v>181</v>
      </c>
      <c r="B149" t="s">
        <v>499</v>
      </c>
      <c r="C149" t="s">
        <v>269</v>
      </c>
      <c r="D149" t="s">
        <v>206</v>
      </c>
      <c r="E149" s="51" t="s">
        <v>269</v>
      </c>
      <c r="F149" s="51" t="s">
        <v>206</v>
      </c>
      <c r="G149" s="51" t="s">
        <v>716</v>
      </c>
      <c r="H149" s="3">
        <v>75000000</v>
      </c>
      <c r="I149" s="3">
        <v>240750</v>
      </c>
      <c r="J149" s="3">
        <v>80250</v>
      </c>
      <c r="K149" s="3">
        <v>163051</v>
      </c>
      <c r="L149" s="3">
        <v>118950</v>
      </c>
      <c r="M149" s="3">
        <v>1086753</v>
      </c>
      <c r="N149" s="3">
        <v>362251</v>
      </c>
      <c r="O149" s="9">
        <v>0.25</v>
      </c>
    </row>
    <row r="150" spans="1:15">
      <c r="A150" t="s">
        <v>153</v>
      </c>
      <c r="B150" t="s">
        <v>471</v>
      </c>
      <c r="C150" t="s">
        <v>472</v>
      </c>
      <c r="D150" t="s">
        <v>206</v>
      </c>
      <c r="E150" t="s">
        <v>472</v>
      </c>
      <c r="F150" t="s">
        <v>206</v>
      </c>
      <c r="H150" s="3">
        <v>32163700</v>
      </c>
      <c r="I150" s="3">
        <v>130776.99999999987</v>
      </c>
      <c r="J150" s="3">
        <v>6883</v>
      </c>
      <c r="K150" s="3">
        <v>13985</v>
      </c>
      <c r="L150" s="3">
        <v>6986</v>
      </c>
      <c r="M150" s="3">
        <v>529225.99999999953</v>
      </c>
      <c r="N150" s="3">
        <v>27854</v>
      </c>
      <c r="O150" s="9">
        <v>5.0000000000000044E-2</v>
      </c>
    </row>
    <row r="151" spans="1:15">
      <c r="A151" s="3" t="s">
        <v>614</v>
      </c>
      <c r="B151" s="3" t="s">
        <v>656</v>
      </c>
      <c r="C151" s="3" t="s">
        <v>638</v>
      </c>
      <c r="D151" s="3" t="s">
        <v>657</v>
      </c>
      <c r="E151" s="52" t="s">
        <v>638</v>
      </c>
      <c r="F151" s="52" t="s">
        <v>657</v>
      </c>
      <c r="G151" s="52" t="s">
        <v>716</v>
      </c>
      <c r="H151" s="3">
        <v>23419753</v>
      </c>
      <c r="I151" s="3">
        <v>115225.18476000002</v>
      </c>
      <c r="J151" s="3">
        <v>49382.222040000001</v>
      </c>
      <c r="K151" s="3">
        <v>75879.999720000007</v>
      </c>
      <c r="L151" s="3">
        <v>0</v>
      </c>
      <c r="M151" s="3">
        <v>292278.51744000003</v>
      </c>
      <c r="N151" s="3">
        <v>125262.22176</v>
      </c>
      <c r="O151" s="9">
        <v>0.3</v>
      </c>
    </row>
    <row r="152" spans="1:15">
      <c r="A152" s="3" t="s">
        <v>640</v>
      </c>
      <c r="B152" s="3" t="s">
        <v>656</v>
      </c>
      <c r="C152" s="3" t="s">
        <v>638</v>
      </c>
      <c r="D152" s="3" t="s">
        <v>657</v>
      </c>
      <c r="E152" s="52" t="s">
        <v>638</v>
      </c>
      <c r="F152" s="52" t="s">
        <v>657</v>
      </c>
      <c r="G152" s="52" t="s">
        <v>716</v>
      </c>
      <c r="H152" s="3">
        <v>9470338</v>
      </c>
      <c r="I152" s="3">
        <v>46594.062960000003</v>
      </c>
      <c r="J152" s="3">
        <v>8705.6103600000006</v>
      </c>
      <c r="K152" s="3">
        <v>13376.913480000001</v>
      </c>
      <c r="L152" s="3">
        <v>0</v>
      </c>
      <c r="M152" s="3">
        <v>118189.81823999999</v>
      </c>
      <c r="N152" s="3">
        <v>22082.523840000002</v>
      </c>
      <c r="O152" s="9">
        <v>0.15742607211481444</v>
      </c>
    </row>
    <row r="153" spans="1:15">
      <c r="A153" t="s">
        <v>235</v>
      </c>
      <c r="B153" t="s">
        <v>470</v>
      </c>
      <c r="C153" t="s">
        <v>237</v>
      </c>
      <c r="D153" t="s">
        <v>206</v>
      </c>
      <c r="E153" t="s">
        <v>237</v>
      </c>
      <c r="F153" t="s">
        <v>206</v>
      </c>
      <c r="H153" s="3">
        <v>41952000</v>
      </c>
      <c r="I153" s="3">
        <v>143644.00000000006</v>
      </c>
      <c r="J153" s="3">
        <v>35911</v>
      </c>
      <c r="K153" s="3">
        <v>72963</v>
      </c>
      <c r="L153" s="3">
        <v>53229</v>
      </c>
      <c r="M153" s="3">
        <v>648412.00000000023</v>
      </c>
      <c r="N153" s="3">
        <v>162103</v>
      </c>
      <c r="O153" s="9">
        <v>0.19999999999999996</v>
      </c>
    </row>
    <row r="154" spans="1:15">
      <c r="A154" t="s">
        <v>399</v>
      </c>
      <c r="B154" t="s">
        <v>414</v>
      </c>
      <c r="C154" t="s">
        <v>352</v>
      </c>
      <c r="D154" t="s">
        <v>353</v>
      </c>
      <c r="E154" t="s">
        <v>352</v>
      </c>
      <c r="F154" t="s">
        <v>353</v>
      </c>
      <c r="H154" s="3">
        <v>11006000</v>
      </c>
      <c r="I154" s="3">
        <v>19742.41</v>
      </c>
      <c r="J154" s="3">
        <v>29635</v>
      </c>
      <c r="K154" s="3">
        <v>57732</v>
      </c>
      <c r="L154" s="3">
        <v>15160</v>
      </c>
      <c r="M154" s="3">
        <v>68302</v>
      </c>
      <c r="N154" s="3">
        <v>102527</v>
      </c>
      <c r="O154" s="9">
        <v>0.60017327268789256</v>
      </c>
    </row>
    <row r="155" spans="1:15">
      <c r="A155" t="s">
        <v>5</v>
      </c>
      <c r="B155" t="s">
        <v>554</v>
      </c>
      <c r="C155" t="s">
        <v>46</v>
      </c>
      <c r="D155" t="s">
        <v>53</v>
      </c>
      <c r="E155" t="s">
        <v>711</v>
      </c>
      <c r="F155" t="s">
        <v>53</v>
      </c>
      <c r="H155" s="3">
        <v>6746803</v>
      </c>
      <c r="I155" s="3">
        <v>56160</v>
      </c>
      <c r="J155" s="3">
        <v>14040</v>
      </c>
      <c r="K155" s="3">
        <v>15768.917197452232</v>
      </c>
      <c r="L155" s="3">
        <v>0</v>
      </c>
      <c r="M155" s="3">
        <v>89426.751592356697</v>
      </c>
      <c r="N155" s="3">
        <v>29808.917197452232</v>
      </c>
      <c r="O155" s="9">
        <v>0.25</v>
      </c>
    </row>
    <row r="156" spans="1:15">
      <c r="A156" t="s">
        <v>162</v>
      </c>
      <c r="B156" t="s">
        <v>483</v>
      </c>
      <c r="C156" t="s">
        <v>536</v>
      </c>
      <c r="D156" t="s">
        <v>206</v>
      </c>
      <c r="E156" t="s">
        <v>253</v>
      </c>
      <c r="F156" t="s">
        <v>206</v>
      </c>
      <c r="H156" s="3">
        <v>93350900</v>
      </c>
      <c r="I156" s="3">
        <v>199771</v>
      </c>
      <c r="J156" s="3">
        <v>199771</v>
      </c>
      <c r="K156" s="3">
        <v>405890</v>
      </c>
      <c r="L156" s="3">
        <v>258769</v>
      </c>
      <c r="M156" s="3">
        <v>864430</v>
      </c>
      <c r="N156" s="3">
        <v>864430</v>
      </c>
      <c r="O156" s="9">
        <v>0.5</v>
      </c>
    </row>
    <row r="157" spans="1:15">
      <c r="A157" s="3" t="s">
        <v>282</v>
      </c>
      <c r="B157" s="3" t="s">
        <v>545</v>
      </c>
      <c r="C157" s="3" t="s">
        <v>549</v>
      </c>
      <c r="D157" s="3" t="s">
        <v>206</v>
      </c>
      <c r="E157" s="3" t="s">
        <v>287</v>
      </c>
      <c r="F157" s="3" t="s">
        <v>206</v>
      </c>
      <c r="G157" s="3"/>
      <c r="H157" s="3">
        <v>79232100</v>
      </c>
      <c r="I157" s="3">
        <v>203467.5</v>
      </c>
      <c r="J157" s="3">
        <v>135645</v>
      </c>
      <c r="K157" s="3">
        <v>275601</v>
      </c>
      <c r="L157" s="3">
        <v>137674</v>
      </c>
      <c r="M157" s="3">
        <v>823380</v>
      </c>
      <c r="N157" s="3">
        <v>548920</v>
      </c>
      <c r="O157" s="9">
        <v>0.4</v>
      </c>
    </row>
    <row r="158" spans="1:15">
      <c r="A158" s="3" t="s">
        <v>281</v>
      </c>
      <c r="B158" s="3" t="s">
        <v>544</v>
      </c>
      <c r="C158" s="3" t="s">
        <v>548</v>
      </c>
      <c r="D158" s="3" t="s">
        <v>206</v>
      </c>
      <c r="E158" s="3" t="s">
        <v>286</v>
      </c>
      <c r="F158" s="3" t="s">
        <v>206</v>
      </c>
      <c r="G158" s="3"/>
      <c r="H158" s="3">
        <v>60000000</v>
      </c>
      <c r="I158" s="3">
        <v>141240.00000000003</v>
      </c>
      <c r="J158" s="3">
        <v>115560</v>
      </c>
      <c r="K158" s="3">
        <v>234792</v>
      </c>
      <c r="L158" s="3">
        <v>117288</v>
      </c>
      <c r="M158" s="3">
        <v>571560.00000000012</v>
      </c>
      <c r="N158" s="3">
        <v>467640</v>
      </c>
      <c r="O158" s="9">
        <v>0.44999999999999996</v>
      </c>
    </row>
    <row r="159" spans="1:15">
      <c r="A159" t="s">
        <v>138</v>
      </c>
      <c r="B159" t="s">
        <v>453</v>
      </c>
      <c r="C159" t="s">
        <v>211</v>
      </c>
      <c r="D159" t="s">
        <v>206</v>
      </c>
      <c r="E159" t="s">
        <v>211</v>
      </c>
      <c r="F159" t="s">
        <v>206</v>
      </c>
      <c r="H159" s="3">
        <v>12460300</v>
      </c>
      <c r="I159" s="3">
        <v>47997.000000000007</v>
      </c>
      <c r="J159" s="3">
        <v>5333</v>
      </c>
      <c r="K159" s="3">
        <v>10835</v>
      </c>
      <c r="L159" s="3">
        <v>7905</v>
      </c>
      <c r="M159" s="3">
        <v>216657.00000000006</v>
      </c>
      <c r="N159" s="3">
        <v>24073</v>
      </c>
      <c r="O159" s="9">
        <v>9.9999999999999978E-2</v>
      </c>
    </row>
    <row r="160" spans="1:15">
      <c r="A160" t="s">
        <v>175</v>
      </c>
      <c r="B160" t="s">
        <v>500</v>
      </c>
      <c r="C160" t="s">
        <v>265</v>
      </c>
      <c r="D160" t="s">
        <v>206</v>
      </c>
      <c r="E160" t="s">
        <v>265</v>
      </c>
      <c r="F160" t="s">
        <v>206</v>
      </c>
      <c r="H160" s="3">
        <v>30258000</v>
      </c>
      <c r="I160" s="3">
        <v>103604.00000000004</v>
      </c>
      <c r="J160" s="3">
        <v>25901</v>
      </c>
      <c r="K160" s="3">
        <v>52625</v>
      </c>
      <c r="L160" s="3">
        <v>26288</v>
      </c>
      <c r="M160" s="3">
        <v>419256.00000000012</v>
      </c>
      <c r="N160" s="3">
        <v>104814</v>
      </c>
      <c r="O160" s="9">
        <v>0.19999999999999996</v>
      </c>
    </row>
    <row r="161" spans="1:15">
      <c r="A161" t="s">
        <v>33</v>
      </c>
      <c r="B161" t="s">
        <v>583</v>
      </c>
      <c r="C161" t="s">
        <v>83</v>
      </c>
      <c r="D161" t="s">
        <v>82</v>
      </c>
      <c r="E161" s="51" t="s">
        <v>83</v>
      </c>
      <c r="F161" s="51" t="s">
        <v>82</v>
      </c>
      <c r="G161" s="51" t="s">
        <v>716</v>
      </c>
      <c r="H161" s="3">
        <v>6660000</v>
      </c>
      <c r="I161" s="3">
        <v>33460</v>
      </c>
      <c r="J161" s="3">
        <v>11376</v>
      </c>
      <c r="K161" s="3">
        <v>21176.423999999999</v>
      </c>
      <c r="L161" s="3">
        <v>2408.8343840000002</v>
      </c>
      <c r="M161" s="3">
        <v>67869.587741935291</v>
      </c>
      <c r="N161" s="3">
        <v>34961.258384000001</v>
      </c>
      <c r="O161" s="9">
        <v>0.33998804542737598</v>
      </c>
    </row>
    <row r="162" spans="1:15">
      <c r="A162" t="s">
        <v>34</v>
      </c>
      <c r="B162" t="s">
        <v>584</v>
      </c>
      <c r="C162" t="s">
        <v>84</v>
      </c>
      <c r="D162" t="s">
        <v>82</v>
      </c>
      <c r="E162" s="51" t="s">
        <v>84</v>
      </c>
      <c r="F162" s="51" t="s">
        <v>82</v>
      </c>
      <c r="G162" s="51" t="s">
        <v>716</v>
      </c>
      <c r="H162" s="3">
        <v>52067845</v>
      </c>
      <c r="I162" s="3">
        <v>261589</v>
      </c>
      <c r="J162" s="3">
        <v>100007</v>
      </c>
      <c r="K162" s="3">
        <v>186163.03049999999</v>
      </c>
      <c r="L162" s="3">
        <v>17624.718231999999</v>
      </c>
      <c r="M162" s="3">
        <v>490843.2718671094</v>
      </c>
      <c r="N162" s="3">
        <v>303794.74873200001</v>
      </c>
      <c r="O162" s="9">
        <v>0.38230583090267561</v>
      </c>
    </row>
    <row r="163" spans="1:15">
      <c r="A163" t="s">
        <v>36</v>
      </c>
      <c r="B163" t="s">
        <v>584</v>
      </c>
      <c r="C163" t="s">
        <v>84</v>
      </c>
      <c r="D163" t="s">
        <v>82</v>
      </c>
      <c r="E163" s="51" t="s">
        <v>84</v>
      </c>
      <c r="F163" s="51" t="s">
        <v>82</v>
      </c>
      <c r="G163" s="51" t="s">
        <v>716</v>
      </c>
      <c r="H163" s="3">
        <v>22070625</v>
      </c>
      <c r="I163" s="3">
        <v>110882</v>
      </c>
      <c r="J163" s="3">
        <v>54548</v>
      </c>
      <c r="K163" s="3">
        <v>101541.102</v>
      </c>
      <c r="L163" s="3">
        <v>6144.6873840000007</v>
      </c>
      <c r="M163" s="3">
        <v>167545.61654246267</v>
      </c>
      <c r="N163" s="3">
        <v>162233.789384</v>
      </c>
      <c r="O163" s="9">
        <v>0.49194639346332142</v>
      </c>
    </row>
    <row r="164" spans="1:15">
      <c r="A164" t="s">
        <v>2</v>
      </c>
      <c r="B164" t="s">
        <v>551</v>
      </c>
      <c r="C164" t="s">
        <v>42</v>
      </c>
      <c r="D164" t="s">
        <v>53</v>
      </c>
      <c r="E164" t="s">
        <v>42</v>
      </c>
      <c r="F164" t="s">
        <v>53</v>
      </c>
      <c r="H164" s="3">
        <v>77000000</v>
      </c>
      <c r="I164" s="3">
        <v>640948</v>
      </c>
      <c r="J164" s="3">
        <v>160237</v>
      </c>
      <c r="K164" s="3">
        <v>179968.9447983015</v>
      </c>
      <c r="L164" s="3">
        <v>0</v>
      </c>
      <c r="M164" s="3">
        <v>1020617.8343949046</v>
      </c>
      <c r="N164" s="3">
        <v>340205.9447983015</v>
      </c>
      <c r="O164" s="9">
        <v>0.25</v>
      </c>
    </row>
    <row r="165" spans="1:15">
      <c r="A165" t="s">
        <v>405</v>
      </c>
      <c r="B165" t="s">
        <v>417</v>
      </c>
      <c r="C165" t="s">
        <v>354</v>
      </c>
      <c r="D165" t="s">
        <v>353</v>
      </c>
      <c r="E165" t="s">
        <v>354</v>
      </c>
      <c r="F165" t="s">
        <v>353</v>
      </c>
      <c r="H165" s="3">
        <v>14144950</v>
      </c>
      <c r="I165" s="3">
        <v>52903.97</v>
      </c>
      <c r="J165" s="3">
        <v>10556</v>
      </c>
      <c r="K165" s="3">
        <v>20564</v>
      </c>
      <c r="L165" s="3">
        <v>5411</v>
      </c>
      <c r="M165" s="3">
        <v>183085</v>
      </c>
      <c r="N165" s="3">
        <v>36531</v>
      </c>
      <c r="O165" s="9">
        <v>0.16634033950167565</v>
      </c>
    </row>
    <row r="166" spans="1:15">
      <c r="A166" t="s">
        <v>169</v>
      </c>
      <c r="B166" t="s">
        <v>491</v>
      </c>
      <c r="C166" t="s">
        <v>260</v>
      </c>
      <c r="D166" t="s">
        <v>206</v>
      </c>
      <c r="E166" t="s">
        <v>260</v>
      </c>
      <c r="F166" t="s">
        <v>206</v>
      </c>
      <c r="H166" s="3">
        <v>117520000</v>
      </c>
      <c r="I166" s="3">
        <v>402388.00000000012</v>
      </c>
      <c r="J166" s="3">
        <v>100597</v>
      </c>
      <c r="K166" s="3">
        <v>204391</v>
      </c>
      <c r="L166" s="3">
        <v>130306</v>
      </c>
      <c r="M166" s="3">
        <v>1741176.0000000005</v>
      </c>
      <c r="N166" s="3">
        <v>435294</v>
      </c>
      <c r="O166" s="9">
        <v>0.19999999999999996</v>
      </c>
    </row>
    <row r="167" spans="1:15">
      <c r="A167" t="s">
        <v>291</v>
      </c>
      <c r="B167" t="s">
        <v>512</v>
      </c>
      <c r="C167" t="s">
        <v>330</v>
      </c>
      <c r="D167" t="s">
        <v>331</v>
      </c>
      <c r="E167" s="51" t="s">
        <v>330</v>
      </c>
      <c r="F167" s="51" t="s">
        <v>331</v>
      </c>
      <c r="G167" s="51" t="s">
        <v>716</v>
      </c>
      <c r="H167" s="3">
        <v>10477635</v>
      </c>
      <c r="I167" s="3">
        <v>44026.352887730762</v>
      </c>
      <c r="J167" s="3">
        <v>817.96</v>
      </c>
      <c r="K167" s="3">
        <v>1412.93</v>
      </c>
      <c r="L167" s="3">
        <v>885.15</v>
      </c>
      <c r="M167" s="3">
        <v>167719.54209531585</v>
      </c>
      <c r="N167" s="3">
        <v>3116.0400000000004</v>
      </c>
      <c r="O167" s="9">
        <v>1.8239994044457551E-2</v>
      </c>
    </row>
    <row r="168" spans="1:15">
      <c r="A168" t="s">
        <v>317</v>
      </c>
      <c r="B168" t="s">
        <v>527</v>
      </c>
      <c r="C168" t="s">
        <v>330</v>
      </c>
      <c r="D168" t="s">
        <v>331</v>
      </c>
      <c r="E168" s="51" t="s">
        <v>330</v>
      </c>
      <c r="F168" s="51" t="s">
        <v>331</v>
      </c>
      <c r="G168" s="51" t="s">
        <v>716</v>
      </c>
      <c r="H168" s="3">
        <v>11724769</v>
      </c>
      <c r="I168" s="3">
        <v>27183.850098079398</v>
      </c>
      <c r="J168" s="3">
        <v>22998.16</v>
      </c>
      <c r="K168" s="3">
        <v>39726.639999999999</v>
      </c>
      <c r="L168" s="3">
        <v>24887.45</v>
      </c>
      <c r="M168" s="3">
        <v>103557.77465481832</v>
      </c>
      <c r="N168" s="3">
        <v>87612.25</v>
      </c>
      <c r="O168" s="9">
        <v>0.45829491395523442</v>
      </c>
    </row>
    <row r="169" spans="1:15">
      <c r="A169" t="s">
        <v>189</v>
      </c>
      <c r="B169" t="s">
        <v>510</v>
      </c>
      <c r="C169" t="s">
        <v>280</v>
      </c>
      <c r="D169" t="s">
        <v>119</v>
      </c>
      <c r="E169" t="s">
        <v>280</v>
      </c>
      <c r="F169" t="s">
        <v>119</v>
      </c>
      <c r="H169" s="3">
        <v>17516300</v>
      </c>
      <c r="I169" s="3">
        <v>44981.999999999993</v>
      </c>
      <c r="J169" s="3">
        <v>29988</v>
      </c>
      <c r="K169" s="3">
        <v>51801</v>
      </c>
      <c r="L169" s="3">
        <v>16115</v>
      </c>
      <c r="M169" s="3">
        <v>146856</v>
      </c>
      <c r="N169" s="3">
        <v>97904</v>
      </c>
      <c r="O169" s="9">
        <v>0.4</v>
      </c>
    </row>
    <row r="170" spans="1:15">
      <c r="A170" t="s">
        <v>170</v>
      </c>
      <c r="B170" t="s">
        <v>492</v>
      </c>
      <c r="C170" t="s">
        <v>261</v>
      </c>
      <c r="D170" t="s">
        <v>206</v>
      </c>
      <c r="E170" t="s">
        <v>261</v>
      </c>
      <c r="F170" t="s">
        <v>206</v>
      </c>
      <c r="H170" s="3">
        <v>127801800</v>
      </c>
      <c r="I170" s="3">
        <v>464944.3333333332</v>
      </c>
      <c r="J170" s="3">
        <v>82049</v>
      </c>
      <c r="K170" s="3">
        <v>166705</v>
      </c>
      <c r="L170" s="3">
        <v>106280</v>
      </c>
      <c r="M170" s="3">
        <v>2011859.333333333</v>
      </c>
      <c r="N170" s="3">
        <v>355034</v>
      </c>
      <c r="O170" s="9">
        <v>0.15000000000000002</v>
      </c>
    </row>
    <row r="171" spans="1:15">
      <c r="A171" t="s">
        <v>188</v>
      </c>
      <c r="B171" t="s">
        <v>509</v>
      </c>
      <c r="C171" t="s">
        <v>543</v>
      </c>
      <c r="D171" t="s">
        <v>206</v>
      </c>
      <c r="E171" t="s">
        <v>543</v>
      </c>
      <c r="F171" t="s">
        <v>206</v>
      </c>
      <c r="H171" s="3">
        <v>106133800</v>
      </c>
      <c r="I171" s="3">
        <v>272551.49999999994</v>
      </c>
      <c r="J171" s="3">
        <v>181701</v>
      </c>
      <c r="K171" s="3">
        <v>369176</v>
      </c>
      <c r="L171" s="3">
        <v>184418</v>
      </c>
      <c r="M171" s="3">
        <v>1102942.5</v>
      </c>
      <c r="N171" s="3">
        <v>735295</v>
      </c>
      <c r="O171" s="9">
        <v>0.4</v>
      </c>
    </row>
    <row r="172" spans="1:15">
      <c r="A172" t="s">
        <v>140</v>
      </c>
      <c r="B172" t="s">
        <v>455</v>
      </c>
      <c r="C172" t="s">
        <v>462</v>
      </c>
      <c r="D172" t="s">
        <v>206</v>
      </c>
      <c r="E172" t="s">
        <v>462</v>
      </c>
      <c r="F172" t="s">
        <v>206</v>
      </c>
      <c r="H172" s="3">
        <v>6300600</v>
      </c>
      <c r="I172" s="3">
        <v>24273.000000000007</v>
      </c>
      <c r="J172" s="3">
        <v>2697</v>
      </c>
      <c r="K172" s="3">
        <v>5479</v>
      </c>
      <c r="L172" s="3">
        <v>3997</v>
      </c>
      <c r="M172" s="3">
        <v>109557.00000000003</v>
      </c>
      <c r="N172" s="3">
        <v>12173</v>
      </c>
      <c r="O172" s="9">
        <v>9.9999999999999978E-2</v>
      </c>
    </row>
    <row r="173" spans="1:15">
      <c r="A173" t="s">
        <v>172</v>
      </c>
      <c r="B173" t="s">
        <v>494</v>
      </c>
      <c r="C173" t="s">
        <v>264</v>
      </c>
      <c r="D173" t="s">
        <v>248</v>
      </c>
      <c r="E173" s="51" t="s">
        <v>264</v>
      </c>
      <c r="F173" s="51" t="s">
        <v>248</v>
      </c>
      <c r="G173" s="51" t="s">
        <v>716</v>
      </c>
      <c r="H173" s="3">
        <v>36300000</v>
      </c>
      <c r="I173" s="3">
        <v>132061.66666666666</v>
      </c>
      <c r="J173" s="3">
        <v>23305</v>
      </c>
      <c r="K173" s="3">
        <v>40256</v>
      </c>
      <c r="L173" s="3">
        <v>10304</v>
      </c>
      <c r="M173" s="3">
        <v>418568.33333333326</v>
      </c>
      <c r="N173" s="3">
        <v>73865</v>
      </c>
      <c r="O173" s="9">
        <v>0.15000000000000002</v>
      </c>
    </row>
    <row r="174" spans="1:15">
      <c r="A174" t="s">
        <v>174</v>
      </c>
      <c r="B174" t="s">
        <v>494</v>
      </c>
      <c r="C174" t="s">
        <v>264</v>
      </c>
      <c r="D174" t="s">
        <v>248</v>
      </c>
      <c r="E174" s="51" t="s">
        <v>264</v>
      </c>
      <c r="F174" s="51" t="s">
        <v>248</v>
      </c>
      <c r="G174" s="51" t="s">
        <v>716</v>
      </c>
      <c r="H174" s="3">
        <v>11000000</v>
      </c>
      <c r="I174" s="3">
        <v>40017.999999999993</v>
      </c>
      <c r="J174" s="3">
        <v>7062</v>
      </c>
      <c r="K174" s="3">
        <v>12199</v>
      </c>
      <c r="L174" s="3">
        <v>3122</v>
      </c>
      <c r="M174" s="3">
        <v>126836.99999999997</v>
      </c>
      <c r="N174" s="3">
        <v>22383</v>
      </c>
      <c r="O174" s="9">
        <v>0.15000000000000002</v>
      </c>
    </row>
    <row r="175" spans="1:15">
      <c r="A175" t="s">
        <v>183</v>
      </c>
      <c r="B175" t="s">
        <v>502</v>
      </c>
      <c r="C175" t="s">
        <v>271</v>
      </c>
      <c r="D175" t="s">
        <v>206</v>
      </c>
      <c r="E175" s="51" t="s">
        <v>271</v>
      </c>
      <c r="F175" s="51" t="s">
        <v>206</v>
      </c>
      <c r="G175" s="51" t="s">
        <v>716</v>
      </c>
      <c r="H175" s="3">
        <v>29687000</v>
      </c>
      <c r="I175" s="3">
        <v>117536.66666666673</v>
      </c>
      <c r="J175" s="3">
        <v>9530</v>
      </c>
      <c r="K175" s="3">
        <v>19362</v>
      </c>
      <c r="L175" s="3">
        <v>14125</v>
      </c>
      <c r="M175" s="3">
        <v>530543.00000000035</v>
      </c>
      <c r="N175" s="3">
        <v>43017</v>
      </c>
      <c r="O175" s="9">
        <v>7.4999999999999956E-2</v>
      </c>
    </row>
    <row r="176" spans="1:15">
      <c r="A176" t="s">
        <v>293</v>
      </c>
      <c r="B176" t="s">
        <v>514</v>
      </c>
      <c r="C176" t="s">
        <v>271</v>
      </c>
      <c r="D176" t="s">
        <v>206</v>
      </c>
      <c r="E176" s="51" t="s">
        <v>271</v>
      </c>
      <c r="F176" s="51" t="s">
        <v>206</v>
      </c>
      <c r="G176" s="51" t="s">
        <v>716</v>
      </c>
      <c r="H176" s="3">
        <v>21471390</v>
      </c>
      <c r="I176" s="3">
        <v>71052.547488190219</v>
      </c>
      <c r="J176" s="3">
        <v>20845.009999999998</v>
      </c>
      <c r="K176" s="3">
        <v>42352.38</v>
      </c>
      <c r="L176" s="3">
        <v>21156.71</v>
      </c>
      <c r="M176" s="3">
        <v>287530.38238281239</v>
      </c>
      <c r="N176" s="3">
        <v>84354.1</v>
      </c>
      <c r="O176" s="9">
        <v>0.22682877075028679</v>
      </c>
    </row>
    <row r="177" spans="1:15">
      <c r="A177" t="s">
        <v>310</v>
      </c>
      <c r="B177" t="s">
        <v>514</v>
      </c>
      <c r="C177" t="s">
        <v>271</v>
      </c>
      <c r="D177" t="s">
        <v>206</v>
      </c>
      <c r="E177" s="51" t="s">
        <v>271</v>
      </c>
      <c r="F177" s="51" t="s">
        <v>206</v>
      </c>
      <c r="G177" s="51" t="s">
        <v>716</v>
      </c>
      <c r="H177" s="3">
        <v>99925426</v>
      </c>
      <c r="I177" s="3">
        <v>285480.69893428427</v>
      </c>
      <c r="J177" s="3">
        <v>142200.13</v>
      </c>
      <c r="K177" s="3">
        <v>288918.76</v>
      </c>
      <c r="L177" s="3">
        <v>144326.49</v>
      </c>
      <c r="M177" s="3">
        <v>1155263.0034930687</v>
      </c>
      <c r="N177" s="3">
        <v>575445.38</v>
      </c>
      <c r="O177" s="9">
        <v>0.33249124201882313</v>
      </c>
    </row>
    <row r="178" spans="1:15">
      <c r="A178" t="s">
        <v>318</v>
      </c>
      <c r="B178" t="s">
        <v>514</v>
      </c>
      <c r="C178" t="s">
        <v>271</v>
      </c>
      <c r="D178" t="s">
        <v>206</v>
      </c>
      <c r="E178" s="51" t="s">
        <v>271</v>
      </c>
      <c r="F178" s="51" t="s">
        <v>206</v>
      </c>
      <c r="G178" s="51" t="s">
        <v>716</v>
      </c>
      <c r="H178" s="3">
        <v>64337670</v>
      </c>
      <c r="I178" s="3">
        <v>145409.62921166889</v>
      </c>
      <c r="J178" s="3">
        <v>129955.61</v>
      </c>
      <c r="K178" s="3">
        <v>264040.64</v>
      </c>
      <c r="L178" s="3">
        <v>131898.87</v>
      </c>
      <c r="M178" s="3">
        <v>588433.34584344691</v>
      </c>
      <c r="N178" s="3">
        <v>525895.12</v>
      </c>
      <c r="O178" s="9">
        <v>0.47193905219135229</v>
      </c>
    </row>
    <row r="179" spans="1:15">
      <c r="A179" t="s">
        <v>163</v>
      </c>
      <c r="B179" t="s">
        <v>484</v>
      </c>
      <c r="C179" t="s">
        <v>254</v>
      </c>
      <c r="D179" t="s">
        <v>206</v>
      </c>
      <c r="E179" s="51" t="s">
        <v>254</v>
      </c>
      <c r="F179" s="51" t="s">
        <v>206</v>
      </c>
      <c r="G179" s="51" t="s">
        <v>716</v>
      </c>
      <c r="H179" s="3">
        <v>133368000</v>
      </c>
      <c r="I179" s="3">
        <v>428112</v>
      </c>
      <c r="J179" s="3">
        <v>142704</v>
      </c>
      <c r="K179" s="3">
        <v>289942</v>
      </c>
      <c r="L179" s="3">
        <v>184847</v>
      </c>
      <c r="M179" s="3">
        <v>1852479</v>
      </c>
      <c r="N179" s="3">
        <v>617493</v>
      </c>
      <c r="O179" s="9">
        <v>0.25</v>
      </c>
    </row>
    <row r="180" spans="1:15">
      <c r="A180" t="s">
        <v>29</v>
      </c>
      <c r="B180" t="s">
        <v>579</v>
      </c>
      <c r="C180" t="s">
        <v>79</v>
      </c>
      <c r="D180" t="s">
        <v>58</v>
      </c>
      <c r="E180" t="s">
        <v>714</v>
      </c>
      <c r="F180" t="s">
        <v>58</v>
      </c>
      <c r="H180" s="3">
        <v>5305000</v>
      </c>
      <c r="I180" s="3">
        <v>26652</v>
      </c>
      <c r="J180" s="3">
        <v>22654</v>
      </c>
      <c r="K180" s="3">
        <v>42170.421000000002</v>
      </c>
      <c r="L180" s="3">
        <v>872.171696</v>
      </c>
      <c r="M180" s="3">
        <v>11594.198710982966</v>
      </c>
      <c r="N180" s="3">
        <v>65696.592696000007</v>
      </c>
      <c r="O180" s="9">
        <v>0.84999249587272996</v>
      </c>
    </row>
    <row r="181" spans="1:15">
      <c r="A181" t="s">
        <v>8</v>
      </c>
      <c r="B181" t="s">
        <v>557</v>
      </c>
      <c r="C181" t="s">
        <v>50</v>
      </c>
      <c r="D181" t="s">
        <v>53</v>
      </c>
      <c r="E181" t="s">
        <v>713</v>
      </c>
      <c r="F181" t="s">
        <v>53</v>
      </c>
      <c r="H181" s="3">
        <v>67518</v>
      </c>
      <c r="I181" s="3">
        <v>562</v>
      </c>
      <c r="J181" s="3">
        <v>140</v>
      </c>
      <c r="K181" s="3">
        <v>157.23991507431001</v>
      </c>
      <c r="L181" s="3">
        <v>0</v>
      </c>
      <c r="M181" s="3">
        <v>895.96602972399171</v>
      </c>
      <c r="N181" s="3">
        <v>297.23991507431003</v>
      </c>
      <c r="O181" s="9">
        <v>0.24911032028469751</v>
      </c>
    </row>
    <row r="182" spans="1:15">
      <c r="A182" t="s">
        <v>322</v>
      </c>
      <c r="B182" t="s">
        <v>531</v>
      </c>
      <c r="C182" t="s">
        <v>346</v>
      </c>
      <c r="D182" t="s">
        <v>115</v>
      </c>
      <c r="E182" t="s">
        <v>346</v>
      </c>
      <c r="F182" t="s">
        <v>115</v>
      </c>
      <c r="H182" s="3">
        <v>62829730</v>
      </c>
      <c r="I182" s="3">
        <v>134455.62</v>
      </c>
      <c r="J182" s="3">
        <v>134455.62</v>
      </c>
      <c r="K182" s="3">
        <v>232256.38</v>
      </c>
      <c r="L182" s="3">
        <v>197184.82</v>
      </c>
      <c r="M182" s="3">
        <v>563896.82000000007</v>
      </c>
      <c r="N182" s="3">
        <v>563896.82000000007</v>
      </c>
      <c r="O182" s="9">
        <v>0.5</v>
      </c>
    </row>
    <row r="183" spans="1:15">
      <c r="A183" t="s">
        <v>25</v>
      </c>
      <c r="B183" t="s">
        <v>575</v>
      </c>
      <c r="C183" t="s">
        <v>74</v>
      </c>
      <c r="D183" t="s">
        <v>75</v>
      </c>
      <c r="E183" t="s">
        <v>712</v>
      </c>
      <c r="F183" t="s">
        <v>75</v>
      </c>
      <c r="H183" s="3">
        <v>7143000</v>
      </c>
      <c r="I183" s="3">
        <v>36175</v>
      </c>
      <c r="J183" s="3"/>
      <c r="K183" s="3"/>
      <c r="L183" s="3"/>
      <c r="M183" s="3"/>
      <c r="N183" s="3">
        <v>0</v>
      </c>
      <c r="O183" s="9">
        <v>0</v>
      </c>
    </row>
    <row r="184" spans="1:15">
      <c r="E184"/>
    </row>
    <row r="185" spans="1:15">
      <c r="A185" t="s">
        <v>93</v>
      </c>
      <c r="H185" s="13">
        <f>SUM(H2:H183)</f>
        <v>5914968948</v>
      </c>
      <c r="I185" s="13">
        <f>SUM(I2:I183)</f>
        <v>20868772.832964461</v>
      </c>
      <c r="J185" s="13">
        <f>SUM(J2:J183)</f>
        <v>8535409.8114159983</v>
      </c>
      <c r="K185" s="13">
        <f>SUM(K2:K183)</f>
        <v>15508618.465656878</v>
      </c>
      <c r="L185" s="13">
        <f>SUM(L2:L183)</f>
        <v>6644958.8954480011</v>
      </c>
      <c r="M185" s="13">
        <f>SUM(M2:M183)</f>
        <v>72625365.191367194</v>
      </c>
      <c r="N185" s="13">
        <f>SUM(N2:N183)</f>
        <v>30692215.983643666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6" sqref="C6"/>
    </sheetView>
  </sheetViews>
  <sheetFormatPr baseColWidth="10" defaultColWidth="8.83203125" defaultRowHeight="14" x14ac:dyDescent="0"/>
  <cols>
    <col min="1" max="1" width="17.83203125" bestFit="1" customWidth="1"/>
    <col min="2" max="2" width="13.6640625" style="3" bestFit="1" customWidth="1"/>
    <col min="3" max="3" width="17.33203125" style="3" bestFit="1" customWidth="1"/>
    <col min="4" max="4" width="18.6640625" bestFit="1" customWidth="1"/>
    <col min="6" max="6" width="17.6640625" bestFit="1" customWidth="1"/>
    <col min="7" max="8" width="17.6640625" customWidth="1"/>
    <col min="9" max="9" width="15.5" bestFit="1" customWidth="1"/>
  </cols>
  <sheetData>
    <row r="1" spans="1:9">
      <c r="A1" s="1"/>
      <c r="B1" s="2" t="s">
        <v>328</v>
      </c>
      <c r="C1" s="2" t="s">
        <v>333</v>
      </c>
      <c r="D1" s="1" t="s">
        <v>364</v>
      </c>
      <c r="E1" s="1" t="s">
        <v>365</v>
      </c>
      <c r="F1" s="1" t="s">
        <v>91</v>
      </c>
      <c r="G1" s="1" t="s">
        <v>61</v>
      </c>
      <c r="H1" s="1" t="s">
        <v>368</v>
      </c>
      <c r="I1" s="1" t="s">
        <v>366</v>
      </c>
    </row>
    <row r="2" spans="1:9" s="18" customFormat="1">
      <c r="A2" s="18" t="s">
        <v>361</v>
      </c>
      <c r="B2" s="19">
        <v>6827695.8902757745</v>
      </c>
      <c r="C2" s="19">
        <v>5020662.0728368694</v>
      </c>
      <c r="D2" s="17">
        <f>SUM(B2-C2)</f>
        <v>1807033.8174389051</v>
      </c>
      <c r="E2" s="20">
        <f>SUM((C2)/(B2+C2))</f>
        <v>0.42374328058517796</v>
      </c>
      <c r="F2" s="19">
        <v>4464020.8648648653</v>
      </c>
      <c r="G2" s="19">
        <v>1892536</v>
      </c>
      <c r="H2" s="19">
        <f>SUM(F2-G2)</f>
        <v>2571484.8648648653</v>
      </c>
      <c r="I2" s="20">
        <f>SUM((G2)/(F2+G2))</f>
        <v>0.29772973643337863</v>
      </c>
    </row>
    <row r="3" spans="1:9" s="18" customFormat="1">
      <c r="A3" s="18" t="s">
        <v>670</v>
      </c>
      <c r="B3" s="19">
        <v>60429767</v>
      </c>
      <c r="C3" s="19">
        <v>22613974</v>
      </c>
      <c r="D3" s="17">
        <f t="shared" ref="D3:D5" si="0">SUM(B3-C3)</f>
        <v>37815793</v>
      </c>
      <c r="E3" s="20">
        <f t="shared" ref="E3:E9" si="1">SUM((C3)/(B3+C3))</f>
        <v>0.27231400858976235</v>
      </c>
      <c r="F3" s="19">
        <v>14681092</v>
      </c>
      <c r="G3" s="19">
        <v>5682009.3000000026</v>
      </c>
      <c r="H3" s="19">
        <f t="shared" ref="H3:H5" si="2">SUM(F3-G3)</f>
        <v>8999082.6999999974</v>
      </c>
      <c r="I3" s="20">
        <f t="shared" ref="I3:I9" si="3">SUM((G3)/(F3+G3))</f>
        <v>0.27903457416871963</v>
      </c>
    </row>
    <row r="4" spans="1:9" s="18" customFormat="1">
      <c r="A4" s="18" t="s">
        <v>362</v>
      </c>
      <c r="B4" s="19">
        <v>563697.03</v>
      </c>
      <c r="C4" s="19">
        <v>696560.74</v>
      </c>
      <c r="D4" s="17">
        <f t="shared" si="0"/>
        <v>-132863.70999999996</v>
      </c>
      <c r="E4" s="20">
        <f t="shared" si="1"/>
        <v>0.55271291047068882</v>
      </c>
      <c r="F4" s="19">
        <v>190130</v>
      </c>
      <c r="G4" s="19">
        <v>249853.36000000002</v>
      </c>
      <c r="H4" s="19">
        <f t="shared" si="2"/>
        <v>-59723.360000000015</v>
      </c>
      <c r="I4" s="20">
        <f t="shared" si="3"/>
        <v>0.56787002126625885</v>
      </c>
    </row>
    <row r="5" spans="1:9" s="18" customFormat="1">
      <c r="A5" s="18" t="s">
        <v>666</v>
      </c>
      <c r="B5" s="19">
        <v>2690470</v>
      </c>
      <c r="C5" s="19">
        <v>1487037</v>
      </c>
      <c r="D5" s="17">
        <f t="shared" si="0"/>
        <v>1203433</v>
      </c>
      <c r="E5" s="20">
        <f t="shared" si="1"/>
        <v>0.3559627787577615</v>
      </c>
      <c r="F5" s="19">
        <v>651848</v>
      </c>
      <c r="G5" s="49">
        <v>360465</v>
      </c>
      <c r="H5" s="19">
        <f t="shared" si="2"/>
        <v>291383</v>
      </c>
      <c r="I5" s="20">
        <f t="shared" si="3"/>
        <v>0.3560805798206681</v>
      </c>
    </row>
    <row r="6" spans="1:9" s="18" customFormat="1">
      <c r="A6" s="18" t="s">
        <v>378</v>
      </c>
      <c r="B6" s="19">
        <f>SUM(B3+B5)</f>
        <v>63120237</v>
      </c>
      <c r="C6" s="19">
        <f t="shared" ref="C6:G6" si="4">SUM(C3+C5)</f>
        <v>24101011</v>
      </c>
      <c r="D6" s="19">
        <f>SUM(B6-C6)</f>
        <v>39019226</v>
      </c>
      <c r="E6" s="20">
        <f t="shared" si="1"/>
        <v>0.27632040990745743</v>
      </c>
      <c r="F6" s="19">
        <f t="shared" si="4"/>
        <v>15332940</v>
      </c>
      <c r="G6" s="19">
        <f t="shared" si="4"/>
        <v>6042474.3000000026</v>
      </c>
      <c r="H6" s="19">
        <f>SUM(F6-G6)</f>
        <v>9290465.6999999974</v>
      </c>
      <c r="I6" s="20">
        <f t="shared" si="3"/>
        <v>0.28268337704219382</v>
      </c>
    </row>
    <row r="7" spans="1:9" s="18" customFormat="1">
      <c r="A7" s="18" t="s">
        <v>667</v>
      </c>
      <c r="B7" s="19">
        <v>46999516</v>
      </c>
      <c r="C7" s="19">
        <v>15900195</v>
      </c>
      <c r="D7" s="19">
        <f>SUM(B7-C7)</f>
        <v>31099321</v>
      </c>
      <c r="E7" s="20">
        <f>SUM((C7)/(B7+C7))</f>
        <v>0.25278645556892942</v>
      </c>
      <c r="F7" s="19">
        <v>10848819</v>
      </c>
      <c r="G7" s="19">
        <v>3725600</v>
      </c>
      <c r="H7" s="19">
        <f>SUM(F7-G7)</f>
        <v>7123219</v>
      </c>
      <c r="I7" s="20">
        <f t="shared" si="3"/>
        <v>0.25562597040746532</v>
      </c>
    </row>
    <row r="8" spans="1:9" s="18" customFormat="1">
      <c r="A8" s="18" t="s">
        <v>435</v>
      </c>
      <c r="B8" s="19">
        <f>SUM(B6-B7)</f>
        <v>16120721</v>
      </c>
      <c r="C8" s="19">
        <f t="shared" ref="C8:D8" si="5">SUM(C6-C7)</f>
        <v>8200816</v>
      </c>
      <c r="D8" s="19">
        <f t="shared" si="5"/>
        <v>7919905</v>
      </c>
      <c r="E8" s="20">
        <f>SUM((C8)/(B8+C8))</f>
        <v>0.33718329561162191</v>
      </c>
      <c r="F8" s="19">
        <f>SUM(F6-F7)</f>
        <v>4484121</v>
      </c>
      <c r="G8" s="19">
        <f t="shared" ref="G8:H8" si="6">SUM(G6-G7)</f>
        <v>2316874.3000000026</v>
      </c>
      <c r="H8" s="19">
        <f t="shared" si="6"/>
        <v>2167246.6999999974</v>
      </c>
      <c r="I8" s="20">
        <f t="shared" si="3"/>
        <v>0.34066694620418303</v>
      </c>
    </row>
    <row r="9" spans="1:9" s="18" customFormat="1">
      <c r="A9" s="18" t="s">
        <v>665</v>
      </c>
      <c r="B9" s="19">
        <v>2113735.3060128004</v>
      </c>
      <c r="C9" s="19">
        <v>873982.10080680018</v>
      </c>
      <c r="D9" s="19">
        <f>SUM(B9-C9)</f>
        <v>1239753.2052060002</v>
      </c>
      <c r="E9" s="20">
        <f t="shared" si="1"/>
        <v>0.29252502221659127</v>
      </c>
      <c r="F9" s="19">
        <v>881682.01751600008</v>
      </c>
      <c r="G9" s="19">
        <v>350488.15141600004</v>
      </c>
      <c r="H9" s="19">
        <f>SUM(F9-G9)</f>
        <v>531193.86609999998</v>
      </c>
      <c r="I9" s="20">
        <f t="shared" si="3"/>
        <v>0.28444784677735729</v>
      </c>
    </row>
    <row r="10" spans="1:9" s="1" customFormat="1">
      <c r="A10" s="1" t="s">
        <v>93</v>
      </c>
      <c r="B10" s="2">
        <f>SUM(B2,B3,B4,B5,B9)</f>
        <v>72625365.226288572</v>
      </c>
      <c r="C10" s="2">
        <f t="shared" ref="C10:D10" si="7">SUM(C2,C3,C4,C5,C9)</f>
        <v>30692215.913643666</v>
      </c>
      <c r="D10" s="2">
        <f t="shared" si="7"/>
        <v>41933149.312644906</v>
      </c>
      <c r="E10" s="21">
        <f t="shared" ref="E10" si="8">SUM((C10)/(B10+C10))</f>
        <v>0.29706672935049122</v>
      </c>
      <c r="F10" s="14">
        <f>SUM(F2,F3,F4,F5,F9)</f>
        <v>20868772.882380862</v>
      </c>
      <c r="G10" s="14">
        <f t="shared" ref="G10:H10" si="9">SUM(G2,G3,G4,G5,G9)</f>
        <v>8535351.8114160039</v>
      </c>
      <c r="H10" s="14">
        <f t="shared" si="9"/>
        <v>12333421.070964864</v>
      </c>
      <c r="I10" s="21">
        <f t="shared" ref="I10" si="10">SUM((G10)/(F10+G10))</f>
        <v>0.29027736415553407</v>
      </c>
    </row>
    <row r="11" spans="1:9">
      <c r="A11" t="s">
        <v>93</v>
      </c>
      <c r="B11" s="3">
        <f>SUM(B2,B4,B7,B8,B9)</f>
        <v>72625365.226288572</v>
      </c>
      <c r="C11" s="3">
        <f t="shared" ref="C11:D11" si="11">SUM(C2,C4,C7,C8,C9)</f>
        <v>30692215.913643669</v>
      </c>
      <c r="D11" s="3">
        <f t="shared" si="11"/>
        <v>41933149.312644906</v>
      </c>
      <c r="F11" s="13">
        <f>SUM(F2,F4,F7,F8,F9)</f>
        <v>20868772.882380862</v>
      </c>
      <c r="G11" s="13">
        <f t="shared" ref="G11:H11" si="12">SUM(G2,G4,G7,G8,G9)</f>
        <v>8535351.811416002</v>
      </c>
      <c r="H11" s="13">
        <f t="shared" si="12"/>
        <v>12333421.070964864</v>
      </c>
    </row>
    <row r="12" spans="1:9">
      <c r="D12" s="3"/>
      <c r="F12" s="13"/>
      <c r="G12" s="13"/>
      <c r="H12" s="13"/>
    </row>
    <row r="13" spans="1:9">
      <c r="A13" s="1" t="s">
        <v>369</v>
      </c>
      <c r="B13" s="2" t="s">
        <v>373</v>
      </c>
      <c r="C13" s="2" t="s">
        <v>377</v>
      </c>
    </row>
    <row r="14" spans="1:9">
      <c r="A14" t="s">
        <v>370</v>
      </c>
      <c r="B14" s="15">
        <v>4.0999999999999996</v>
      </c>
    </row>
    <row r="15" spans="1:9">
      <c r="A15" t="s">
        <v>371</v>
      </c>
      <c r="B15" s="15">
        <v>17.2</v>
      </c>
    </row>
    <row r="16" spans="1:9">
      <c r="A16" t="s">
        <v>372</v>
      </c>
      <c r="B16" s="16">
        <f>SUM(B14+B15)</f>
        <v>21.299999999999997</v>
      </c>
      <c r="C16" s="2">
        <f>SUM(F6+G6)</f>
        <v>21375414.300000004</v>
      </c>
    </row>
    <row r="17" spans="1:3">
      <c r="A17" t="s">
        <v>374</v>
      </c>
      <c r="B17" s="16">
        <v>6</v>
      </c>
      <c r="C17" s="2">
        <f>G6</f>
        <v>6042474.3000000026</v>
      </c>
    </row>
    <row r="18" spans="1:3">
      <c r="A18" t="s">
        <v>375</v>
      </c>
      <c r="B18" s="16">
        <f>SUM(B16-B17)</f>
        <v>15.299999999999997</v>
      </c>
      <c r="C18" s="2">
        <f>F6</f>
        <v>15332940</v>
      </c>
    </row>
    <row r="19" spans="1:3">
      <c r="A19" t="s">
        <v>376</v>
      </c>
      <c r="B19" s="15">
        <f>SUM(B18-B14)</f>
        <v>11.199999999999998</v>
      </c>
    </row>
    <row r="21" spans="1:3">
      <c r="A21" t="s">
        <v>379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5"/>
  <sheetViews>
    <sheetView workbookViewId="0">
      <pane ySplit="1" topLeftCell="A60" activePane="bottomLeft" state="frozen"/>
      <selection pane="bottomLeft" sqref="A1:XFD1048576"/>
    </sheetView>
  </sheetViews>
  <sheetFormatPr baseColWidth="10" defaultColWidth="8.83203125" defaultRowHeight="14" x14ac:dyDescent="0"/>
  <cols>
    <col min="3" max="3" width="31.1640625" customWidth="1"/>
    <col min="4" max="4" width="11.83203125" bestFit="1" customWidth="1"/>
    <col min="5" max="5" width="15.6640625" bestFit="1" customWidth="1"/>
    <col min="6" max="6" width="16.33203125" bestFit="1" customWidth="1"/>
    <col min="7" max="7" width="18.5" bestFit="1" customWidth="1"/>
    <col min="8" max="8" width="18.1640625" bestFit="1" customWidth="1"/>
    <col min="9" max="9" width="19.5" bestFit="1" customWidth="1"/>
    <col min="10" max="11" width="13.6640625" bestFit="1" customWidth="1"/>
  </cols>
  <sheetData>
    <row r="1" spans="1:12">
      <c r="A1" s="1" t="s">
        <v>96</v>
      </c>
      <c r="B1" s="1" t="s">
        <v>411</v>
      </c>
      <c r="C1" s="1" t="s">
        <v>1</v>
      </c>
      <c r="D1" s="1" t="s">
        <v>52</v>
      </c>
      <c r="E1" s="1" t="s">
        <v>326</v>
      </c>
      <c r="F1" s="1" t="s">
        <v>91</v>
      </c>
      <c r="G1" s="1" t="s">
        <v>61</v>
      </c>
      <c r="H1" s="1" t="s">
        <v>191</v>
      </c>
      <c r="I1" s="1" t="s">
        <v>192</v>
      </c>
      <c r="J1" s="1" t="s">
        <v>328</v>
      </c>
      <c r="K1" s="1" t="s">
        <v>333</v>
      </c>
      <c r="L1" s="1" t="s">
        <v>190</v>
      </c>
    </row>
    <row r="2" spans="1:12">
      <c r="A2" t="s">
        <v>17</v>
      </c>
      <c r="B2" t="s">
        <v>567</v>
      </c>
      <c r="C2" t="s">
        <v>66</v>
      </c>
      <c r="D2" t="s">
        <v>58</v>
      </c>
      <c r="E2" s="3">
        <v>2459200</v>
      </c>
      <c r="F2" s="3">
        <v>12355</v>
      </c>
      <c r="G2" s="3">
        <v>7042</v>
      </c>
      <c r="H2" s="3">
        <v>13108.682999999999</v>
      </c>
      <c r="I2" s="3">
        <v>1159.0415760000001</v>
      </c>
      <c r="J2" s="3">
        <v>16077.61526161431</v>
      </c>
      <c r="K2" s="3">
        <v>21309.724575999997</v>
      </c>
      <c r="L2" s="9">
        <v>0.56997167138810201</v>
      </c>
    </row>
    <row r="3" spans="1:12">
      <c r="A3" s="3" t="s">
        <v>284</v>
      </c>
      <c r="B3" s="3" t="s">
        <v>547</v>
      </c>
      <c r="C3" s="3" t="s">
        <v>550</v>
      </c>
      <c r="D3" s="3" t="s">
        <v>206</v>
      </c>
      <c r="E3" s="3">
        <v>56822400</v>
      </c>
      <c r="F3" s="3">
        <v>194560.00000000003</v>
      </c>
      <c r="G3" s="3">
        <v>48640</v>
      </c>
      <c r="H3" s="3">
        <v>98826</v>
      </c>
      <c r="I3" s="3">
        <v>49368</v>
      </c>
      <c r="J3" s="3">
        <v>787336.00000000023</v>
      </c>
      <c r="K3" s="3">
        <v>196834</v>
      </c>
      <c r="L3" s="9">
        <v>0.19999999999999996</v>
      </c>
    </row>
    <row r="4" spans="1:12">
      <c r="A4" t="s">
        <v>147</v>
      </c>
      <c r="B4" t="s">
        <v>229</v>
      </c>
      <c r="C4" t="s">
        <v>229</v>
      </c>
      <c r="D4" t="s">
        <v>206</v>
      </c>
      <c r="E4" s="3">
        <v>100000</v>
      </c>
      <c r="F4" s="3">
        <v>387.00000000000011</v>
      </c>
      <c r="G4" s="3">
        <v>43</v>
      </c>
      <c r="H4" s="3">
        <v>87</v>
      </c>
      <c r="I4" s="3">
        <v>64</v>
      </c>
      <c r="J4" s="3">
        <v>1746.0000000000005</v>
      </c>
      <c r="K4" s="3">
        <v>194</v>
      </c>
      <c r="L4" s="9">
        <v>9.9999999999999978E-2</v>
      </c>
    </row>
    <row r="5" spans="1:12">
      <c r="A5" t="s">
        <v>135</v>
      </c>
      <c r="B5" t="s">
        <v>450</v>
      </c>
      <c r="C5" t="s">
        <v>208</v>
      </c>
      <c r="D5" t="s">
        <v>206</v>
      </c>
      <c r="E5" s="3">
        <v>1600000</v>
      </c>
      <c r="F5" s="3">
        <v>6165.0000000000018</v>
      </c>
      <c r="G5" s="3">
        <v>685</v>
      </c>
      <c r="H5" s="3">
        <v>1392</v>
      </c>
      <c r="I5" s="3">
        <v>1015</v>
      </c>
      <c r="J5" s="3">
        <v>27828.000000000007</v>
      </c>
      <c r="K5" s="3">
        <v>3092</v>
      </c>
      <c r="L5" s="9">
        <v>9.9999999999999978E-2</v>
      </c>
    </row>
    <row r="6" spans="1:12">
      <c r="A6" t="s">
        <v>168</v>
      </c>
      <c r="B6" t="s">
        <v>489</v>
      </c>
      <c r="C6" t="s">
        <v>490</v>
      </c>
      <c r="D6" t="s">
        <v>206</v>
      </c>
      <c r="E6" s="3">
        <v>135680000</v>
      </c>
      <c r="F6" s="3">
        <v>493600.66666666651</v>
      </c>
      <c r="G6" s="3">
        <v>87106</v>
      </c>
      <c r="H6" s="3">
        <v>176981</v>
      </c>
      <c r="I6" s="3">
        <v>112830</v>
      </c>
      <c r="J6" s="3">
        <v>2135862.9999999995</v>
      </c>
      <c r="K6" s="3">
        <v>376917</v>
      </c>
      <c r="L6" s="9">
        <v>0.15000000000000002</v>
      </c>
    </row>
    <row r="7" spans="1:12">
      <c r="A7" t="s">
        <v>159</v>
      </c>
      <c r="B7" t="s">
        <v>481</v>
      </c>
      <c r="C7" t="s">
        <v>251</v>
      </c>
      <c r="D7" t="s">
        <v>206</v>
      </c>
      <c r="E7" s="3">
        <v>111927000</v>
      </c>
      <c r="F7" s="3">
        <v>359286</v>
      </c>
      <c r="G7" s="3">
        <v>119762</v>
      </c>
      <c r="H7" s="3">
        <v>243329</v>
      </c>
      <c r="I7" s="3">
        <v>155130</v>
      </c>
      <c r="J7" s="3">
        <v>1554663</v>
      </c>
      <c r="K7" s="3">
        <v>518221</v>
      </c>
      <c r="L7" s="9">
        <v>0.25</v>
      </c>
    </row>
    <row r="8" spans="1:12">
      <c r="A8" t="s">
        <v>160</v>
      </c>
      <c r="B8" t="s">
        <v>481</v>
      </c>
      <c r="C8" t="s">
        <v>251</v>
      </c>
      <c r="D8" t="s">
        <v>206</v>
      </c>
      <c r="E8" s="3">
        <v>2880200</v>
      </c>
      <c r="F8" s="3">
        <v>9246</v>
      </c>
      <c r="G8" s="3">
        <v>3082</v>
      </c>
      <c r="H8" s="3">
        <v>6261</v>
      </c>
      <c r="I8" s="3">
        <v>3992</v>
      </c>
      <c r="J8" s="3">
        <v>40005</v>
      </c>
      <c r="K8" s="3">
        <v>13335</v>
      </c>
      <c r="L8" s="9">
        <v>0.25</v>
      </c>
    </row>
    <row r="9" spans="1:12">
      <c r="A9" t="s">
        <v>236</v>
      </c>
      <c r="B9" t="s">
        <v>469</v>
      </c>
      <c r="C9" t="s">
        <v>234</v>
      </c>
      <c r="D9" t="s">
        <v>206</v>
      </c>
      <c r="E9" s="3">
        <v>57000000</v>
      </c>
      <c r="F9" s="3">
        <v>219564.00000000006</v>
      </c>
      <c r="G9" s="3">
        <v>24396</v>
      </c>
      <c r="H9" s="3">
        <v>49567</v>
      </c>
      <c r="I9" s="3">
        <v>36160</v>
      </c>
      <c r="J9" s="3">
        <v>991107.00000000023</v>
      </c>
      <c r="K9" s="3">
        <v>110123</v>
      </c>
      <c r="L9" s="9">
        <v>9.9999999999999978E-2</v>
      </c>
    </row>
    <row r="10" spans="1:12">
      <c r="A10" t="s">
        <v>178</v>
      </c>
      <c r="B10" t="s">
        <v>498</v>
      </c>
      <c r="C10" t="s">
        <v>541</v>
      </c>
      <c r="D10" t="s">
        <v>206</v>
      </c>
      <c r="E10" s="3">
        <v>116166200</v>
      </c>
      <c r="F10" s="3">
        <v>298315.5</v>
      </c>
      <c r="G10" s="3">
        <v>198877</v>
      </c>
      <c r="H10" s="3">
        <v>404073</v>
      </c>
      <c r="I10" s="3">
        <v>201850</v>
      </c>
      <c r="J10" s="3">
        <v>1207200</v>
      </c>
      <c r="K10" s="3">
        <v>804800</v>
      </c>
      <c r="L10" s="9">
        <v>0.4</v>
      </c>
    </row>
    <row r="11" spans="1:12">
      <c r="A11" s="3" t="s">
        <v>596</v>
      </c>
      <c r="B11" s="3" t="s">
        <v>646</v>
      </c>
      <c r="C11" s="3" t="s">
        <v>647</v>
      </c>
      <c r="D11" s="3" t="s">
        <v>644</v>
      </c>
      <c r="E11" s="3">
        <v>14600000</v>
      </c>
      <c r="F11" s="3">
        <v>77964</v>
      </c>
      <c r="G11" s="3">
        <v>12816</v>
      </c>
      <c r="H11" s="3">
        <v>18144</v>
      </c>
      <c r="I11" s="3">
        <v>0</v>
      </c>
      <c r="J11" s="3">
        <v>188340</v>
      </c>
      <c r="K11" s="3">
        <v>30960</v>
      </c>
      <c r="L11" s="9">
        <v>0.14117647058823529</v>
      </c>
    </row>
    <row r="12" spans="1:12">
      <c r="A12" t="s">
        <v>176</v>
      </c>
      <c r="B12" t="s">
        <v>496</v>
      </c>
      <c r="C12" t="s">
        <v>266</v>
      </c>
      <c r="D12" t="s">
        <v>206</v>
      </c>
      <c r="E12" s="3">
        <v>171139600</v>
      </c>
      <c r="F12" s="3">
        <v>695855.9999999993</v>
      </c>
      <c r="G12" s="3">
        <v>36624</v>
      </c>
      <c r="H12" s="3">
        <v>74412</v>
      </c>
      <c r="I12" s="3">
        <v>54285</v>
      </c>
      <c r="J12" s="3">
        <v>3141098.9999999972</v>
      </c>
      <c r="K12" s="3">
        <v>165321</v>
      </c>
      <c r="L12" s="9">
        <v>5.0000000000000044E-2</v>
      </c>
    </row>
    <row r="13" spans="1:12">
      <c r="A13" t="s">
        <v>28</v>
      </c>
      <c r="B13" t="s">
        <v>578</v>
      </c>
      <c r="C13" t="s">
        <v>78</v>
      </c>
      <c r="D13" t="s">
        <v>53</v>
      </c>
      <c r="E13" s="3">
        <v>5600000</v>
      </c>
      <c r="F13" s="3">
        <v>46614</v>
      </c>
      <c r="G13" s="3">
        <v>30299</v>
      </c>
      <c r="H13" s="3">
        <v>34030.087048832276</v>
      </c>
      <c r="I13" s="3">
        <v>0</v>
      </c>
      <c r="J13" s="3">
        <v>34639.06581740977</v>
      </c>
      <c r="K13" s="3">
        <v>64329.087048832276</v>
      </c>
      <c r="L13" s="9">
        <v>0.64999785472175742</v>
      </c>
    </row>
    <row r="14" spans="1:12">
      <c r="A14" t="s">
        <v>40</v>
      </c>
      <c r="B14" t="s">
        <v>589</v>
      </c>
      <c r="C14" t="s">
        <v>89</v>
      </c>
      <c r="D14" t="s">
        <v>432</v>
      </c>
      <c r="E14" s="3">
        <v>410486</v>
      </c>
      <c r="F14" s="3">
        <v>3417</v>
      </c>
      <c r="G14" s="3">
        <v>1335</v>
      </c>
      <c r="H14" s="3">
        <v>1499.3949044585988</v>
      </c>
      <c r="I14" s="3">
        <v>0</v>
      </c>
      <c r="J14" s="3">
        <v>4420.3821656050959</v>
      </c>
      <c r="K14" s="3">
        <v>2834.3949044585988</v>
      </c>
      <c r="L14" s="9">
        <v>0.39069359086918348</v>
      </c>
    </row>
    <row r="15" spans="1:12">
      <c r="A15" t="s">
        <v>186</v>
      </c>
      <c r="B15" t="s">
        <v>507</v>
      </c>
      <c r="C15" t="s">
        <v>277</v>
      </c>
      <c r="D15" t="s">
        <v>119</v>
      </c>
      <c r="E15" s="3">
        <v>19446000</v>
      </c>
      <c r="F15" s="3">
        <v>79058.999999999927</v>
      </c>
      <c r="G15" s="3">
        <v>4161</v>
      </c>
      <c r="H15" s="3">
        <v>7188</v>
      </c>
      <c r="I15" s="3">
        <v>3403</v>
      </c>
      <c r="J15" s="3">
        <v>280287.99999999971</v>
      </c>
      <c r="K15" s="3">
        <v>14752</v>
      </c>
      <c r="L15" s="9">
        <v>5.0000000000000044E-2</v>
      </c>
    </row>
    <row r="16" spans="1:12">
      <c r="A16" t="s">
        <v>316</v>
      </c>
      <c r="B16" t="s">
        <v>526</v>
      </c>
      <c r="C16" t="s">
        <v>343</v>
      </c>
      <c r="D16" t="s">
        <v>199</v>
      </c>
      <c r="E16" s="3">
        <v>198532937</v>
      </c>
      <c r="F16" s="3">
        <v>471033.61454118759</v>
      </c>
      <c r="G16" s="3">
        <v>378687.37000000005</v>
      </c>
      <c r="H16" s="3">
        <v>654138.18000000005</v>
      </c>
      <c r="I16" s="3">
        <v>154306.25</v>
      </c>
      <c r="J16" s="3">
        <v>1476624.3265276744</v>
      </c>
      <c r="K16" s="3">
        <v>1187131.8</v>
      </c>
      <c r="L16" s="9">
        <v>0.44566084266410666</v>
      </c>
    </row>
    <row r="17" spans="1:12">
      <c r="A17" t="s">
        <v>37</v>
      </c>
      <c r="B17" t="s">
        <v>586</v>
      </c>
      <c r="C17" t="s">
        <v>86</v>
      </c>
      <c r="D17" t="s">
        <v>432</v>
      </c>
      <c r="E17" s="3">
        <v>1500000</v>
      </c>
      <c r="F17" s="3">
        <v>12486</v>
      </c>
      <c r="G17" s="3">
        <v>4877</v>
      </c>
      <c r="H17" s="3">
        <v>5477.5647558386418</v>
      </c>
      <c r="I17" s="3">
        <v>0</v>
      </c>
      <c r="J17" s="3">
        <v>16154.989384288741</v>
      </c>
      <c r="K17" s="3">
        <v>10354.564755838641</v>
      </c>
      <c r="L17" s="9">
        <v>0.39059746916546539</v>
      </c>
    </row>
    <row r="18" spans="1:12">
      <c r="A18" t="s">
        <v>22</v>
      </c>
      <c r="B18" t="s">
        <v>572</v>
      </c>
      <c r="C18" t="s">
        <v>71</v>
      </c>
      <c r="D18" t="s">
        <v>70</v>
      </c>
      <c r="E18" s="3">
        <v>9946903</v>
      </c>
      <c r="F18" s="3">
        <v>52034</v>
      </c>
      <c r="G18" s="3">
        <v>3345</v>
      </c>
      <c r="H18" s="3">
        <v>5979.8564999999999</v>
      </c>
      <c r="I18" s="3">
        <v>2141.1345000000001</v>
      </c>
      <c r="J18" s="3">
        <v>166896.15420000002</v>
      </c>
      <c r="K18" s="3">
        <v>11465.991</v>
      </c>
      <c r="L18" s="9">
        <v>6.4284890648422188E-2</v>
      </c>
    </row>
    <row r="19" spans="1:12">
      <c r="A19" t="s">
        <v>296</v>
      </c>
      <c r="B19" t="s">
        <v>442</v>
      </c>
      <c r="C19" t="s">
        <v>335</v>
      </c>
      <c r="D19" t="s">
        <v>115</v>
      </c>
      <c r="E19" s="3">
        <v>6723551</v>
      </c>
      <c r="F19" s="3">
        <v>20175.042367237878</v>
      </c>
      <c r="G19" s="3">
        <v>8601.7799999999988</v>
      </c>
      <c r="H19" s="3">
        <v>14858.55</v>
      </c>
      <c r="I19" s="3">
        <v>12614.86</v>
      </c>
      <c r="J19" s="3">
        <v>84612.54375910059</v>
      </c>
      <c r="K19" s="3">
        <v>36075.19</v>
      </c>
      <c r="L19" s="9">
        <v>0.29891347592960921</v>
      </c>
    </row>
    <row r="20" spans="1:12">
      <c r="A20" t="s">
        <v>150</v>
      </c>
      <c r="B20" t="s">
        <v>466</v>
      </c>
      <c r="C20" t="s">
        <v>232</v>
      </c>
      <c r="D20" t="s">
        <v>206</v>
      </c>
      <c r="E20" s="3">
        <v>68000000</v>
      </c>
      <c r="F20" s="3">
        <v>232832.00000000006</v>
      </c>
      <c r="G20" s="3">
        <v>58208</v>
      </c>
      <c r="H20" s="3">
        <v>118266</v>
      </c>
      <c r="I20" s="3">
        <v>86278</v>
      </c>
      <c r="J20" s="3">
        <v>1051008.0000000002</v>
      </c>
      <c r="K20" s="3">
        <v>262752</v>
      </c>
      <c r="L20" s="9">
        <v>0.19999999999999996</v>
      </c>
    </row>
    <row r="21" spans="1:12">
      <c r="A21" t="s">
        <v>300</v>
      </c>
      <c r="B21" t="s">
        <v>466</v>
      </c>
      <c r="C21" t="s">
        <v>232</v>
      </c>
      <c r="D21" t="s">
        <v>206</v>
      </c>
      <c r="E21" s="3">
        <v>5269618</v>
      </c>
      <c r="F21" s="3">
        <v>19067.27704683075</v>
      </c>
      <c r="G21" s="3">
        <v>3486.74</v>
      </c>
      <c r="H21" s="3">
        <v>7084.2599999999993</v>
      </c>
      <c r="I21" s="3">
        <v>3538.8699999999994</v>
      </c>
      <c r="J21" s="3">
        <v>77159.983361181454</v>
      </c>
      <c r="K21" s="3">
        <v>14109.869999999999</v>
      </c>
      <c r="L21" s="9">
        <v>0.15459507691069826</v>
      </c>
    </row>
    <row r="22" spans="1:12">
      <c r="A22" t="s">
        <v>13</v>
      </c>
      <c r="B22" t="s">
        <v>563</v>
      </c>
      <c r="C22" t="s">
        <v>60</v>
      </c>
      <c r="D22" t="s">
        <v>58</v>
      </c>
      <c r="E22" s="3">
        <v>85089300</v>
      </c>
      <c r="F22" s="3">
        <v>427488</v>
      </c>
      <c r="G22" s="3">
        <v>396380</v>
      </c>
      <c r="H22" s="3">
        <v>737861.37</v>
      </c>
      <c r="I22" s="3">
        <v>6786.2724160000007</v>
      </c>
      <c r="J22" s="3">
        <v>89548.130330180458</v>
      </c>
      <c r="K22" s="3">
        <v>1141027.6424160001</v>
      </c>
      <c r="L22" s="9">
        <v>0.92723070589115952</v>
      </c>
    </row>
    <row r="23" spans="1:12">
      <c r="A23" t="s">
        <v>165</v>
      </c>
      <c r="B23" t="s">
        <v>486</v>
      </c>
      <c r="C23" t="s">
        <v>538</v>
      </c>
      <c r="D23" t="s">
        <v>206</v>
      </c>
      <c r="E23" s="3">
        <v>54356900</v>
      </c>
      <c r="F23" s="3">
        <v>174486</v>
      </c>
      <c r="G23" s="3">
        <v>58162</v>
      </c>
      <c r="H23" s="3">
        <v>118172</v>
      </c>
      <c r="I23" s="3">
        <v>59032</v>
      </c>
      <c r="J23" s="3">
        <v>706098</v>
      </c>
      <c r="K23" s="3">
        <v>235366</v>
      </c>
      <c r="L23" s="9">
        <v>0.25</v>
      </c>
    </row>
    <row r="24" spans="1:12">
      <c r="A24" t="s">
        <v>125</v>
      </c>
      <c r="B24" t="s">
        <v>440</v>
      </c>
      <c r="C24" t="s">
        <v>197</v>
      </c>
      <c r="D24" t="s">
        <v>115</v>
      </c>
      <c r="E24" s="3">
        <v>40716800</v>
      </c>
      <c r="F24" s="3">
        <v>130701</v>
      </c>
      <c r="G24" s="3">
        <v>43567</v>
      </c>
      <c r="H24" s="3">
        <v>75257</v>
      </c>
      <c r="I24" s="3">
        <v>63893</v>
      </c>
      <c r="J24" s="3">
        <v>548151</v>
      </c>
      <c r="K24" s="3">
        <v>182717</v>
      </c>
      <c r="L24" s="9">
        <v>0.25</v>
      </c>
    </row>
    <row r="25" spans="1:12">
      <c r="A25" t="s">
        <v>298</v>
      </c>
      <c r="B25" t="s">
        <v>516</v>
      </c>
      <c r="C25" t="s">
        <v>337</v>
      </c>
      <c r="D25" t="s">
        <v>248</v>
      </c>
      <c r="E25" s="3">
        <v>745799</v>
      </c>
      <c r="F25" s="3">
        <v>2450.3904086496841</v>
      </c>
      <c r="G25" s="3">
        <v>741.63</v>
      </c>
      <c r="H25" s="3">
        <v>1281.08</v>
      </c>
      <c r="I25" s="3">
        <v>327.91</v>
      </c>
      <c r="J25" s="3">
        <v>7766.5907560105725</v>
      </c>
      <c r="K25" s="3">
        <v>2350.62</v>
      </c>
      <c r="L25" s="9">
        <v>0.23233874006267105</v>
      </c>
    </row>
    <row r="26" spans="1:12">
      <c r="A26" t="s">
        <v>11</v>
      </c>
      <c r="B26" t="s">
        <v>561</v>
      </c>
      <c r="C26" t="s">
        <v>57</v>
      </c>
      <c r="D26" t="s">
        <v>432</v>
      </c>
      <c r="E26" s="3">
        <v>59055000</v>
      </c>
      <c r="F26" s="3">
        <v>491573</v>
      </c>
      <c r="G26" s="3">
        <v>159761</v>
      </c>
      <c r="H26" s="3">
        <v>179434.32908704886</v>
      </c>
      <c r="I26" s="3">
        <v>0</v>
      </c>
      <c r="J26" s="3">
        <v>704484.07643312099</v>
      </c>
      <c r="K26" s="3">
        <v>339195.32908704889</v>
      </c>
      <c r="L26" s="9">
        <v>0.32499954228568295</v>
      </c>
    </row>
    <row r="27" spans="1:12">
      <c r="A27" t="s">
        <v>202</v>
      </c>
      <c r="B27" t="s">
        <v>445</v>
      </c>
      <c r="C27" t="s">
        <v>457</v>
      </c>
      <c r="D27" t="s">
        <v>119</v>
      </c>
      <c r="E27" s="3">
        <v>338344500</v>
      </c>
      <c r="F27" s="3">
        <v>724057</v>
      </c>
      <c r="G27" s="3">
        <v>724057</v>
      </c>
      <c r="H27" s="3">
        <v>1250724</v>
      </c>
      <c r="I27" s="3">
        <v>592103</v>
      </c>
      <c r="J27" s="3">
        <v>2566884</v>
      </c>
      <c r="K27" s="3">
        <v>2566884</v>
      </c>
      <c r="L27" s="9">
        <v>0.5</v>
      </c>
    </row>
    <row r="28" spans="1:12">
      <c r="A28" t="s">
        <v>241</v>
      </c>
      <c r="B28" t="s">
        <v>475</v>
      </c>
      <c r="C28" t="s">
        <v>244</v>
      </c>
      <c r="D28" t="s">
        <v>206</v>
      </c>
      <c r="E28" s="3">
        <v>226915000</v>
      </c>
      <c r="F28" s="3">
        <v>582718.5</v>
      </c>
      <c r="G28" s="3">
        <v>388479</v>
      </c>
      <c r="H28" s="3">
        <v>789301</v>
      </c>
      <c r="I28" s="3">
        <v>575819</v>
      </c>
      <c r="J28" s="3">
        <v>2630398.5</v>
      </c>
      <c r="K28" s="3">
        <v>1753599</v>
      </c>
      <c r="L28" s="9">
        <v>0.4</v>
      </c>
    </row>
    <row r="29" spans="1:12">
      <c r="A29" t="s">
        <v>23</v>
      </c>
      <c r="B29" t="s">
        <v>573</v>
      </c>
      <c r="C29" t="s">
        <v>72</v>
      </c>
      <c r="D29" t="s">
        <v>70</v>
      </c>
      <c r="E29" s="3">
        <v>1549538</v>
      </c>
      <c r="F29" s="3">
        <v>8106</v>
      </c>
      <c r="G29" s="3">
        <v>521</v>
      </c>
      <c r="H29" s="3">
        <v>931.39170000000001</v>
      </c>
      <c r="I29" s="3">
        <v>333.49209999999999</v>
      </c>
      <c r="J29" s="3">
        <v>25999.863000000005</v>
      </c>
      <c r="K29" s="3">
        <v>1785.8838000000001</v>
      </c>
      <c r="L29" s="9">
        <v>6.4273377744880331E-2</v>
      </c>
    </row>
    <row r="30" spans="1:12">
      <c r="A30" t="s">
        <v>182</v>
      </c>
      <c r="B30" t="s">
        <v>501</v>
      </c>
      <c r="C30" t="s">
        <v>270</v>
      </c>
      <c r="D30" t="s">
        <v>206</v>
      </c>
      <c r="E30" s="3">
        <v>3952700</v>
      </c>
      <c r="F30" s="3">
        <v>10150.499999999998</v>
      </c>
      <c r="G30" s="3">
        <v>6767</v>
      </c>
      <c r="H30" s="3">
        <v>13749</v>
      </c>
      <c r="I30" s="3">
        <v>10030</v>
      </c>
      <c r="J30" s="3">
        <v>45819</v>
      </c>
      <c r="K30" s="3">
        <v>30546</v>
      </c>
      <c r="L30" s="9">
        <v>0.4</v>
      </c>
    </row>
    <row r="31" spans="1:12">
      <c r="A31" t="s">
        <v>122</v>
      </c>
      <c r="B31" t="s">
        <v>437</v>
      </c>
      <c r="C31" t="s">
        <v>194</v>
      </c>
      <c r="D31" t="s">
        <v>116</v>
      </c>
      <c r="E31" s="3">
        <v>11621300</v>
      </c>
      <c r="F31" s="3">
        <v>32331.000000000004</v>
      </c>
      <c r="G31" s="3">
        <v>17409</v>
      </c>
      <c r="H31" s="3">
        <v>30072</v>
      </c>
      <c r="I31" s="3">
        <v>20435</v>
      </c>
      <c r="J31" s="3">
        <v>126129.71428571429</v>
      </c>
      <c r="K31" s="3">
        <v>67916</v>
      </c>
      <c r="L31" s="9">
        <v>0.35</v>
      </c>
    </row>
    <row r="32" spans="1:12">
      <c r="A32" t="s">
        <v>120</v>
      </c>
      <c r="B32" t="s">
        <v>436</v>
      </c>
      <c r="C32" t="s">
        <v>193</v>
      </c>
      <c r="D32" t="s">
        <v>116</v>
      </c>
      <c r="E32" s="3">
        <v>36411225</v>
      </c>
      <c r="F32" s="3">
        <v>109087.99999999997</v>
      </c>
      <c r="G32" s="3">
        <v>46752</v>
      </c>
      <c r="H32" s="3">
        <v>80759</v>
      </c>
      <c r="I32" s="3">
        <v>54879</v>
      </c>
      <c r="J32" s="3">
        <v>425576.66666666663</v>
      </c>
      <c r="K32" s="3">
        <v>182390</v>
      </c>
      <c r="L32" s="9">
        <v>0.30000000000000004</v>
      </c>
    </row>
    <row r="33" spans="1:12">
      <c r="A33" t="s">
        <v>308</v>
      </c>
      <c r="B33" t="s">
        <v>522</v>
      </c>
      <c r="C33" t="s">
        <v>339</v>
      </c>
      <c r="D33" t="s">
        <v>206</v>
      </c>
      <c r="E33" s="3">
        <v>102613778</v>
      </c>
      <c r="F33" s="3">
        <v>291908.67815047671</v>
      </c>
      <c r="G33" s="3">
        <v>147278.28</v>
      </c>
      <c r="H33" s="3">
        <v>299236.44</v>
      </c>
      <c r="I33" s="3">
        <v>149480.57</v>
      </c>
      <c r="J33" s="3">
        <v>1181275.31967246</v>
      </c>
      <c r="K33" s="3">
        <v>595995.29</v>
      </c>
      <c r="L33" s="9">
        <v>0.33534301797171917</v>
      </c>
    </row>
    <row r="34" spans="1:12">
      <c r="A34" t="s">
        <v>309</v>
      </c>
      <c r="B34" t="s">
        <v>523</v>
      </c>
      <c r="C34" t="s">
        <v>339</v>
      </c>
      <c r="D34" t="s">
        <v>331</v>
      </c>
      <c r="E34" s="3">
        <v>6400161</v>
      </c>
      <c r="F34" s="3">
        <v>21775.084751226266</v>
      </c>
      <c r="G34" s="3">
        <v>5617.57</v>
      </c>
      <c r="H34" s="3">
        <v>9703.7099999999991</v>
      </c>
      <c r="I34" s="3">
        <v>6079.06</v>
      </c>
      <c r="J34" s="3">
        <v>82952.988072255015</v>
      </c>
      <c r="K34" s="3">
        <v>21400.34</v>
      </c>
      <c r="L34" s="9">
        <v>0.20507577856244555</v>
      </c>
    </row>
    <row r="35" spans="1:12">
      <c r="A35" t="s">
        <v>320</v>
      </c>
      <c r="B35" t="s">
        <v>529</v>
      </c>
      <c r="C35" t="s">
        <v>339</v>
      </c>
      <c r="D35" t="s">
        <v>206</v>
      </c>
      <c r="E35" s="3">
        <v>26494320</v>
      </c>
      <c r="F35" s="3">
        <v>58499.350256325895</v>
      </c>
      <c r="G35" s="3">
        <v>54896.36</v>
      </c>
      <c r="H35" s="3">
        <v>111537.06999999999</v>
      </c>
      <c r="I35" s="3">
        <v>55717.229999999996</v>
      </c>
      <c r="J35" s="3">
        <v>236730.98305632587</v>
      </c>
      <c r="K35" s="3">
        <v>222150.65999999997</v>
      </c>
      <c r="L35" s="9">
        <v>0.48411319860256841</v>
      </c>
    </row>
    <row r="36" spans="1:12">
      <c r="A36" t="s">
        <v>149</v>
      </c>
      <c r="B36" t="s">
        <v>464</v>
      </c>
      <c r="C36" t="s">
        <v>465</v>
      </c>
      <c r="D36" t="s">
        <v>206</v>
      </c>
      <c r="E36" s="3">
        <v>13275800</v>
      </c>
      <c r="F36" s="3">
        <v>45460.000000000007</v>
      </c>
      <c r="G36" s="3">
        <v>11365</v>
      </c>
      <c r="H36" s="3">
        <v>23090</v>
      </c>
      <c r="I36" s="3">
        <v>20434</v>
      </c>
      <c r="J36" s="3">
        <v>219556.00000000006</v>
      </c>
      <c r="K36" s="3">
        <v>54889</v>
      </c>
      <c r="L36" s="9">
        <v>0.19999999999999996</v>
      </c>
    </row>
    <row r="37" spans="1:12">
      <c r="A37" s="3" t="s">
        <v>592</v>
      </c>
      <c r="B37" s="3" t="s">
        <v>642</v>
      </c>
      <c r="C37" s="3" t="s">
        <v>641</v>
      </c>
      <c r="D37" s="3" t="s">
        <v>643</v>
      </c>
      <c r="E37" s="3">
        <v>3565260</v>
      </c>
      <c r="F37" s="3">
        <v>21177.644400000001</v>
      </c>
      <c r="G37" s="3">
        <v>49414.503600000004</v>
      </c>
      <c r="H37" s="3">
        <v>62891.186399999999</v>
      </c>
      <c r="I37" s="3">
        <v>0</v>
      </c>
      <c r="J37" s="3">
        <v>48131.01</v>
      </c>
      <c r="K37" s="3">
        <v>112305.69</v>
      </c>
      <c r="L37" s="9">
        <v>0.7</v>
      </c>
    </row>
    <row r="38" spans="1:12">
      <c r="A38" t="s">
        <v>323</v>
      </c>
      <c r="B38" t="s">
        <v>532</v>
      </c>
      <c r="C38" t="s">
        <v>347</v>
      </c>
      <c r="D38" t="s">
        <v>119</v>
      </c>
      <c r="E38" s="3">
        <v>15094293</v>
      </c>
      <c r="F38" s="3">
        <v>32301.775720001213</v>
      </c>
      <c r="G38" s="3">
        <v>32301.78</v>
      </c>
      <c r="H38" s="3">
        <v>55797.56</v>
      </c>
      <c r="I38" s="3">
        <v>17358.439999999999</v>
      </c>
      <c r="J38" s="3">
        <v>105457.7660268019</v>
      </c>
      <c r="K38" s="3">
        <v>105457.78</v>
      </c>
      <c r="L38" s="9">
        <v>0.50000003312510233</v>
      </c>
    </row>
    <row r="39" spans="1:12">
      <c r="A39" t="s">
        <v>324</v>
      </c>
      <c r="B39" t="s">
        <v>533</v>
      </c>
      <c r="C39" t="s">
        <v>347</v>
      </c>
      <c r="D39" t="s">
        <v>206</v>
      </c>
      <c r="E39" s="3">
        <v>1014568</v>
      </c>
      <c r="F39" s="3">
        <v>2299.9534212357189</v>
      </c>
      <c r="G39" s="3">
        <v>2042.4</v>
      </c>
      <c r="H39" s="3">
        <v>4149.6900000000005</v>
      </c>
      <c r="I39" s="3">
        <v>2072.94</v>
      </c>
      <c r="J39" s="3">
        <v>9307.2777247923277</v>
      </c>
      <c r="K39" s="3">
        <v>8265.0300000000007</v>
      </c>
      <c r="L39" s="9">
        <v>0.47034402819722287</v>
      </c>
    </row>
    <row r="40" spans="1:12">
      <c r="A40" t="s">
        <v>395</v>
      </c>
      <c r="B40" t="s">
        <v>415</v>
      </c>
      <c r="C40" t="s">
        <v>347</v>
      </c>
      <c r="D40" t="s">
        <v>669</v>
      </c>
      <c r="E40" s="3">
        <v>6355057</v>
      </c>
      <c r="F40" s="3">
        <v>0</v>
      </c>
      <c r="G40" s="3">
        <v>33494</v>
      </c>
      <c r="H40" s="3">
        <v>55543</v>
      </c>
      <c r="I40" s="3">
        <v>0</v>
      </c>
      <c r="J40" s="3">
        <v>0</v>
      </c>
      <c r="K40" s="3">
        <v>89037</v>
      </c>
      <c r="L40" s="9">
        <v>1</v>
      </c>
    </row>
    <row r="41" spans="1:12">
      <c r="A41" t="s">
        <v>30</v>
      </c>
      <c r="B41" t="s">
        <v>580</v>
      </c>
      <c r="C41" t="s">
        <v>80</v>
      </c>
      <c r="D41" t="s">
        <v>54</v>
      </c>
      <c r="E41" s="3">
        <v>2921400</v>
      </c>
      <c r="F41" s="3">
        <v>24318</v>
      </c>
      <c r="G41" s="3">
        <v>12645</v>
      </c>
      <c r="H41" s="3">
        <v>14202.133757961785</v>
      </c>
      <c r="I41" s="3">
        <v>0</v>
      </c>
      <c r="J41" s="3">
        <v>24783.43949044586</v>
      </c>
      <c r="K41" s="3">
        <v>26847.133757961783</v>
      </c>
      <c r="L41" s="9">
        <v>0.51998519615099925</v>
      </c>
    </row>
    <row r="42" spans="1:12">
      <c r="A42" t="s">
        <v>18</v>
      </c>
      <c r="B42" t="s">
        <v>568</v>
      </c>
      <c r="C42" t="s">
        <v>67</v>
      </c>
      <c r="D42" t="s">
        <v>58</v>
      </c>
      <c r="E42" s="3">
        <v>1228073</v>
      </c>
      <c r="F42" s="3">
        <v>6170</v>
      </c>
      <c r="G42" s="3">
        <v>2931</v>
      </c>
      <c r="H42" s="3">
        <v>5456.0564999999997</v>
      </c>
      <c r="I42" s="3">
        <v>706.59432800000002</v>
      </c>
      <c r="J42" s="3">
        <v>10049.24429610781</v>
      </c>
      <c r="K42" s="3">
        <v>9093.650827999998</v>
      </c>
      <c r="L42" s="9">
        <v>0.47504051863857372</v>
      </c>
    </row>
    <row r="43" spans="1:12">
      <c r="A43" t="s">
        <v>21</v>
      </c>
      <c r="B43" t="s">
        <v>571</v>
      </c>
      <c r="C43" t="s">
        <v>67</v>
      </c>
      <c r="D43" t="s">
        <v>58</v>
      </c>
      <c r="E43" s="3">
        <v>2641500</v>
      </c>
      <c r="F43" s="3">
        <v>13271</v>
      </c>
      <c r="G43" s="3">
        <v>6304</v>
      </c>
      <c r="H43" s="3">
        <v>11734.895999999999</v>
      </c>
      <c r="I43" s="3">
        <v>1519.864984</v>
      </c>
      <c r="J43" s="3">
        <v>21615.781690280455</v>
      </c>
      <c r="K43" s="3">
        <v>19558.760984</v>
      </c>
      <c r="L43" s="9">
        <v>0.47502072187476452</v>
      </c>
    </row>
    <row r="44" spans="1:12">
      <c r="A44" t="s">
        <v>39</v>
      </c>
      <c r="B44" t="s">
        <v>588</v>
      </c>
      <c r="C44" t="s">
        <v>88</v>
      </c>
      <c r="D44" t="s">
        <v>432</v>
      </c>
      <c r="E44" s="3">
        <v>3530779</v>
      </c>
      <c r="F44" s="3">
        <v>29390</v>
      </c>
      <c r="G44" s="3">
        <v>11479</v>
      </c>
      <c r="H44" s="3">
        <v>12892.54989384289</v>
      </c>
      <c r="I44" s="3">
        <v>0</v>
      </c>
      <c r="J44" s="3">
        <v>38027.600849256902</v>
      </c>
      <c r="K44" s="3">
        <v>24371.54989384289</v>
      </c>
      <c r="L44" s="9">
        <v>0.39057502551888401</v>
      </c>
    </row>
    <row r="45" spans="1:12">
      <c r="A45" t="s">
        <v>156</v>
      </c>
      <c r="B45" t="s">
        <v>478</v>
      </c>
      <c r="C45" t="s">
        <v>249</v>
      </c>
      <c r="D45" t="s">
        <v>248</v>
      </c>
      <c r="E45" s="3">
        <v>52026400</v>
      </c>
      <c r="F45" s="3">
        <v>200403.00000000003</v>
      </c>
      <c r="G45" s="3">
        <v>22267</v>
      </c>
      <c r="H45" s="3">
        <v>38464</v>
      </c>
      <c r="I45" s="3">
        <v>18169</v>
      </c>
      <c r="J45" s="3">
        <v>710100.00000000023</v>
      </c>
      <c r="K45" s="3">
        <v>78900</v>
      </c>
      <c r="L45" s="9">
        <v>9.9999999999999978E-2</v>
      </c>
    </row>
    <row r="46" spans="1:12">
      <c r="A46" t="s">
        <v>157</v>
      </c>
      <c r="B46" t="s">
        <v>479</v>
      </c>
      <c r="C46" t="s">
        <v>249</v>
      </c>
      <c r="D46" t="s">
        <v>248</v>
      </c>
      <c r="E46" s="3">
        <v>36559400</v>
      </c>
      <c r="F46" s="3">
        <v>140832.00000000003</v>
      </c>
      <c r="G46" s="3">
        <v>15648</v>
      </c>
      <c r="H46" s="3">
        <v>27029</v>
      </c>
      <c r="I46" s="3">
        <v>12769</v>
      </c>
      <c r="J46" s="3">
        <v>499014.00000000012</v>
      </c>
      <c r="K46" s="3">
        <v>55446</v>
      </c>
      <c r="L46" s="9">
        <v>9.9999999999999978E-2</v>
      </c>
    </row>
    <row r="47" spans="1:12">
      <c r="A47" t="s">
        <v>20</v>
      </c>
      <c r="B47" t="s">
        <v>570</v>
      </c>
      <c r="C47" t="s">
        <v>69</v>
      </c>
      <c r="D47" t="s">
        <v>58</v>
      </c>
      <c r="E47" s="3">
        <v>18451703</v>
      </c>
      <c r="F47" s="3">
        <v>92701</v>
      </c>
      <c r="G47" s="3">
        <v>33795</v>
      </c>
      <c r="H47" s="3">
        <v>62909.392499999994</v>
      </c>
      <c r="I47" s="3">
        <v>6425.2308560000001</v>
      </c>
      <c r="J47" s="3">
        <v>179758.94639468958</v>
      </c>
      <c r="K47" s="3">
        <v>103129.62335599998</v>
      </c>
      <c r="L47" s="9">
        <v>0.36455917411894156</v>
      </c>
    </row>
    <row r="48" spans="1:12">
      <c r="A48" t="s">
        <v>24</v>
      </c>
      <c r="B48" t="s">
        <v>574</v>
      </c>
      <c r="C48" t="s">
        <v>73</v>
      </c>
      <c r="D48" t="s">
        <v>58</v>
      </c>
      <c r="E48" s="3">
        <v>75247600</v>
      </c>
      <c r="F48" s="3">
        <v>378044</v>
      </c>
      <c r="G48" s="3">
        <v>170120</v>
      </c>
      <c r="H48" s="3">
        <v>316678.38</v>
      </c>
      <c r="I48" s="3">
        <v>31181.119816000002</v>
      </c>
      <c r="J48" s="3">
        <v>633084.70209112391</v>
      </c>
      <c r="K48" s="3">
        <v>517979.499816</v>
      </c>
      <c r="L48" s="9">
        <v>0.45000052903894783</v>
      </c>
    </row>
    <row r="49" spans="1:12">
      <c r="A49" t="s">
        <v>274</v>
      </c>
      <c r="B49" t="s">
        <v>505</v>
      </c>
      <c r="C49" t="s">
        <v>344</v>
      </c>
      <c r="D49" t="s">
        <v>248</v>
      </c>
      <c r="E49" s="3">
        <v>84240100</v>
      </c>
      <c r="F49" s="3">
        <v>198301.88888888893</v>
      </c>
      <c r="G49" s="3">
        <v>162247</v>
      </c>
      <c r="H49" s="3">
        <v>280262</v>
      </c>
      <c r="I49" s="3">
        <v>132390</v>
      </c>
      <c r="J49" s="3">
        <v>702654.33333333349</v>
      </c>
      <c r="K49" s="3">
        <v>574899</v>
      </c>
      <c r="L49" s="9">
        <v>0.44999999999999996</v>
      </c>
    </row>
    <row r="50" spans="1:12">
      <c r="A50" t="s">
        <v>315</v>
      </c>
      <c r="B50" t="s">
        <v>505</v>
      </c>
      <c r="C50" t="s">
        <v>344</v>
      </c>
      <c r="D50" t="s">
        <v>248</v>
      </c>
      <c r="E50" s="3">
        <v>20682794</v>
      </c>
      <c r="F50" s="3">
        <v>67287.444646599572</v>
      </c>
      <c r="G50" s="3">
        <v>21234.899999999998</v>
      </c>
      <c r="H50" s="3">
        <v>36680.81</v>
      </c>
      <c r="I50" s="3">
        <v>9389</v>
      </c>
      <c r="J50" s="3">
        <v>213269.75632475017</v>
      </c>
      <c r="K50" s="3">
        <v>67304.709999999992</v>
      </c>
      <c r="L50" s="9">
        <v>0.23988180707113363</v>
      </c>
    </row>
    <row r="51" spans="1:12">
      <c r="A51" t="s">
        <v>319</v>
      </c>
      <c r="B51" t="s">
        <v>528</v>
      </c>
      <c r="C51" t="s">
        <v>344</v>
      </c>
      <c r="D51" t="s">
        <v>248</v>
      </c>
      <c r="E51" s="3">
        <v>102514209</v>
      </c>
      <c r="F51" s="3">
        <v>362412.30417573068</v>
      </c>
      <c r="G51" s="3">
        <v>76348.5</v>
      </c>
      <c r="H51" s="3">
        <v>131883.12</v>
      </c>
      <c r="I51" s="3">
        <v>33757.449999999997</v>
      </c>
      <c r="J51" s="3">
        <v>1148677.6615656125</v>
      </c>
      <c r="K51" s="3">
        <v>241989.07</v>
      </c>
      <c r="L51" s="9">
        <v>0.17400939024950191</v>
      </c>
    </row>
    <row r="52" spans="1:12">
      <c r="A52" t="s">
        <v>680</v>
      </c>
      <c r="B52" t="s">
        <v>681</v>
      </c>
      <c r="C52" t="s">
        <v>682</v>
      </c>
      <c r="D52" t="s">
        <v>432</v>
      </c>
      <c r="E52" s="3"/>
      <c r="F52" s="3">
        <v>354289.86486486485</v>
      </c>
      <c r="G52" s="3">
        <v>208075</v>
      </c>
      <c r="H52" s="3">
        <v>234637.76595744683</v>
      </c>
      <c r="I52" s="3">
        <v>0</v>
      </c>
      <c r="J52" s="3">
        <v>753808.22311673372</v>
      </c>
      <c r="K52" s="3">
        <v>442712.76595744683</v>
      </c>
      <c r="L52" s="9">
        <v>0.16634033950167565</v>
      </c>
    </row>
    <row r="53" spans="1:12">
      <c r="A53" t="s">
        <v>128</v>
      </c>
      <c r="B53" t="s">
        <v>442</v>
      </c>
      <c r="C53" t="s">
        <v>198</v>
      </c>
      <c r="D53" t="s">
        <v>115</v>
      </c>
      <c r="E53" s="3">
        <v>16500000</v>
      </c>
      <c r="F53" s="3">
        <v>60032.666666666657</v>
      </c>
      <c r="G53" s="3">
        <v>10594</v>
      </c>
      <c r="H53" s="3">
        <v>18298</v>
      </c>
      <c r="I53" s="3">
        <v>15535</v>
      </c>
      <c r="J53" s="3">
        <v>251752.99999999994</v>
      </c>
      <c r="K53" s="3">
        <v>44427</v>
      </c>
      <c r="L53" s="9">
        <v>0.15000000000000002</v>
      </c>
    </row>
    <row r="54" spans="1:12">
      <c r="A54" t="s">
        <v>129</v>
      </c>
      <c r="B54" t="s">
        <v>442</v>
      </c>
      <c r="C54" t="s">
        <v>198</v>
      </c>
      <c r="D54" t="s">
        <v>115</v>
      </c>
      <c r="E54" s="3">
        <v>25124700</v>
      </c>
      <c r="F54" s="3">
        <v>91403.333333333314</v>
      </c>
      <c r="G54" s="3">
        <v>16130</v>
      </c>
      <c r="H54" s="3">
        <v>27863</v>
      </c>
      <c r="I54" s="3">
        <v>23655</v>
      </c>
      <c r="J54" s="3">
        <v>383338.66666666663</v>
      </c>
      <c r="K54" s="3">
        <v>67648</v>
      </c>
      <c r="L54" s="9">
        <v>0.15000000000000002</v>
      </c>
    </row>
    <row r="55" spans="1:12">
      <c r="A55" t="s">
        <v>126</v>
      </c>
      <c r="B55" t="s">
        <v>441</v>
      </c>
      <c r="C55" t="s">
        <v>340</v>
      </c>
      <c r="D55" t="s">
        <v>115</v>
      </c>
      <c r="E55" s="3">
        <v>7419900</v>
      </c>
      <c r="F55" s="3">
        <v>23817</v>
      </c>
      <c r="G55" s="3">
        <v>7939</v>
      </c>
      <c r="H55" s="3">
        <v>13714</v>
      </c>
      <c r="I55" s="3">
        <v>11643</v>
      </c>
      <c r="J55" s="3">
        <v>99888</v>
      </c>
      <c r="K55" s="3">
        <v>33296</v>
      </c>
      <c r="L55" s="9">
        <v>0.25</v>
      </c>
    </row>
    <row r="56" spans="1:12">
      <c r="A56" t="s">
        <v>127</v>
      </c>
      <c r="B56" t="s">
        <v>441</v>
      </c>
      <c r="C56" t="s">
        <v>340</v>
      </c>
      <c r="D56" t="s">
        <v>115</v>
      </c>
      <c r="E56" s="3">
        <v>37044800</v>
      </c>
      <c r="F56" s="3">
        <v>118914</v>
      </c>
      <c r="G56" s="3">
        <v>39638</v>
      </c>
      <c r="H56" s="3">
        <v>68470</v>
      </c>
      <c r="I56" s="3">
        <v>58131</v>
      </c>
      <c r="J56" s="3">
        <v>498717</v>
      </c>
      <c r="K56" s="3">
        <v>166239</v>
      </c>
      <c r="L56" s="9">
        <v>0.25</v>
      </c>
    </row>
    <row r="57" spans="1:12">
      <c r="A57" t="s">
        <v>311</v>
      </c>
      <c r="B57" t="s">
        <v>441</v>
      </c>
      <c r="C57" t="s">
        <v>340</v>
      </c>
      <c r="D57" t="s">
        <v>115</v>
      </c>
      <c r="E57" s="3">
        <v>2169357</v>
      </c>
      <c r="F57" s="3">
        <v>6445.6407654910945</v>
      </c>
      <c r="G57" s="3">
        <v>2839.2000000000003</v>
      </c>
      <c r="H57" s="3">
        <v>5768.61</v>
      </c>
      <c r="I57" s="3">
        <v>7045.4600000000009</v>
      </c>
      <c r="J57" s="3">
        <v>35536.543824048596</v>
      </c>
      <c r="K57" s="3">
        <v>15653.27</v>
      </c>
      <c r="L57" s="9">
        <v>0.30578876597996552</v>
      </c>
    </row>
    <row r="58" spans="1:12">
      <c r="A58" t="s">
        <v>3</v>
      </c>
      <c r="B58" t="s">
        <v>552</v>
      </c>
      <c r="C58" t="s">
        <v>44</v>
      </c>
      <c r="D58" t="s">
        <v>53</v>
      </c>
      <c r="E58" s="3">
        <v>9000000</v>
      </c>
      <c r="F58" s="3">
        <v>74916</v>
      </c>
      <c r="G58" s="3">
        <v>18729</v>
      </c>
      <c r="H58" s="3">
        <v>21035.331210191081</v>
      </c>
      <c r="I58" s="3">
        <v>0</v>
      </c>
      <c r="J58" s="3">
        <v>119292.99363057326</v>
      </c>
      <c r="K58" s="3">
        <v>39764.331210191085</v>
      </c>
      <c r="L58" s="9">
        <v>0.25</v>
      </c>
    </row>
    <row r="59" spans="1:12">
      <c r="A59" t="s">
        <v>290</v>
      </c>
      <c r="B59" t="s">
        <v>511</v>
      </c>
      <c r="C59" t="s">
        <v>329</v>
      </c>
      <c r="D59" t="s">
        <v>119</v>
      </c>
      <c r="E59" s="3">
        <v>31356776</v>
      </c>
      <c r="F59" s="3">
        <v>123683.69259963233</v>
      </c>
      <c r="G59" s="3">
        <v>10523.88</v>
      </c>
      <c r="H59" s="3">
        <v>21382.07</v>
      </c>
      <c r="I59" s="3">
        <v>16336.53</v>
      </c>
      <c r="J59" s="3">
        <v>566977.96502467827</v>
      </c>
      <c r="K59" s="3">
        <v>48242.479999999996</v>
      </c>
      <c r="L59" s="9">
        <v>7.8414949291980784E-2</v>
      </c>
    </row>
    <row r="60" spans="1:12">
      <c r="A60" t="s">
        <v>123</v>
      </c>
      <c r="B60" t="s">
        <v>438</v>
      </c>
      <c r="C60" t="s">
        <v>195</v>
      </c>
      <c r="D60" t="s">
        <v>116</v>
      </c>
      <c r="E60" s="3">
        <v>14000000</v>
      </c>
      <c r="F60" s="3">
        <v>41943.999999999993</v>
      </c>
      <c r="G60" s="3">
        <v>17976</v>
      </c>
      <c r="H60" s="3">
        <v>31051</v>
      </c>
      <c r="I60" s="3">
        <v>21101</v>
      </c>
      <c r="J60" s="3">
        <v>163631.99999999997</v>
      </c>
      <c r="K60" s="3">
        <v>70128</v>
      </c>
      <c r="L60" s="9">
        <v>0.30000000000000004</v>
      </c>
    </row>
    <row r="61" spans="1:12">
      <c r="A61" t="s">
        <v>164</v>
      </c>
      <c r="B61" t="s">
        <v>485</v>
      </c>
      <c r="C61" t="s">
        <v>537</v>
      </c>
      <c r="D61" t="s">
        <v>206</v>
      </c>
      <c r="E61" s="3">
        <v>64666200</v>
      </c>
      <c r="F61" s="3">
        <v>207579</v>
      </c>
      <c r="G61" s="3">
        <v>69193</v>
      </c>
      <c r="H61" s="3">
        <v>140585</v>
      </c>
      <c r="I61" s="3">
        <v>70228</v>
      </c>
      <c r="J61" s="3">
        <v>840018</v>
      </c>
      <c r="K61" s="3">
        <v>280006</v>
      </c>
      <c r="L61" s="9">
        <v>0.25</v>
      </c>
    </row>
    <row r="62" spans="1:12">
      <c r="A62" t="s">
        <v>292</v>
      </c>
      <c r="B62" t="s">
        <v>513</v>
      </c>
      <c r="C62" t="s">
        <v>332</v>
      </c>
      <c r="D62" t="s">
        <v>206</v>
      </c>
      <c r="E62" s="3">
        <v>279553</v>
      </c>
      <c r="F62" s="3">
        <v>644.54184071153304</v>
      </c>
      <c r="G62" s="3">
        <v>551.95999999999992</v>
      </c>
      <c r="H62" s="3">
        <v>1121.44</v>
      </c>
      <c r="I62" s="3">
        <v>560.19999999999993</v>
      </c>
      <c r="J62" s="3">
        <v>2608.2481618473803</v>
      </c>
      <c r="K62" s="3">
        <v>2233.6</v>
      </c>
      <c r="L62" s="9">
        <v>0.46131145078035291</v>
      </c>
    </row>
    <row r="63" spans="1:12">
      <c r="A63" t="s">
        <v>303</v>
      </c>
      <c r="B63" t="s">
        <v>513</v>
      </c>
      <c r="C63" t="s">
        <v>332</v>
      </c>
      <c r="D63" t="s">
        <v>206</v>
      </c>
      <c r="E63" s="3">
        <v>1622886</v>
      </c>
      <c r="F63" s="3">
        <v>5050.6977134417612</v>
      </c>
      <c r="G63" s="3">
        <v>1895.24</v>
      </c>
      <c r="H63" s="3">
        <v>3850.71</v>
      </c>
      <c r="I63" s="3">
        <v>1923.58</v>
      </c>
      <c r="J63" s="3">
        <v>20438.824441322995</v>
      </c>
      <c r="K63" s="3">
        <v>7669.53</v>
      </c>
      <c r="L63" s="9">
        <v>0.27285588759777335</v>
      </c>
    </row>
    <row r="64" spans="1:12">
      <c r="A64" t="s">
        <v>304</v>
      </c>
      <c r="B64" t="s">
        <v>513</v>
      </c>
      <c r="C64" t="s">
        <v>332</v>
      </c>
      <c r="D64" t="s">
        <v>206</v>
      </c>
      <c r="E64" s="3">
        <v>123818</v>
      </c>
      <c r="F64" s="3">
        <v>335.85301819384716</v>
      </c>
      <c r="G64" s="3">
        <v>194.07</v>
      </c>
      <c r="H64" s="3">
        <v>394.31</v>
      </c>
      <c r="I64" s="3">
        <v>196.97</v>
      </c>
      <c r="J64" s="3">
        <v>1359.1084033520783</v>
      </c>
      <c r="K64" s="3">
        <v>785.35</v>
      </c>
      <c r="L64" s="9">
        <v>0.36622300473275293</v>
      </c>
    </row>
    <row r="65" spans="1:12">
      <c r="A65" t="s">
        <v>305</v>
      </c>
      <c r="B65" t="s">
        <v>520</v>
      </c>
      <c r="C65" t="s">
        <v>332</v>
      </c>
      <c r="D65" t="s">
        <v>119</v>
      </c>
      <c r="E65" s="3">
        <v>2932413</v>
      </c>
      <c r="F65" s="3">
        <v>8515.6680132503025</v>
      </c>
      <c r="G65" s="3">
        <v>4035.0600000000004</v>
      </c>
      <c r="H65" s="3">
        <v>6970.09</v>
      </c>
      <c r="I65" s="3">
        <v>2168.37</v>
      </c>
      <c r="J65" s="3">
        <v>27801.649265664728</v>
      </c>
      <c r="K65" s="3">
        <v>13173.52</v>
      </c>
      <c r="L65" s="9">
        <v>0.32150007519404666</v>
      </c>
    </row>
    <row r="66" spans="1:12">
      <c r="A66" t="s">
        <v>306</v>
      </c>
      <c r="B66" t="s">
        <v>520</v>
      </c>
      <c r="C66" t="s">
        <v>332</v>
      </c>
      <c r="D66" t="s">
        <v>119</v>
      </c>
      <c r="E66" s="3">
        <v>6146187</v>
      </c>
      <c r="F66" s="3">
        <v>15640.445687613921</v>
      </c>
      <c r="G66" s="3">
        <v>10665.24</v>
      </c>
      <c r="H66" s="3">
        <v>18422.95</v>
      </c>
      <c r="I66" s="3">
        <v>5731.32</v>
      </c>
      <c r="J66" s="3">
        <v>51062.391003327619</v>
      </c>
      <c r="K66" s="3">
        <v>34819.51</v>
      </c>
      <c r="L66" s="9">
        <v>0.40543478420035056</v>
      </c>
    </row>
    <row r="67" spans="1:12">
      <c r="A67" t="s">
        <v>307</v>
      </c>
      <c r="B67" t="s">
        <v>521</v>
      </c>
      <c r="C67" t="s">
        <v>332</v>
      </c>
      <c r="D67" t="s">
        <v>248</v>
      </c>
      <c r="E67" s="3">
        <v>67586</v>
      </c>
      <c r="F67" s="3">
        <v>163.24421526339029</v>
      </c>
      <c r="G67" s="3">
        <v>126.00999999999999</v>
      </c>
      <c r="H67" s="3">
        <v>217.68</v>
      </c>
      <c r="I67" s="3">
        <v>55.72</v>
      </c>
      <c r="J67" s="3">
        <v>517.4301406106714</v>
      </c>
      <c r="K67" s="3">
        <v>399.40999999999997</v>
      </c>
      <c r="L67" s="9">
        <v>0.43563755807415738</v>
      </c>
    </row>
    <row r="68" spans="1:12">
      <c r="A68" t="s">
        <v>312</v>
      </c>
      <c r="B68" t="s">
        <v>524</v>
      </c>
      <c r="C68" t="s">
        <v>332</v>
      </c>
      <c r="D68" t="s">
        <v>119</v>
      </c>
      <c r="E68" s="3">
        <v>6307222</v>
      </c>
      <c r="F68" s="3">
        <v>17254.94528205047</v>
      </c>
      <c r="G68" s="3">
        <v>9739.9599999999991</v>
      </c>
      <c r="H68" s="3">
        <v>16824.650000000001</v>
      </c>
      <c r="I68" s="3">
        <v>5234.09</v>
      </c>
      <c r="J68" s="3">
        <v>56333.375962564358</v>
      </c>
      <c r="K68" s="3">
        <v>31798.7</v>
      </c>
      <c r="L68" s="9">
        <v>0.36080734117175517</v>
      </c>
    </row>
    <row r="69" spans="1:12">
      <c r="A69" s="3" t="s">
        <v>599</v>
      </c>
      <c r="B69" s="3" t="s">
        <v>648</v>
      </c>
      <c r="C69" s="3" t="s">
        <v>597</v>
      </c>
      <c r="D69" s="3" t="s">
        <v>643</v>
      </c>
      <c r="E69" s="3">
        <v>24097281</v>
      </c>
      <c r="F69" s="3">
        <v>143137.84914000001</v>
      </c>
      <c r="G69" s="3">
        <v>15904.207440000002</v>
      </c>
      <c r="H69" s="3">
        <v>20241.718560000001</v>
      </c>
      <c r="I69" s="3">
        <v>0</v>
      </c>
      <c r="J69" s="3">
        <v>325313.29350000003</v>
      </c>
      <c r="K69" s="3">
        <v>36145.926000000007</v>
      </c>
      <c r="L69" s="9">
        <v>0.1000000112045835</v>
      </c>
    </row>
    <row r="70" spans="1:12">
      <c r="A70" s="3" t="s">
        <v>616</v>
      </c>
      <c r="B70" s="3" t="s">
        <v>648</v>
      </c>
      <c r="C70" s="3" t="s">
        <v>597</v>
      </c>
      <c r="D70" s="3" t="s">
        <v>643</v>
      </c>
      <c r="E70" s="3">
        <v>5184235</v>
      </c>
      <c r="F70" s="3">
        <v>30794.355900000002</v>
      </c>
      <c r="G70" s="3">
        <v>3421.5885000000003</v>
      </c>
      <c r="H70" s="3">
        <v>4354.7489999999998</v>
      </c>
      <c r="I70" s="3">
        <v>0</v>
      </c>
      <c r="J70" s="3">
        <v>69987.172500000001</v>
      </c>
      <c r="K70" s="3">
        <v>7776.3375000000005</v>
      </c>
      <c r="L70" s="9">
        <v>9.9999826396725167E-2</v>
      </c>
    </row>
    <row r="71" spans="1:12">
      <c r="A71" s="3" t="s">
        <v>599</v>
      </c>
      <c r="B71" s="3" t="s">
        <v>650</v>
      </c>
      <c r="C71" s="3" t="s">
        <v>600</v>
      </c>
      <c r="D71" s="3" t="s">
        <v>643</v>
      </c>
      <c r="E71" s="3">
        <v>1838613</v>
      </c>
      <c r="F71" s="3">
        <v>10921.361220000001</v>
      </c>
      <c r="G71" s="3">
        <v>16382.0448</v>
      </c>
      <c r="H71" s="3">
        <v>20849.875199999999</v>
      </c>
      <c r="I71" s="3">
        <v>0</v>
      </c>
      <c r="J71" s="3">
        <v>24821.275500000003</v>
      </c>
      <c r="K71" s="3">
        <v>37231.920000000006</v>
      </c>
      <c r="L71" s="9">
        <v>0.60000004351105496</v>
      </c>
    </row>
    <row r="72" spans="1:12">
      <c r="A72" s="3" t="s">
        <v>618</v>
      </c>
      <c r="B72" s="3" t="s">
        <v>650</v>
      </c>
      <c r="C72" s="3" t="s">
        <v>600</v>
      </c>
      <c r="D72" s="3" t="s">
        <v>643</v>
      </c>
      <c r="E72" s="3">
        <v>4046786</v>
      </c>
      <c r="F72" s="3">
        <v>24037.908840000004</v>
      </c>
      <c r="G72" s="3">
        <v>35991.832139999999</v>
      </c>
      <c r="H72" s="3">
        <v>45807.786359999998</v>
      </c>
      <c r="I72" s="3">
        <v>0</v>
      </c>
      <c r="J72" s="3">
        <v>54631.611000000012</v>
      </c>
      <c r="K72" s="3">
        <v>81799.618499999997</v>
      </c>
      <c r="L72" s="9">
        <v>0.59956667399233532</v>
      </c>
    </row>
    <row r="73" spans="1:12">
      <c r="A73" t="s">
        <v>130</v>
      </c>
      <c r="B73" t="s">
        <v>443</v>
      </c>
      <c r="C73" t="s">
        <v>336</v>
      </c>
      <c r="D73" t="s">
        <v>199</v>
      </c>
      <c r="E73" s="3">
        <v>10220300</v>
      </c>
      <c r="F73" s="3">
        <v>39366.000000000007</v>
      </c>
      <c r="G73" s="3">
        <v>4374</v>
      </c>
      <c r="H73" s="3">
        <v>7556</v>
      </c>
      <c r="I73" s="3">
        <v>1782</v>
      </c>
      <c r="J73" s="3">
        <v>123408.00000000003</v>
      </c>
      <c r="K73" s="3">
        <v>13712</v>
      </c>
      <c r="L73" s="9">
        <v>9.9999999999999978E-2</v>
      </c>
    </row>
    <row r="74" spans="1:12">
      <c r="A74" t="s">
        <v>297</v>
      </c>
      <c r="B74" t="s">
        <v>443</v>
      </c>
      <c r="C74" t="s">
        <v>336</v>
      </c>
      <c r="D74" t="s">
        <v>199</v>
      </c>
      <c r="E74" s="3">
        <v>30430187</v>
      </c>
      <c r="F74" s="3">
        <v>37409.878844773302</v>
      </c>
      <c r="G74" s="3">
        <v>92831.32</v>
      </c>
      <c r="H74" s="3">
        <v>160355.26</v>
      </c>
      <c r="I74" s="3">
        <v>37826.589999999997</v>
      </c>
      <c r="J74" s="3">
        <v>117274.7240040691</v>
      </c>
      <c r="K74" s="3">
        <v>291013.17000000004</v>
      </c>
      <c r="L74" s="9">
        <v>0.71276463072671881</v>
      </c>
    </row>
    <row r="75" spans="1:12">
      <c r="A75" t="s">
        <v>325</v>
      </c>
      <c r="B75" t="s">
        <v>534</v>
      </c>
      <c r="C75" t="s">
        <v>336</v>
      </c>
      <c r="D75" t="s">
        <v>119</v>
      </c>
      <c r="E75" s="3">
        <v>34012650</v>
      </c>
      <c r="F75" s="3">
        <v>61049.342344453085</v>
      </c>
      <c r="G75" s="3">
        <v>84524.800000000003</v>
      </c>
      <c r="H75" s="3">
        <v>146006.72</v>
      </c>
      <c r="I75" s="3">
        <v>45422.21</v>
      </c>
      <c r="J75" s="3">
        <v>199311.84379021038</v>
      </c>
      <c r="K75" s="3">
        <v>275953.73000000004</v>
      </c>
      <c r="L75" s="9">
        <v>0.5806305889132426</v>
      </c>
    </row>
    <row r="76" spans="1:12">
      <c r="A76" t="s">
        <v>35</v>
      </c>
      <c r="B76" t="s">
        <v>585</v>
      </c>
      <c r="C76" t="s">
        <v>85</v>
      </c>
      <c r="D76" t="s">
        <v>82</v>
      </c>
      <c r="E76" s="3">
        <v>3001400</v>
      </c>
      <c r="F76" s="3">
        <v>15079</v>
      </c>
      <c r="G76" s="3">
        <v>5127</v>
      </c>
      <c r="H76" s="3">
        <v>9543.9105</v>
      </c>
      <c r="I76" s="3">
        <v>1085.5243520000001</v>
      </c>
      <c r="J76" s="3">
        <v>30584.755148645207</v>
      </c>
      <c r="K76" s="3">
        <v>15756.434852</v>
      </c>
      <c r="L76" s="9">
        <v>0.34000928443530742</v>
      </c>
    </row>
    <row r="77" spans="1:12">
      <c r="A77" t="s">
        <v>16</v>
      </c>
      <c r="B77" t="s">
        <v>566</v>
      </c>
      <c r="C77" t="s">
        <v>65</v>
      </c>
      <c r="D77" t="s">
        <v>58</v>
      </c>
      <c r="E77" s="3">
        <v>1210300</v>
      </c>
      <c r="F77" s="3">
        <v>6081</v>
      </c>
      <c r="G77" s="3">
        <v>3466</v>
      </c>
      <c r="H77" s="3">
        <v>6451.9589999999998</v>
      </c>
      <c r="I77" s="3">
        <v>570.46748000000002</v>
      </c>
      <c r="J77" s="3">
        <v>7913.2242484708577</v>
      </c>
      <c r="K77" s="3">
        <v>10488.426479999998</v>
      </c>
      <c r="L77" s="9">
        <v>0.56997204407169877</v>
      </c>
    </row>
    <row r="78" spans="1:12">
      <c r="A78" t="s">
        <v>171</v>
      </c>
      <c r="B78" t="s">
        <v>493</v>
      </c>
      <c r="C78" t="s">
        <v>262</v>
      </c>
      <c r="D78" t="s">
        <v>206</v>
      </c>
      <c r="E78" s="3">
        <v>15075700</v>
      </c>
      <c r="F78" s="3">
        <v>54841.999999999985</v>
      </c>
      <c r="G78" s="3">
        <v>9678</v>
      </c>
      <c r="H78" s="3">
        <v>19665</v>
      </c>
      <c r="I78" s="3">
        <v>12537</v>
      </c>
      <c r="J78" s="3">
        <v>237319.99999999994</v>
      </c>
      <c r="K78" s="3">
        <v>41880</v>
      </c>
      <c r="L78" s="9">
        <v>0.15000000000000002</v>
      </c>
    </row>
    <row r="79" spans="1:12">
      <c r="A79" t="s">
        <v>155</v>
      </c>
      <c r="B79" t="s">
        <v>474</v>
      </c>
      <c r="C79" t="s">
        <v>240</v>
      </c>
      <c r="D79" t="s">
        <v>247</v>
      </c>
      <c r="E79" s="3">
        <v>8813900</v>
      </c>
      <c r="F79" s="3">
        <v>32061.999999999996</v>
      </c>
      <c r="G79" s="3">
        <v>5658</v>
      </c>
      <c r="H79" s="3">
        <v>9774</v>
      </c>
      <c r="I79" s="3">
        <v>10577</v>
      </c>
      <c r="J79" s="3">
        <v>147384.33333333331</v>
      </c>
      <c r="K79" s="3">
        <v>26009</v>
      </c>
      <c r="L79" s="9">
        <v>0.15000000000000002</v>
      </c>
    </row>
    <row r="80" spans="1:12">
      <c r="A80" t="s">
        <v>141</v>
      </c>
      <c r="B80" t="s">
        <v>456</v>
      </c>
      <c r="C80" t="s">
        <v>214</v>
      </c>
      <c r="D80" t="s">
        <v>206</v>
      </c>
      <c r="E80" s="3">
        <v>15800000</v>
      </c>
      <c r="F80" s="3">
        <v>60858.000000000015</v>
      </c>
      <c r="G80" s="3">
        <v>6762</v>
      </c>
      <c r="H80" s="3">
        <v>13740</v>
      </c>
      <c r="I80" s="3">
        <v>10023</v>
      </c>
      <c r="J80" s="3">
        <v>274725.00000000006</v>
      </c>
      <c r="K80" s="3">
        <v>30525</v>
      </c>
      <c r="L80" s="9">
        <v>9.9999999999999978E-2</v>
      </c>
    </row>
    <row r="81" spans="1:12">
      <c r="A81" s="3" t="s">
        <v>283</v>
      </c>
      <c r="B81" s="3" t="s">
        <v>546</v>
      </c>
      <c r="C81" s="3" t="s">
        <v>288</v>
      </c>
      <c r="D81" s="3" t="s">
        <v>206</v>
      </c>
      <c r="E81" s="3">
        <v>40467775</v>
      </c>
      <c r="F81" s="3">
        <v>112580</v>
      </c>
      <c r="G81" s="3">
        <v>60620</v>
      </c>
      <c r="H81" s="3">
        <v>123168</v>
      </c>
      <c r="I81" s="3">
        <v>89855</v>
      </c>
      <c r="J81" s="3">
        <v>508194.14285714296</v>
      </c>
      <c r="K81" s="3">
        <v>273643</v>
      </c>
      <c r="L81" s="9">
        <v>0.35</v>
      </c>
    </row>
    <row r="82" spans="1:12">
      <c r="A82" s="3" t="s">
        <v>626</v>
      </c>
      <c r="B82" s="3" t="s">
        <v>642</v>
      </c>
      <c r="C82" s="3" t="s">
        <v>624</v>
      </c>
      <c r="D82" s="3" t="s">
        <v>668</v>
      </c>
      <c r="E82" s="3">
        <v>994292</v>
      </c>
      <c r="F82" s="3">
        <v>0</v>
      </c>
      <c r="G82" s="3">
        <v>9140.8590999999997</v>
      </c>
      <c r="H82" s="3">
        <v>17539.313399999999</v>
      </c>
      <c r="I82" s="3">
        <v>0</v>
      </c>
      <c r="J82" s="3">
        <v>11434.358000000002</v>
      </c>
      <c r="K82" s="3">
        <v>26680.172500000001</v>
      </c>
      <c r="L82" s="9">
        <v>0.70000003017222001</v>
      </c>
    </row>
    <row r="83" spans="1:12">
      <c r="A83" s="3" t="s">
        <v>603</v>
      </c>
      <c r="B83" s="3" t="s">
        <v>651</v>
      </c>
      <c r="C83" s="3" t="s">
        <v>601</v>
      </c>
      <c r="D83" s="3" t="s">
        <v>652</v>
      </c>
      <c r="E83" s="3">
        <v>6370585</v>
      </c>
      <c r="F83" s="3">
        <v>44084.448199999999</v>
      </c>
      <c r="G83" s="3">
        <v>9796.5471199999993</v>
      </c>
      <c r="H83" s="3">
        <v>10702.586160000001</v>
      </c>
      <c r="I83" s="3">
        <v>0</v>
      </c>
      <c r="J83" s="3">
        <v>92246.070800000001</v>
      </c>
      <c r="K83" s="3">
        <v>20499.133280000002</v>
      </c>
      <c r="L83" s="9">
        <v>0.18181822852043042</v>
      </c>
    </row>
    <row r="84" spans="1:12">
      <c r="A84" s="3" t="s">
        <v>620</v>
      </c>
      <c r="B84" s="3" t="s">
        <v>658</v>
      </c>
      <c r="C84" s="3" t="s">
        <v>601</v>
      </c>
      <c r="D84" s="3" t="s">
        <v>657</v>
      </c>
      <c r="E84" s="3">
        <v>5553886</v>
      </c>
      <c r="F84" s="3">
        <v>27325.119119999999</v>
      </c>
      <c r="G84" s="3">
        <v>3036.1320000000001</v>
      </c>
      <c r="H84" s="3">
        <v>4665.2759999999998</v>
      </c>
      <c r="I84" s="3">
        <v>0</v>
      </c>
      <c r="J84" s="3">
        <v>69312.497279999996</v>
      </c>
      <c r="K84" s="3">
        <v>7701.4079999999994</v>
      </c>
      <c r="L84" s="9">
        <v>0.10000022686812124</v>
      </c>
    </row>
    <row r="85" spans="1:12">
      <c r="A85" t="s">
        <v>243</v>
      </c>
      <c r="B85" t="s">
        <v>477</v>
      </c>
      <c r="C85" t="s">
        <v>246</v>
      </c>
      <c r="D85" t="s">
        <v>247</v>
      </c>
      <c r="E85" s="3">
        <v>11100237</v>
      </c>
      <c r="F85" s="3">
        <v>26131.111111111117</v>
      </c>
      <c r="G85" s="3">
        <v>21380</v>
      </c>
      <c r="H85" s="3">
        <v>36930</v>
      </c>
      <c r="I85" s="3">
        <v>39961</v>
      </c>
      <c r="J85" s="3">
        <v>120109.00000000003</v>
      </c>
      <c r="K85" s="3">
        <v>98271</v>
      </c>
      <c r="L85" s="9">
        <v>0.44999999999999996</v>
      </c>
    </row>
    <row r="86" spans="1:12">
      <c r="A86" t="s">
        <v>187</v>
      </c>
      <c r="B86" t="s">
        <v>508</v>
      </c>
      <c r="C86" t="s">
        <v>278</v>
      </c>
      <c r="D86" t="s">
        <v>119</v>
      </c>
      <c r="E86" s="3">
        <v>41038000</v>
      </c>
      <c r="F86" s="3">
        <v>166857.99999999985</v>
      </c>
      <c r="G86" s="3">
        <v>8782</v>
      </c>
      <c r="H86" s="3">
        <v>15170</v>
      </c>
      <c r="I86" s="3">
        <v>7181</v>
      </c>
      <c r="J86" s="3">
        <v>591526.99999999942</v>
      </c>
      <c r="K86" s="3">
        <v>31133</v>
      </c>
      <c r="L86" s="9">
        <v>5.0000000000000044E-2</v>
      </c>
    </row>
    <row r="87" spans="1:12">
      <c r="A87" t="s">
        <v>295</v>
      </c>
      <c r="B87" t="s">
        <v>508</v>
      </c>
      <c r="C87" t="s">
        <v>278</v>
      </c>
      <c r="D87" t="s">
        <v>119</v>
      </c>
      <c r="E87" s="3">
        <v>9970374</v>
      </c>
      <c r="F87" s="3">
        <v>13189.927535786224</v>
      </c>
      <c r="G87" s="3">
        <v>29483.27</v>
      </c>
      <c r="H87" s="3">
        <v>50928.91</v>
      </c>
      <c r="I87" s="3">
        <v>15843.81</v>
      </c>
      <c r="J87" s="3">
        <v>43062.032569160867</v>
      </c>
      <c r="K87" s="3">
        <v>96255.99</v>
      </c>
      <c r="L87" s="9">
        <v>0.69090838518193998</v>
      </c>
    </row>
    <row r="88" spans="1:12">
      <c r="A88" t="s">
        <v>136</v>
      </c>
      <c r="B88" t="s">
        <v>451</v>
      </c>
      <c r="C88" t="s">
        <v>459</v>
      </c>
      <c r="D88" t="s">
        <v>206</v>
      </c>
      <c r="E88" s="3">
        <v>4150000</v>
      </c>
      <c r="F88" s="3">
        <v>15993.000000000004</v>
      </c>
      <c r="G88" s="3">
        <v>1777</v>
      </c>
      <c r="H88" s="3">
        <v>3609</v>
      </c>
      <c r="I88" s="3">
        <v>2633</v>
      </c>
      <c r="J88" s="3">
        <v>72171.000000000015</v>
      </c>
      <c r="K88" s="3">
        <v>8019</v>
      </c>
      <c r="L88" s="9">
        <v>9.9999999999999978E-2</v>
      </c>
    </row>
    <row r="89" spans="1:12">
      <c r="A89" t="s">
        <v>139</v>
      </c>
      <c r="B89" t="s">
        <v>454</v>
      </c>
      <c r="C89" t="s">
        <v>209</v>
      </c>
      <c r="D89" t="s">
        <v>206</v>
      </c>
      <c r="E89" s="3">
        <v>19310000</v>
      </c>
      <c r="F89" s="3">
        <v>74385.000000000015</v>
      </c>
      <c r="G89" s="3">
        <v>8265</v>
      </c>
      <c r="H89" s="3">
        <v>16792</v>
      </c>
      <c r="I89" s="3">
        <v>12250</v>
      </c>
      <c r="J89" s="3">
        <v>335763.00000000006</v>
      </c>
      <c r="K89" s="3">
        <v>37307</v>
      </c>
      <c r="L89" s="9">
        <v>9.9999999999999978E-2</v>
      </c>
    </row>
    <row r="90" spans="1:12">
      <c r="A90" t="s">
        <v>184</v>
      </c>
      <c r="B90" t="s">
        <v>503</v>
      </c>
      <c r="C90" t="s">
        <v>273</v>
      </c>
      <c r="D90" t="s">
        <v>206</v>
      </c>
      <c r="E90" s="3">
        <v>42500000</v>
      </c>
      <c r="F90" s="3">
        <v>154620.66666666663</v>
      </c>
      <c r="G90" s="3">
        <v>27286</v>
      </c>
      <c r="H90" s="3">
        <v>55437</v>
      </c>
      <c r="I90" s="3">
        <v>40443</v>
      </c>
      <c r="J90" s="3">
        <v>697940.66666666651</v>
      </c>
      <c r="K90" s="3">
        <v>123166</v>
      </c>
      <c r="L90" s="9">
        <v>0.15000000000000002</v>
      </c>
    </row>
    <row r="91" spans="1:12">
      <c r="A91" t="s">
        <v>302</v>
      </c>
      <c r="B91" t="s">
        <v>519</v>
      </c>
      <c r="C91" t="s">
        <v>273</v>
      </c>
      <c r="D91" t="s">
        <v>206</v>
      </c>
      <c r="E91" s="3">
        <v>7088909</v>
      </c>
      <c r="F91" s="3">
        <v>17333.670333387516</v>
      </c>
      <c r="G91" s="3">
        <v>13006.859999999999</v>
      </c>
      <c r="H91" s="3">
        <v>26427.02</v>
      </c>
      <c r="I91" s="3">
        <v>13201.359999999999</v>
      </c>
      <c r="J91" s="3">
        <v>70144.669664986941</v>
      </c>
      <c r="K91" s="3">
        <v>52635.24</v>
      </c>
      <c r="L91" s="9">
        <v>0.42869586843335133</v>
      </c>
    </row>
    <row r="92" spans="1:12">
      <c r="A92" t="s">
        <v>7</v>
      </c>
      <c r="B92" t="s">
        <v>556</v>
      </c>
      <c r="C92" t="s">
        <v>49</v>
      </c>
      <c r="D92" t="s">
        <v>53</v>
      </c>
      <c r="E92" s="3">
        <v>6980000</v>
      </c>
      <c r="F92" s="3">
        <v>58101</v>
      </c>
      <c r="G92" s="3">
        <v>14520</v>
      </c>
      <c r="H92" s="3">
        <v>16308.025477707008</v>
      </c>
      <c r="I92" s="3">
        <v>0</v>
      </c>
      <c r="J92" s="3">
        <v>92528.66242038217</v>
      </c>
      <c r="K92" s="3">
        <v>30828.025477707008</v>
      </c>
      <c r="L92" s="9">
        <v>0.24990964010946456</v>
      </c>
    </row>
    <row r="93" spans="1:12">
      <c r="A93" t="s">
        <v>14</v>
      </c>
      <c r="B93" t="s">
        <v>564</v>
      </c>
      <c r="C93" t="s">
        <v>63</v>
      </c>
      <c r="D93" t="s">
        <v>58</v>
      </c>
      <c r="E93" s="3">
        <v>39256500</v>
      </c>
      <c r="F93" s="3">
        <v>197225</v>
      </c>
      <c r="G93" s="3">
        <v>112418</v>
      </c>
      <c r="H93" s="3">
        <v>209266.10699999999</v>
      </c>
      <c r="I93" s="3">
        <v>18500.816664000002</v>
      </c>
      <c r="J93" s="3">
        <v>256632.0591112886</v>
      </c>
      <c r="K93" s="3">
        <v>340184.92366399994</v>
      </c>
      <c r="L93" s="9">
        <v>0.56999873241221954</v>
      </c>
    </row>
    <row r="94" spans="1:12">
      <c r="A94" s="3" t="s">
        <v>606</v>
      </c>
      <c r="B94" s="3" t="s">
        <v>653</v>
      </c>
      <c r="C94" s="3" t="s">
        <v>604</v>
      </c>
      <c r="D94" s="3" t="s">
        <v>644</v>
      </c>
      <c r="E94" s="3">
        <v>19712145</v>
      </c>
      <c r="F94" s="3">
        <v>105262.85430000001</v>
      </c>
      <c r="G94" s="3">
        <v>6157.3137000000006</v>
      </c>
      <c r="H94" s="3">
        <v>8717.095800000001</v>
      </c>
      <c r="I94" s="3">
        <v>0</v>
      </c>
      <c r="J94" s="3">
        <v>254286.67050000001</v>
      </c>
      <c r="K94" s="3">
        <v>14874.4095</v>
      </c>
      <c r="L94" s="9">
        <v>5.5262111074899832E-2</v>
      </c>
    </row>
    <row r="95" spans="1:12">
      <c r="A95" s="3" t="s">
        <v>628</v>
      </c>
      <c r="B95" s="3" t="s">
        <v>653</v>
      </c>
      <c r="C95" s="3" t="s">
        <v>604</v>
      </c>
      <c r="D95" s="3" t="s">
        <v>668</v>
      </c>
      <c r="E95" s="3">
        <v>8138775</v>
      </c>
      <c r="F95" s="3">
        <v>32066.773499999999</v>
      </c>
      <c r="G95" s="3">
        <v>954.81565999999998</v>
      </c>
      <c r="H95" s="3">
        <v>1832.08284</v>
      </c>
      <c r="I95" s="3">
        <v>0</v>
      </c>
      <c r="J95" s="3">
        <v>93595.912500000006</v>
      </c>
      <c r="K95" s="3">
        <v>2786.8985000000002</v>
      </c>
      <c r="L95" s="9">
        <v>2.8914891266244559E-2</v>
      </c>
    </row>
    <row r="96" spans="1:12">
      <c r="A96" t="s">
        <v>19</v>
      </c>
      <c r="B96" t="s">
        <v>569</v>
      </c>
      <c r="C96" t="s">
        <v>68</v>
      </c>
      <c r="D96" t="s">
        <v>58</v>
      </c>
      <c r="E96" s="3">
        <v>2919400</v>
      </c>
      <c r="F96" s="3">
        <v>14667</v>
      </c>
      <c r="G96" s="3">
        <v>8360</v>
      </c>
      <c r="H96" s="3">
        <v>15562.14</v>
      </c>
      <c r="I96" s="3">
        <v>1375.8846640000002</v>
      </c>
      <c r="J96" s="3">
        <v>19085.483439694744</v>
      </c>
      <c r="K96" s="3">
        <v>25298.024664</v>
      </c>
      <c r="L96" s="9">
        <v>0.5699870457489602</v>
      </c>
    </row>
    <row r="97" spans="1:12">
      <c r="A97" t="s">
        <v>173</v>
      </c>
      <c r="B97" t="s">
        <v>495</v>
      </c>
      <c r="C97" t="s">
        <v>263</v>
      </c>
      <c r="D97" t="s">
        <v>248</v>
      </c>
      <c r="E97" s="3">
        <v>14569500</v>
      </c>
      <c r="F97" s="3">
        <v>53005.999999999993</v>
      </c>
      <c r="G97" s="3">
        <v>9354</v>
      </c>
      <c r="H97" s="3">
        <v>16157</v>
      </c>
      <c r="I97" s="3">
        <v>4136</v>
      </c>
      <c r="J97" s="3">
        <v>167999.66666666663</v>
      </c>
      <c r="K97" s="3">
        <v>29647</v>
      </c>
      <c r="L97" s="9">
        <v>0.15000000000000002</v>
      </c>
    </row>
    <row r="98" spans="1:12">
      <c r="A98" t="s">
        <v>167</v>
      </c>
      <c r="B98" t="s">
        <v>488</v>
      </c>
      <c r="C98" t="s">
        <v>540</v>
      </c>
      <c r="D98" t="s">
        <v>206</v>
      </c>
      <c r="E98" s="3">
        <v>40339000</v>
      </c>
      <c r="F98" s="3">
        <v>129486</v>
      </c>
      <c r="G98" s="3">
        <v>43162</v>
      </c>
      <c r="H98" s="3">
        <v>87697</v>
      </c>
      <c r="I98" s="3">
        <v>43808</v>
      </c>
      <c r="J98" s="3">
        <v>524001</v>
      </c>
      <c r="K98" s="3">
        <v>174667</v>
      </c>
      <c r="L98" s="9">
        <v>0.25</v>
      </c>
    </row>
    <row r="99" spans="1:12">
      <c r="A99" t="s">
        <v>166</v>
      </c>
      <c r="B99" t="s">
        <v>487</v>
      </c>
      <c r="C99" t="s">
        <v>539</v>
      </c>
      <c r="D99" t="s">
        <v>206</v>
      </c>
      <c r="E99" s="3">
        <v>63265600</v>
      </c>
      <c r="F99" s="3">
        <v>203085</v>
      </c>
      <c r="G99" s="3">
        <v>67695</v>
      </c>
      <c r="H99" s="3">
        <v>137539</v>
      </c>
      <c r="I99" s="3">
        <v>68706</v>
      </c>
      <c r="J99" s="3">
        <v>821820</v>
      </c>
      <c r="K99" s="3">
        <v>273940</v>
      </c>
      <c r="L99" s="9">
        <v>0.25</v>
      </c>
    </row>
    <row r="100" spans="1:12">
      <c r="A100" t="s">
        <v>131</v>
      </c>
      <c r="B100" t="s">
        <v>446</v>
      </c>
      <c r="C100" t="s">
        <v>203</v>
      </c>
      <c r="D100" t="s">
        <v>118</v>
      </c>
      <c r="E100" s="3">
        <v>5118575</v>
      </c>
      <c r="F100" s="3">
        <v>19719.000000000004</v>
      </c>
      <c r="G100" s="3">
        <v>2191</v>
      </c>
      <c r="H100" s="3">
        <v>3784</v>
      </c>
      <c r="I100" s="3">
        <v>0</v>
      </c>
      <c r="J100" s="3">
        <v>53775.000000000015</v>
      </c>
      <c r="K100" s="3">
        <v>5975</v>
      </c>
      <c r="L100" s="9">
        <v>9.9999999999999978E-2</v>
      </c>
    </row>
    <row r="101" spans="1:12">
      <c r="A101" t="s">
        <v>6</v>
      </c>
      <c r="B101" t="s">
        <v>555</v>
      </c>
      <c r="C101" t="s">
        <v>47</v>
      </c>
      <c r="D101" t="s">
        <v>53</v>
      </c>
      <c r="E101" s="3">
        <v>7112000</v>
      </c>
      <c r="F101" s="3">
        <v>59200</v>
      </c>
      <c r="G101" s="3">
        <v>14800</v>
      </c>
      <c r="H101" s="3">
        <v>16622.50530785563</v>
      </c>
      <c r="I101" s="3">
        <v>0</v>
      </c>
      <c r="J101" s="3">
        <v>94267.515923566883</v>
      </c>
      <c r="K101" s="3">
        <v>31422.50530785563</v>
      </c>
      <c r="L101" s="9">
        <v>0.25</v>
      </c>
    </row>
    <row r="102" spans="1:12">
      <c r="A102" t="s">
        <v>314</v>
      </c>
      <c r="B102" t="s">
        <v>444</v>
      </c>
      <c r="C102" t="s">
        <v>342</v>
      </c>
      <c r="D102" t="s">
        <v>199</v>
      </c>
      <c r="E102" s="3">
        <v>908154</v>
      </c>
      <c r="F102" s="3">
        <v>2865.2490117090133</v>
      </c>
      <c r="G102" s="3">
        <v>1021.66</v>
      </c>
      <c r="H102" s="3">
        <v>1764.8</v>
      </c>
      <c r="I102" s="3">
        <v>416.3</v>
      </c>
      <c r="J102" s="3">
        <v>8982.1515227582186</v>
      </c>
      <c r="K102" s="3">
        <v>3202.76</v>
      </c>
      <c r="L102" s="9">
        <v>0.26284638948900735</v>
      </c>
    </row>
    <row r="103" spans="1:12">
      <c r="A103" t="s">
        <v>299</v>
      </c>
      <c r="B103" t="s">
        <v>517</v>
      </c>
      <c r="C103" t="s">
        <v>518</v>
      </c>
      <c r="D103" t="s">
        <v>206</v>
      </c>
      <c r="E103" s="3">
        <v>3157774</v>
      </c>
      <c r="F103" s="3">
        <v>11398.482305104279</v>
      </c>
      <c r="G103" s="3">
        <v>2116.83</v>
      </c>
      <c r="H103" s="3">
        <v>4300.92</v>
      </c>
      <c r="I103" s="3">
        <v>2148.48</v>
      </c>
      <c r="J103" s="3">
        <v>46126.529327557444</v>
      </c>
      <c r="K103" s="3">
        <v>8566.23</v>
      </c>
      <c r="L103" s="9">
        <v>0.156624571612788</v>
      </c>
    </row>
    <row r="104" spans="1:12">
      <c r="A104" t="s">
        <v>133</v>
      </c>
      <c r="B104" t="s">
        <v>448</v>
      </c>
      <c r="C104" t="s">
        <v>205</v>
      </c>
      <c r="D104" t="s">
        <v>206</v>
      </c>
      <c r="E104" s="3">
        <v>33060000</v>
      </c>
      <c r="F104" s="3">
        <v>127350.00000000003</v>
      </c>
      <c r="G104" s="3">
        <v>14150</v>
      </c>
      <c r="H104" s="3">
        <v>28749</v>
      </c>
      <c r="I104" s="3">
        <v>20973</v>
      </c>
      <c r="J104" s="3">
        <v>574848.00000000012</v>
      </c>
      <c r="K104" s="3">
        <v>63872</v>
      </c>
      <c r="L104" s="9">
        <v>9.9999999999999978E-2</v>
      </c>
    </row>
    <row r="105" spans="1:12">
      <c r="A105" t="s">
        <v>134</v>
      </c>
      <c r="B105" t="s">
        <v>449</v>
      </c>
      <c r="C105" t="s">
        <v>207</v>
      </c>
      <c r="D105" t="s">
        <v>206</v>
      </c>
      <c r="E105" s="3">
        <v>30030000</v>
      </c>
      <c r="F105" s="3">
        <v>115677.00000000003</v>
      </c>
      <c r="G105" s="3">
        <v>12853</v>
      </c>
      <c r="H105" s="3">
        <v>26114</v>
      </c>
      <c r="I105" s="3">
        <v>19052</v>
      </c>
      <c r="J105" s="3">
        <v>522171.00000000012</v>
      </c>
      <c r="K105" s="3">
        <v>58019</v>
      </c>
      <c r="L105" s="9">
        <v>9.9999999999999978E-2</v>
      </c>
    </row>
    <row r="106" spans="1:12">
      <c r="A106" t="s">
        <v>154</v>
      </c>
      <c r="B106" t="s">
        <v>473</v>
      </c>
      <c r="C106" t="s">
        <v>239</v>
      </c>
      <c r="D106" t="s">
        <v>247</v>
      </c>
      <c r="E106" s="3">
        <v>8796900</v>
      </c>
      <c r="F106" s="3">
        <v>32005.333333333328</v>
      </c>
      <c r="G106" s="3">
        <v>5648</v>
      </c>
      <c r="H106" s="3">
        <v>9756</v>
      </c>
      <c r="I106" s="3">
        <v>10556</v>
      </c>
      <c r="J106" s="3">
        <v>147106.66666666663</v>
      </c>
      <c r="K106" s="3">
        <v>25960</v>
      </c>
      <c r="L106" s="9">
        <v>0.15000000000000002</v>
      </c>
    </row>
    <row r="107" spans="1:12">
      <c r="A107" t="s">
        <v>10</v>
      </c>
      <c r="B107" t="s">
        <v>560</v>
      </c>
      <c r="C107" t="s">
        <v>55</v>
      </c>
      <c r="D107" t="s">
        <v>54</v>
      </c>
      <c r="E107" s="3">
        <v>6896329</v>
      </c>
      <c r="F107" s="3">
        <v>57405</v>
      </c>
      <c r="G107" s="3">
        <v>18657</v>
      </c>
      <c r="H107" s="3">
        <v>20954.464968152868</v>
      </c>
      <c r="I107" s="3">
        <v>0</v>
      </c>
      <c r="J107" s="3">
        <v>82267.515923566883</v>
      </c>
      <c r="K107" s="3">
        <v>39611.464968152868</v>
      </c>
      <c r="L107" s="9">
        <v>0.3250065325320094</v>
      </c>
    </row>
    <row r="108" spans="1:12">
      <c r="A108" t="s">
        <v>321</v>
      </c>
      <c r="B108" t="s">
        <v>530</v>
      </c>
      <c r="C108" t="s">
        <v>345</v>
      </c>
      <c r="D108" t="s">
        <v>206</v>
      </c>
      <c r="E108" s="3">
        <v>6387931</v>
      </c>
      <c r="F108" s="3">
        <v>13670.175719998269</v>
      </c>
      <c r="G108" s="3">
        <v>13670.18</v>
      </c>
      <c r="H108" s="3">
        <v>27774.73</v>
      </c>
      <c r="I108" s="3">
        <v>13874.59</v>
      </c>
      <c r="J108" s="3">
        <v>55319.482679997207</v>
      </c>
      <c r="K108" s="3">
        <v>55319.5</v>
      </c>
      <c r="L108" s="9">
        <v>0.50000007827260506</v>
      </c>
    </row>
    <row r="109" spans="1:12">
      <c r="A109" s="3" t="s">
        <v>609</v>
      </c>
      <c r="B109" s="3" t="s">
        <v>654</v>
      </c>
      <c r="C109" s="3" t="s">
        <v>607</v>
      </c>
      <c r="D109" s="3" t="s">
        <v>644</v>
      </c>
      <c r="E109" s="3">
        <v>2476640</v>
      </c>
      <c r="F109" s="3">
        <v>13225.257600000001</v>
      </c>
      <c r="G109" s="3">
        <v>3306.3144000000002</v>
      </c>
      <c r="H109" s="3">
        <v>4680.8496000000005</v>
      </c>
      <c r="I109" s="3">
        <v>0</v>
      </c>
      <c r="J109" s="3">
        <v>31948.656000000003</v>
      </c>
      <c r="K109" s="3">
        <v>7987.1640000000007</v>
      </c>
      <c r="L109" s="9">
        <v>0.19999999999999998</v>
      </c>
    </row>
    <row r="110" spans="1:12">
      <c r="A110" t="s">
        <v>124</v>
      </c>
      <c r="B110" t="s">
        <v>439</v>
      </c>
      <c r="C110" t="s">
        <v>196</v>
      </c>
      <c r="D110" t="s">
        <v>115</v>
      </c>
      <c r="E110" s="3">
        <v>22359300</v>
      </c>
      <c r="F110" s="3">
        <v>52633.777777777781</v>
      </c>
      <c r="G110" s="3">
        <v>43064</v>
      </c>
      <c r="H110" s="3">
        <v>74388</v>
      </c>
      <c r="I110" s="3">
        <v>63155</v>
      </c>
      <c r="J110" s="3">
        <v>220741.88888888893</v>
      </c>
      <c r="K110" s="3">
        <v>180607</v>
      </c>
      <c r="L110" s="9">
        <v>0.44999999999999996</v>
      </c>
    </row>
    <row r="111" spans="1:12">
      <c r="A111" t="s">
        <v>177</v>
      </c>
      <c r="B111" t="s">
        <v>497</v>
      </c>
      <c r="C111" t="s">
        <v>267</v>
      </c>
      <c r="D111" t="s">
        <v>206</v>
      </c>
      <c r="E111" s="3">
        <v>32081300</v>
      </c>
      <c r="F111" s="3">
        <v>82384.499999999985</v>
      </c>
      <c r="G111" s="3">
        <v>54923</v>
      </c>
      <c r="H111" s="3">
        <v>111591</v>
      </c>
      <c r="I111" s="3">
        <v>81410</v>
      </c>
      <c r="J111" s="3">
        <v>371886</v>
      </c>
      <c r="K111" s="3">
        <v>247924</v>
      </c>
      <c r="L111" s="9">
        <v>0.4</v>
      </c>
    </row>
    <row r="112" spans="1:12">
      <c r="A112" t="s">
        <v>132</v>
      </c>
      <c r="B112" t="s">
        <v>447</v>
      </c>
      <c r="C112" t="s">
        <v>204</v>
      </c>
      <c r="D112" t="s">
        <v>118</v>
      </c>
      <c r="E112" s="3">
        <v>3800000</v>
      </c>
      <c r="F112" s="3">
        <v>13826.666666666664</v>
      </c>
      <c r="G112" s="3">
        <v>2440</v>
      </c>
      <c r="H112" s="3">
        <v>4214</v>
      </c>
      <c r="I112" s="3">
        <v>2877</v>
      </c>
      <c r="J112" s="3">
        <v>54008.999999999993</v>
      </c>
      <c r="K112" s="3">
        <v>9531</v>
      </c>
      <c r="L112" s="9">
        <v>0.15000000000000002</v>
      </c>
    </row>
    <row r="113" spans="1:12">
      <c r="A113" s="3" t="s">
        <v>631</v>
      </c>
      <c r="B113" s="3" t="s">
        <v>659</v>
      </c>
      <c r="C113" s="3" t="s">
        <v>629</v>
      </c>
      <c r="D113" s="3" t="s">
        <v>668</v>
      </c>
      <c r="E113" s="3">
        <v>0</v>
      </c>
      <c r="F113" s="3">
        <v>0</v>
      </c>
      <c r="G113" s="3">
        <v>33634.203999999998</v>
      </c>
      <c r="H113" s="3">
        <v>64536.696000000004</v>
      </c>
      <c r="I113" s="3">
        <v>0</v>
      </c>
      <c r="J113" s="3">
        <v>0</v>
      </c>
      <c r="K113" s="3">
        <v>98170.900000000009</v>
      </c>
      <c r="L113" s="9">
        <v>1</v>
      </c>
    </row>
    <row r="114" spans="1:12">
      <c r="A114" t="s">
        <v>158</v>
      </c>
      <c r="B114" t="s">
        <v>480</v>
      </c>
      <c r="C114" t="s">
        <v>250</v>
      </c>
      <c r="D114" t="s">
        <v>248</v>
      </c>
      <c r="E114" s="3">
        <v>73484000</v>
      </c>
      <c r="F114" s="3">
        <v>267330.66666666663</v>
      </c>
      <c r="G114" s="3">
        <v>47176</v>
      </c>
      <c r="H114" s="3">
        <v>81492</v>
      </c>
      <c r="I114" s="3">
        <v>38495</v>
      </c>
      <c r="J114" s="3">
        <v>947256.99999999977</v>
      </c>
      <c r="K114" s="3">
        <v>167163</v>
      </c>
      <c r="L114" s="9">
        <v>0.15000000000000002</v>
      </c>
    </row>
    <row r="115" spans="1:12">
      <c r="A115" t="s">
        <v>301</v>
      </c>
      <c r="B115" t="s">
        <v>480</v>
      </c>
      <c r="C115" t="s">
        <v>250</v>
      </c>
      <c r="D115" t="s">
        <v>248</v>
      </c>
      <c r="E115" s="3">
        <v>2555120</v>
      </c>
      <c r="F115" s="3">
        <v>9082.3714476904734</v>
      </c>
      <c r="G115" s="3">
        <v>1853.57</v>
      </c>
      <c r="H115" s="3">
        <v>3201.82</v>
      </c>
      <c r="I115" s="3">
        <v>819.55</v>
      </c>
      <c r="J115" s="3">
        <v>28786.820736683632</v>
      </c>
      <c r="K115" s="3">
        <v>5874.9400000000005</v>
      </c>
      <c r="L115" s="9">
        <v>0.16949340931150006</v>
      </c>
    </row>
    <row r="116" spans="1:12" s="3" customFormat="1">
      <c r="A116" t="s">
        <v>137</v>
      </c>
      <c r="B116" t="s">
        <v>452</v>
      </c>
      <c r="C116" t="s">
        <v>210</v>
      </c>
      <c r="D116" t="s">
        <v>206</v>
      </c>
      <c r="E116" s="3">
        <v>12300200</v>
      </c>
      <c r="F116" s="3">
        <v>47376.000000000015</v>
      </c>
      <c r="G116" s="3">
        <v>5264</v>
      </c>
      <c r="H116" s="3">
        <v>10696</v>
      </c>
      <c r="I116" s="3">
        <v>7803</v>
      </c>
      <c r="J116" s="3">
        <v>213867.00000000006</v>
      </c>
      <c r="K116" s="3">
        <v>23763</v>
      </c>
      <c r="L116" s="9">
        <v>9.9999999999999978E-2</v>
      </c>
    </row>
    <row r="117" spans="1:12" s="3" customFormat="1">
      <c r="A117" s="3" t="s">
        <v>661</v>
      </c>
      <c r="B117" s="3" t="s">
        <v>662</v>
      </c>
      <c r="C117" s="3" t="s">
        <v>632</v>
      </c>
      <c r="D117" s="3" t="s">
        <v>668</v>
      </c>
      <c r="E117" s="3">
        <v>57908</v>
      </c>
      <c r="F117" s="3">
        <v>228.15752000000001</v>
      </c>
      <c r="G117" s="3">
        <v>45810.59276</v>
      </c>
      <c r="H117" s="3">
        <v>87900.528240000014</v>
      </c>
      <c r="I117" s="3">
        <v>0</v>
      </c>
      <c r="J117" s="3">
        <v>665.94200000000001</v>
      </c>
      <c r="K117" s="3">
        <v>133711.12100000001</v>
      </c>
      <c r="L117" s="9">
        <v>0.99504422864190734</v>
      </c>
    </row>
    <row r="118" spans="1:12" s="3" customFormat="1">
      <c r="A118" t="s">
        <v>15</v>
      </c>
      <c r="B118" t="s">
        <v>565</v>
      </c>
      <c r="C118" t="s">
        <v>64</v>
      </c>
      <c r="D118" t="s">
        <v>58</v>
      </c>
      <c r="E118" s="3">
        <v>2784000</v>
      </c>
      <c r="F118" s="3">
        <v>13986</v>
      </c>
      <c r="G118" s="3">
        <v>7972</v>
      </c>
      <c r="H118" s="3">
        <v>14839.877999999999</v>
      </c>
      <c r="I118" s="3">
        <v>1311.966128</v>
      </c>
      <c r="J118" s="3">
        <v>18198.795607851476</v>
      </c>
      <c r="K118" s="3">
        <v>24123.844127999997</v>
      </c>
      <c r="L118" s="9">
        <v>0.56999856999857001</v>
      </c>
    </row>
    <row r="119" spans="1:12" s="3" customFormat="1">
      <c r="A119" t="s">
        <v>151</v>
      </c>
      <c r="B119" t="s">
        <v>467</v>
      </c>
      <c r="C119" t="s">
        <v>233</v>
      </c>
      <c r="D119" t="s">
        <v>206</v>
      </c>
      <c r="E119" s="3">
        <v>4521000</v>
      </c>
      <c r="F119" s="3">
        <v>17415.000000000004</v>
      </c>
      <c r="G119" s="3">
        <v>1935</v>
      </c>
      <c r="H119" s="3">
        <v>3932</v>
      </c>
      <c r="I119" s="3">
        <v>2868</v>
      </c>
      <c r="J119" s="3">
        <v>78615.000000000015</v>
      </c>
      <c r="K119" s="3">
        <v>8735</v>
      </c>
      <c r="L119" s="9">
        <v>9.9999999999999978E-2</v>
      </c>
    </row>
    <row r="120" spans="1:12">
      <c r="A120" t="s">
        <v>152</v>
      </c>
      <c r="B120" t="s">
        <v>468</v>
      </c>
      <c r="C120" t="s">
        <v>233</v>
      </c>
      <c r="D120" t="s">
        <v>206</v>
      </c>
      <c r="E120" s="3">
        <v>31187800</v>
      </c>
      <c r="F120" s="3">
        <v>120141.00000000003</v>
      </c>
      <c r="G120" s="3">
        <v>13349</v>
      </c>
      <c r="H120" s="3">
        <v>27121</v>
      </c>
      <c r="I120" s="3">
        <v>19786</v>
      </c>
      <c r="J120" s="3">
        <v>542304.00000000012</v>
      </c>
      <c r="K120" s="3">
        <v>60256</v>
      </c>
      <c r="L120" s="9">
        <v>9.9999999999999978E-2</v>
      </c>
    </row>
    <row r="121" spans="1:12">
      <c r="A121" t="s">
        <v>142</v>
      </c>
      <c r="B121" t="s">
        <v>458</v>
      </c>
      <c r="C121" t="s">
        <v>212</v>
      </c>
      <c r="D121" t="s">
        <v>206</v>
      </c>
      <c r="E121" s="3">
        <v>4440900</v>
      </c>
      <c r="F121" s="3">
        <v>18049.999999999985</v>
      </c>
      <c r="G121" s="3">
        <v>950</v>
      </c>
      <c r="H121" s="3">
        <v>1931</v>
      </c>
      <c r="I121" s="3">
        <v>1408</v>
      </c>
      <c r="J121" s="3">
        <v>81490.999999999927</v>
      </c>
      <c r="K121" s="3">
        <v>4289</v>
      </c>
      <c r="L121" s="9">
        <v>5.0000000000000044E-2</v>
      </c>
    </row>
    <row r="122" spans="1:12">
      <c r="A122" t="s">
        <v>143</v>
      </c>
      <c r="B122" t="s">
        <v>458</v>
      </c>
      <c r="C122" t="s">
        <v>212</v>
      </c>
      <c r="D122" t="s">
        <v>206</v>
      </c>
      <c r="E122" s="3">
        <v>187000000</v>
      </c>
      <c r="F122" s="3">
        <v>760341.9999999993</v>
      </c>
      <c r="G122" s="3">
        <v>40018</v>
      </c>
      <c r="H122" s="3">
        <v>81308</v>
      </c>
      <c r="I122" s="3">
        <v>59316</v>
      </c>
      <c r="J122" s="3">
        <v>3432197.9999999967</v>
      </c>
      <c r="K122" s="3">
        <v>180642</v>
      </c>
      <c r="L122" s="9">
        <v>5.0000000000000044E-2</v>
      </c>
    </row>
    <row r="123" spans="1:12">
      <c r="A123" t="s">
        <v>144</v>
      </c>
      <c r="B123" t="s">
        <v>458</v>
      </c>
      <c r="C123" t="s">
        <v>212</v>
      </c>
      <c r="D123" t="s">
        <v>206</v>
      </c>
      <c r="E123" s="3">
        <v>337500</v>
      </c>
      <c r="F123" s="3">
        <v>1296.0000000000002</v>
      </c>
      <c r="G123" s="3">
        <v>144</v>
      </c>
      <c r="H123" s="3">
        <v>293</v>
      </c>
      <c r="I123" s="3">
        <v>215</v>
      </c>
      <c r="J123" s="3">
        <v>5868.0000000000018</v>
      </c>
      <c r="K123" s="3">
        <v>652</v>
      </c>
      <c r="L123" s="9">
        <v>9.9999999999999978E-2</v>
      </c>
    </row>
    <row r="124" spans="1:12">
      <c r="A124" t="s">
        <v>145</v>
      </c>
      <c r="B124" t="s">
        <v>458</v>
      </c>
      <c r="C124" t="s">
        <v>212</v>
      </c>
      <c r="D124" t="s">
        <v>206</v>
      </c>
      <c r="E124" s="3">
        <v>8343000</v>
      </c>
      <c r="F124" s="3">
        <v>32130.000000000007</v>
      </c>
      <c r="G124" s="3">
        <v>3570</v>
      </c>
      <c r="H124" s="3">
        <v>7255</v>
      </c>
      <c r="I124" s="3">
        <v>5293</v>
      </c>
      <c r="J124" s="3">
        <v>145062.00000000003</v>
      </c>
      <c r="K124" s="3">
        <v>16118</v>
      </c>
      <c r="L124" s="9">
        <v>9.9999999999999978E-2</v>
      </c>
    </row>
    <row r="125" spans="1:12">
      <c r="A125" t="s">
        <v>185</v>
      </c>
      <c r="B125" t="s">
        <v>504</v>
      </c>
      <c r="C125" t="s">
        <v>272</v>
      </c>
      <c r="D125" t="s">
        <v>206</v>
      </c>
      <c r="E125" s="3">
        <v>1600000</v>
      </c>
      <c r="F125" s="3">
        <v>5819.6666666666652</v>
      </c>
      <c r="G125" s="3">
        <v>1027</v>
      </c>
      <c r="H125" s="3">
        <v>2087</v>
      </c>
      <c r="I125" s="3">
        <v>1522</v>
      </c>
      <c r="J125" s="3">
        <v>26270.666666666661</v>
      </c>
      <c r="K125" s="3">
        <v>4636</v>
      </c>
      <c r="L125" s="9">
        <v>0.15000000000000002</v>
      </c>
    </row>
    <row r="126" spans="1:12">
      <c r="A126" t="s">
        <v>242</v>
      </c>
      <c r="B126" t="s">
        <v>476</v>
      </c>
      <c r="C126" t="s">
        <v>535</v>
      </c>
      <c r="D126" t="s">
        <v>206</v>
      </c>
      <c r="E126" s="3">
        <v>61517000</v>
      </c>
      <c r="F126" s="3">
        <v>144810.11111111112</v>
      </c>
      <c r="G126" s="3">
        <v>118481</v>
      </c>
      <c r="H126" s="3">
        <v>240728</v>
      </c>
      <c r="I126" s="3">
        <v>175619</v>
      </c>
      <c r="J126" s="3">
        <v>653678.66666666674</v>
      </c>
      <c r="K126" s="3">
        <v>534828</v>
      </c>
      <c r="L126" s="9">
        <v>0.44999999999999996</v>
      </c>
    </row>
    <row r="127" spans="1:12">
      <c r="A127" t="s">
        <v>201</v>
      </c>
      <c r="B127" t="s">
        <v>444</v>
      </c>
      <c r="C127" t="s">
        <v>200</v>
      </c>
      <c r="D127" t="s">
        <v>199</v>
      </c>
      <c r="E127" s="3">
        <v>9900000</v>
      </c>
      <c r="F127" s="3">
        <v>29661.333333333328</v>
      </c>
      <c r="G127" s="3">
        <v>12712</v>
      </c>
      <c r="H127" s="3">
        <v>21958</v>
      </c>
      <c r="I127" s="3">
        <v>5180</v>
      </c>
      <c r="J127" s="3">
        <v>92983.333333333314</v>
      </c>
      <c r="K127" s="3">
        <v>39850</v>
      </c>
      <c r="L127" s="9">
        <v>0.30000000000000004</v>
      </c>
    </row>
    <row r="128" spans="1:12">
      <c r="A128" s="3" t="s">
        <v>635</v>
      </c>
      <c r="B128" s="3" t="s">
        <v>663</v>
      </c>
      <c r="C128" s="3" t="s">
        <v>633</v>
      </c>
      <c r="D128" s="3" t="s">
        <v>664</v>
      </c>
      <c r="E128" s="3">
        <v>5488466</v>
      </c>
      <c r="F128" s="3">
        <v>15126.212296</v>
      </c>
      <c r="G128" s="3">
        <v>3960.5676760000001</v>
      </c>
      <c r="H128" s="3">
        <v>10329.666348000001</v>
      </c>
      <c r="I128" s="3">
        <v>0</v>
      </c>
      <c r="J128" s="3">
        <v>66908.791312799993</v>
      </c>
      <c r="K128" s="3">
        <v>17519.045146800003</v>
      </c>
      <c r="L128" s="9">
        <v>0.20750318711747556</v>
      </c>
    </row>
    <row r="129" spans="1:12">
      <c r="A129" t="s">
        <v>294</v>
      </c>
      <c r="B129" t="s">
        <v>515</v>
      </c>
      <c r="C129" t="s">
        <v>334</v>
      </c>
      <c r="D129" t="s">
        <v>247</v>
      </c>
      <c r="E129" s="3">
        <v>13770497</v>
      </c>
      <c r="F129" s="3">
        <v>47504.300459110367</v>
      </c>
      <c r="G129" s="3">
        <v>11433.43</v>
      </c>
      <c r="H129" s="3">
        <v>19749.919999999998</v>
      </c>
      <c r="I129" s="3">
        <v>16028.17</v>
      </c>
      <c r="J129" s="3">
        <v>196157.25387843352</v>
      </c>
      <c r="K129" s="3">
        <v>47211.519999999997</v>
      </c>
      <c r="L129" s="9">
        <v>0.19399169107694517</v>
      </c>
    </row>
    <row r="130" spans="1:12">
      <c r="A130" t="s">
        <v>313</v>
      </c>
      <c r="B130" t="s">
        <v>525</v>
      </c>
      <c r="C130" t="s">
        <v>341</v>
      </c>
      <c r="D130" t="s">
        <v>331</v>
      </c>
      <c r="E130" s="3">
        <v>19192099</v>
      </c>
      <c r="F130" s="3">
        <v>57669.213784919222</v>
      </c>
      <c r="G130" s="3">
        <v>24472.959999999999</v>
      </c>
      <c r="H130" s="3">
        <v>42274.18</v>
      </c>
      <c r="I130" s="3">
        <v>26483.41</v>
      </c>
      <c r="J130" s="3">
        <v>219692.77599585833</v>
      </c>
      <c r="K130" s="3">
        <v>93230.55</v>
      </c>
      <c r="L130" s="9">
        <v>0.29793416551258933</v>
      </c>
    </row>
    <row r="131" spans="1:12">
      <c r="A131" t="s">
        <v>38</v>
      </c>
      <c r="B131" t="s">
        <v>587</v>
      </c>
      <c r="C131" t="s">
        <v>87</v>
      </c>
      <c r="D131" t="s">
        <v>53</v>
      </c>
      <c r="E131" s="3">
        <v>4254200</v>
      </c>
      <c r="F131" s="3">
        <v>35412</v>
      </c>
      <c r="G131" s="3">
        <v>6267</v>
      </c>
      <c r="H131" s="3">
        <v>7038.7324840764331</v>
      </c>
      <c r="I131" s="3">
        <v>0</v>
      </c>
      <c r="J131" s="3">
        <v>61878.980891719752</v>
      </c>
      <c r="K131" s="3">
        <v>13305.732484076434</v>
      </c>
      <c r="L131" s="9">
        <v>0.1769739071501186</v>
      </c>
    </row>
    <row r="132" spans="1:12">
      <c r="A132" t="s">
        <v>4</v>
      </c>
      <c r="B132" t="s">
        <v>553</v>
      </c>
      <c r="C132" t="s">
        <v>45</v>
      </c>
      <c r="D132" t="s">
        <v>53</v>
      </c>
      <c r="E132" s="3">
        <v>10051745</v>
      </c>
      <c r="F132" s="3">
        <v>83671</v>
      </c>
      <c r="G132" s="3">
        <v>20918</v>
      </c>
      <c r="H132" s="3">
        <v>23493.889596602978</v>
      </c>
      <c r="I132" s="3">
        <v>0</v>
      </c>
      <c r="J132" s="3">
        <v>133233.54564755844</v>
      </c>
      <c r="K132" s="3">
        <v>44411.889596602981</v>
      </c>
      <c r="L132" s="9">
        <v>0.2500029878930573</v>
      </c>
    </row>
    <row r="133" spans="1:12">
      <c r="A133" t="s">
        <v>148</v>
      </c>
      <c r="B133" t="s">
        <v>463</v>
      </c>
      <c r="C133" t="s">
        <v>230</v>
      </c>
      <c r="D133" t="s">
        <v>206</v>
      </c>
      <c r="E133" s="3">
        <v>7900000</v>
      </c>
      <c r="F133" s="3">
        <v>30429.000000000007</v>
      </c>
      <c r="G133" s="3">
        <v>3381</v>
      </c>
      <c r="H133" s="3">
        <v>6870</v>
      </c>
      <c r="I133" s="3">
        <v>5012</v>
      </c>
      <c r="J133" s="3">
        <v>137367.00000000003</v>
      </c>
      <c r="K133" s="3">
        <v>15263</v>
      </c>
      <c r="L133" s="9">
        <v>9.9999999999999978E-2</v>
      </c>
    </row>
    <row r="134" spans="1:12">
      <c r="A134" t="s">
        <v>146</v>
      </c>
      <c r="B134" t="s">
        <v>461</v>
      </c>
      <c r="C134" t="s">
        <v>460</v>
      </c>
      <c r="D134" t="s">
        <v>206</v>
      </c>
      <c r="E134" s="3">
        <v>16270000</v>
      </c>
      <c r="F134" s="3">
        <v>62676.000000000015</v>
      </c>
      <c r="G134" s="3">
        <v>6964</v>
      </c>
      <c r="H134" s="3">
        <v>14148</v>
      </c>
      <c r="I134" s="3">
        <v>10321</v>
      </c>
      <c r="J134" s="3">
        <v>282897.00000000006</v>
      </c>
      <c r="K134" s="3">
        <v>31433</v>
      </c>
      <c r="L134" s="9">
        <v>9.9999999999999978E-2</v>
      </c>
    </row>
    <row r="135" spans="1:12">
      <c r="A135" t="s">
        <v>9</v>
      </c>
      <c r="B135" t="s">
        <v>558</v>
      </c>
      <c r="C135" t="s">
        <v>559</v>
      </c>
      <c r="D135" t="s">
        <v>54</v>
      </c>
      <c r="E135" s="3">
        <v>17500000</v>
      </c>
      <c r="F135" s="3">
        <v>145670</v>
      </c>
      <c r="G135" s="3">
        <v>18937</v>
      </c>
      <c r="H135" s="3">
        <v>21268.944798301487</v>
      </c>
      <c r="I135" s="3">
        <v>0</v>
      </c>
      <c r="J135" s="3">
        <v>269072.18683651806</v>
      </c>
      <c r="K135" s="3">
        <v>40205.944798301483</v>
      </c>
      <c r="L135" s="9">
        <v>0.12999931351685315</v>
      </c>
    </row>
    <row r="136" spans="1:12">
      <c r="A136" t="s">
        <v>26</v>
      </c>
      <c r="B136" t="s">
        <v>576</v>
      </c>
      <c r="C136" t="s">
        <v>76</v>
      </c>
      <c r="D136" t="s">
        <v>58</v>
      </c>
      <c r="E136" s="3">
        <v>3174400</v>
      </c>
      <c r="F136" s="3">
        <v>15948</v>
      </c>
      <c r="G136" s="3">
        <v>13556</v>
      </c>
      <c r="H136" s="3">
        <v>25234.493999999999</v>
      </c>
      <c r="I136" s="3">
        <v>521.81958400000008</v>
      </c>
      <c r="J136" s="3">
        <v>6936.7847516175825</v>
      </c>
      <c r="K136" s="3">
        <v>39312.313583999996</v>
      </c>
      <c r="L136" s="9">
        <v>0.8500125407574618</v>
      </c>
    </row>
    <row r="137" spans="1:12">
      <c r="A137" t="s">
        <v>32</v>
      </c>
      <c r="B137" t="s">
        <v>582</v>
      </c>
      <c r="C137" t="s">
        <v>76</v>
      </c>
      <c r="D137" t="s">
        <v>58</v>
      </c>
      <c r="E137" s="3">
        <v>32123300</v>
      </c>
      <c r="F137" s="3">
        <v>161388</v>
      </c>
      <c r="G137" s="3">
        <v>48416</v>
      </c>
      <c r="H137" s="3">
        <v>90126.383999999991</v>
      </c>
      <c r="I137" s="3">
        <v>12322.533872</v>
      </c>
      <c r="J137" s="3">
        <v>352022.2963862273</v>
      </c>
      <c r="K137" s="3">
        <v>150864.91787199999</v>
      </c>
      <c r="L137" s="9">
        <v>0.29999752150097903</v>
      </c>
    </row>
    <row r="138" spans="1:12">
      <c r="A138" t="s">
        <v>161</v>
      </c>
      <c r="B138" t="s">
        <v>482</v>
      </c>
      <c r="C138" t="s">
        <v>252</v>
      </c>
      <c r="D138" t="s">
        <v>206</v>
      </c>
      <c r="E138" s="3">
        <v>135494500</v>
      </c>
      <c r="F138" s="3">
        <v>434937</v>
      </c>
      <c r="G138" s="3">
        <v>144979</v>
      </c>
      <c r="H138" s="3">
        <v>294565</v>
      </c>
      <c r="I138" s="3">
        <v>187795</v>
      </c>
      <c r="J138" s="3">
        <v>1882017</v>
      </c>
      <c r="K138" s="3">
        <v>627339</v>
      </c>
      <c r="L138" s="9">
        <v>0.25</v>
      </c>
    </row>
    <row r="139" spans="1:12">
      <c r="A139" t="s">
        <v>27</v>
      </c>
      <c r="B139" t="s">
        <v>577</v>
      </c>
      <c r="C139" t="s">
        <v>77</v>
      </c>
      <c r="D139" t="s">
        <v>432</v>
      </c>
      <c r="E139" s="3">
        <v>2167300</v>
      </c>
      <c r="F139" s="3">
        <v>18040</v>
      </c>
      <c r="G139" s="3">
        <v>11726</v>
      </c>
      <c r="H139" s="3">
        <v>13169.966029723992</v>
      </c>
      <c r="I139" s="3">
        <v>0</v>
      </c>
      <c r="J139" s="3">
        <v>13405.520169851377</v>
      </c>
      <c r="K139" s="3">
        <v>24895.96602972399</v>
      </c>
      <c r="L139" s="9">
        <v>0.65</v>
      </c>
    </row>
    <row r="140" spans="1:12">
      <c r="A140" t="s">
        <v>41</v>
      </c>
      <c r="B140" t="s">
        <v>590</v>
      </c>
      <c r="C140" t="s">
        <v>90</v>
      </c>
      <c r="D140" t="s">
        <v>432</v>
      </c>
      <c r="E140" s="3">
        <v>103700</v>
      </c>
      <c r="F140" s="3">
        <v>863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9">
        <v>0</v>
      </c>
    </row>
    <row r="141" spans="1:12">
      <c r="A141" t="s">
        <v>275</v>
      </c>
      <c r="B141" t="s">
        <v>506</v>
      </c>
      <c r="C141" t="s">
        <v>542</v>
      </c>
      <c r="D141" t="s">
        <v>206</v>
      </c>
      <c r="E141" s="3">
        <v>61260900</v>
      </c>
      <c r="F141" s="3">
        <v>131098</v>
      </c>
      <c r="G141" s="3">
        <v>131098</v>
      </c>
      <c r="H141" s="3">
        <v>266362</v>
      </c>
      <c r="I141" s="3">
        <v>133058</v>
      </c>
      <c r="J141" s="3">
        <v>530518</v>
      </c>
      <c r="K141" s="3">
        <v>530518</v>
      </c>
      <c r="L141" s="9">
        <v>0.5</v>
      </c>
    </row>
    <row r="142" spans="1:12">
      <c r="A142" t="s">
        <v>31</v>
      </c>
      <c r="B142" t="s">
        <v>581</v>
      </c>
      <c r="C142" t="s">
        <v>81</v>
      </c>
      <c r="D142" t="s">
        <v>58</v>
      </c>
      <c r="E142" s="3">
        <v>65184300</v>
      </c>
      <c r="F142" s="3">
        <v>327486</v>
      </c>
      <c r="G142" s="3">
        <v>128162</v>
      </c>
      <c r="H142" s="3">
        <v>238573.56299999999</v>
      </c>
      <c r="I142" s="3">
        <v>21741.464624</v>
      </c>
      <c r="J142" s="3">
        <v>604179.04725368018</v>
      </c>
      <c r="K142" s="3">
        <v>388477.02762399998</v>
      </c>
      <c r="L142" s="9">
        <v>0.39135108065688307</v>
      </c>
    </row>
    <row r="143" spans="1:12">
      <c r="A143" t="s">
        <v>391</v>
      </c>
      <c r="B143" t="s">
        <v>419</v>
      </c>
      <c r="C143" t="s">
        <v>355</v>
      </c>
      <c r="D143" t="s">
        <v>669</v>
      </c>
      <c r="E143" s="3">
        <v>55728300</v>
      </c>
      <c r="F143" s="3">
        <v>117484.06000000001</v>
      </c>
      <c r="G143" s="3">
        <v>176226.36000000002</v>
      </c>
      <c r="H143" s="3">
        <v>292239.38</v>
      </c>
      <c r="I143" s="3"/>
      <c r="J143" s="3">
        <v>312310.03000000003</v>
      </c>
      <c r="K143" s="3">
        <v>468465.74</v>
      </c>
      <c r="L143" s="9">
        <v>0.60000035605613122</v>
      </c>
    </row>
    <row r="144" spans="1:12">
      <c r="A144" s="3" t="s">
        <v>612</v>
      </c>
      <c r="B144" s="3" t="s">
        <v>655</v>
      </c>
      <c r="C144" s="3" t="s">
        <v>611</v>
      </c>
      <c r="D144" s="3" t="s">
        <v>652</v>
      </c>
      <c r="E144" s="3">
        <v>23109000</v>
      </c>
      <c r="F144" s="3">
        <v>159914.28</v>
      </c>
      <c r="G144" s="3">
        <v>39981.054279999997</v>
      </c>
      <c r="H144" s="3">
        <v>43678.724040000001</v>
      </c>
      <c r="I144" s="3">
        <v>0</v>
      </c>
      <c r="J144" s="3">
        <v>334618.32</v>
      </c>
      <c r="K144" s="3">
        <v>83659.778320000012</v>
      </c>
      <c r="L144" s="9">
        <v>0.20000994232310207</v>
      </c>
    </row>
    <row r="145" spans="1:12">
      <c r="A145" s="3" t="s">
        <v>637</v>
      </c>
      <c r="B145" s="3" t="s">
        <v>655</v>
      </c>
      <c r="C145" s="3" t="s">
        <v>611</v>
      </c>
      <c r="D145" s="3" t="s">
        <v>657</v>
      </c>
      <c r="E145" s="3">
        <v>2966778</v>
      </c>
      <c r="F145" s="3">
        <v>14596.547759999999</v>
      </c>
      <c r="G145" s="3">
        <v>2691.7418400000001</v>
      </c>
      <c r="H145" s="3">
        <v>4136.09112</v>
      </c>
      <c r="I145" s="3">
        <v>0</v>
      </c>
      <c r="J145" s="3">
        <v>37025.389439999999</v>
      </c>
      <c r="K145" s="3">
        <v>6827.8329600000006</v>
      </c>
      <c r="L145" s="9">
        <v>0.15569740571675755</v>
      </c>
    </row>
    <row r="146" spans="1:12">
      <c r="A146" t="s">
        <v>12</v>
      </c>
      <c r="B146" t="s">
        <v>562</v>
      </c>
      <c r="C146" t="s">
        <v>59</v>
      </c>
      <c r="D146" t="s">
        <v>58</v>
      </c>
      <c r="E146" s="3">
        <v>11982100</v>
      </c>
      <c r="F146" s="3">
        <v>60198</v>
      </c>
      <c r="G146" s="3">
        <v>28594</v>
      </c>
      <c r="H146" s="3">
        <v>53227.731</v>
      </c>
      <c r="I146" s="3">
        <v>6894.4758080000001</v>
      </c>
      <c r="J146" s="3">
        <v>98055.081484228605</v>
      </c>
      <c r="K146" s="3">
        <v>88716.206808000003</v>
      </c>
      <c r="L146" s="9">
        <v>0.47499916940762149</v>
      </c>
    </row>
    <row r="147" spans="1:12">
      <c r="A147" t="s">
        <v>179</v>
      </c>
      <c r="B147" t="s">
        <v>499</v>
      </c>
      <c r="C147" t="s">
        <v>269</v>
      </c>
      <c r="D147" t="s">
        <v>206</v>
      </c>
      <c r="E147" s="3">
        <v>5525000</v>
      </c>
      <c r="F147" s="3">
        <v>17736</v>
      </c>
      <c r="G147" s="3">
        <v>5912</v>
      </c>
      <c r="H147" s="3">
        <v>12012</v>
      </c>
      <c r="I147" s="3">
        <v>8763</v>
      </c>
      <c r="J147" s="3">
        <v>80061</v>
      </c>
      <c r="K147" s="3">
        <v>26687</v>
      </c>
      <c r="L147" s="9">
        <v>0.25</v>
      </c>
    </row>
    <row r="148" spans="1:12">
      <c r="A148" t="s">
        <v>180</v>
      </c>
      <c r="B148" t="s">
        <v>499</v>
      </c>
      <c r="C148" t="s">
        <v>269</v>
      </c>
      <c r="D148" t="s">
        <v>206</v>
      </c>
      <c r="E148" s="3">
        <v>161959000</v>
      </c>
      <c r="F148" s="3">
        <v>519888</v>
      </c>
      <c r="G148" s="3">
        <v>173296</v>
      </c>
      <c r="H148" s="3">
        <v>352099</v>
      </c>
      <c r="I148" s="3">
        <v>256868</v>
      </c>
      <c r="J148" s="3">
        <v>2346789</v>
      </c>
      <c r="K148" s="3">
        <v>782263</v>
      </c>
      <c r="L148" s="9">
        <v>0.25</v>
      </c>
    </row>
    <row r="149" spans="1:12">
      <c r="A149" t="s">
        <v>181</v>
      </c>
      <c r="B149" t="s">
        <v>499</v>
      </c>
      <c r="C149" t="s">
        <v>269</v>
      </c>
      <c r="D149" t="s">
        <v>206</v>
      </c>
      <c r="E149" s="3">
        <v>75000000</v>
      </c>
      <c r="F149" s="3">
        <v>240750</v>
      </c>
      <c r="G149" s="3">
        <v>80250</v>
      </c>
      <c r="H149" s="3">
        <v>163051</v>
      </c>
      <c r="I149" s="3">
        <v>118950</v>
      </c>
      <c r="J149" s="3">
        <v>1086753</v>
      </c>
      <c r="K149" s="3">
        <v>362251</v>
      </c>
      <c r="L149" s="9">
        <v>0.25</v>
      </c>
    </row>
    <row r="150" spans="1:12">
      <c r="A150" t="s">
        <v>153</v>
      </c>
      <c r="B150" t="s">
        <v>471</v>
      </c>
      <c r="C150" t="s">
        <v>472</v>
      </c>
      <c r="D150" t="s">
        <v>206</v>
      </c>
      <c r="E150" s="3">
        <v>32163700</v>
      </c>
      <c r="F150" s="3">
        <v>130776.99999999987</v>
      </c>
      <c r="G150" s="3">
        <v>6883</v>
      </c>
      <c r="H150" s="3">
        <v>13985</v>
      </c>
      <c r="I150" s="3">
        <v>6986</v>
      </c>
      <c r="J150" s="3">
        <v>529225.99999999953</v>
      </c>
      <c r="K150" s="3">
        <v>27854</v>
      </c>
      <c r="L150" s="9">
        <v>5.0000000000000044E-2</v>
      </c>
    </row>
    <row r="151" spans="1:12">
      <c r="A151" s="3" t="s">
        <v>614</v>
      </c>
      <c r="B151" s="3" t="s">
        <v>656</v>
      </c>
      <c r="C151" s="3" t="s">
        <v>638</v>
      </c>
      <c r="D151" s="3" t="s">
        <v>657</v>
      </c>
      <c r="E151" s="3">
        <v>23419753</v>
      </c>
      <c r="F151" s="3">
        <v>115225.18476000002</v>
      </c>
      <c r="G151" s="3">
        <v>49382.222040000001</v>
      </c>
      <c r="H151" s="3">
        <v>75879.999720000007</v>
      </c>
      <c r="I151" s="3">
        <v>0</v>
      </c>
      <c r="J151" s="3">
        <v>292278.51744000003</v>
      </c>
      <c r="K151" s="3">
        <v>125262.22176</v>
      </c>
      <c r="L151" s="9">
        <v>0.3</v>
      </c>
    </row>
    <row r="152" spans="1:12">
      <c r="A152" s="3" t="s">
        <v>640</v>
      </c>
      <c r="B152" s="3" t="s">
        <v>656</v>
      </c>
      <c r="C152" s="3" t="s">
        <v>638</v>
      </c>
      <c r="D152" s="3" t="s">
        <v>657</v>
      </c>
      <c r="E152" s="3">
        <v>9470338</v>
      </c>
      <c r="F152" s="3">
        <v>46594.062960000003</v>
      </c>
      <c r="G152" s="3">
        <v>8705.6103600000006</v>
      </c>
      <c r="H152" s="3">
        <v>13376.913480000001</v>
      </c>
      <c r="I152" s="3">
        <v>0</v>
      </c>
      <c r="J152" s="3">
        <v>118189.81823999999</v>
      </c>
      <c r="K152" s="3">
        <v>22082.523840000002</v>
      </c>
      <c r="L152" s="9">
        <v>0.15742607211481444</v>
      </c>
    </row>
    <row r="153" spans="1:12">
      <c r="A153" t="s">
        <v>235</v>
      </c>
      <c r="B153" t="s">
        <v>470</v>
      </c>
      <c r="C153" t="s">
        <v>237</v>
      </c>
      <c r="D153" t="s">
        <v>206</v>
      </c>
      <c r="E153" s="3">
        <v>41952000</v>
      </c>
      <c r="F153" s="3">
        <v>143644.00000000006</v>
      </c>
      <c r="G153" s="3">
        <v>35911</v>
      </c>
      <c r="H153" s="3">
        <v>72963</v>
      </c>
      <c r="I153" s="3">
        <v>53229</v>
      </c>
      <c r="J153" s="3">
        <v>648412.00000000023</v>
      </c>
      <c r="K153" s="3">
        <v>162103</v>
      </c>
      <c r="L153" s="9">
        <v>0.19999999999999996</v>
      </c>
    </row>
    <row r="154" spans="1:12">
      <c r="A154" t="s">
        <v>399</v>
      </c>
      <c r="B154" t="s">
        <v>414</v>
      </c>
      <c r="C154" t="s">
        <v>352</v>
      </c>
      <c r="D154" t="s">
        <v>353</v>
      </c>
      <c r="E154" s="3">
        <v>11006000</v>
      </c>
      <c r="F154" s="3">
        <v>19742.41</v>
      </c>
      <c r="G154" s="3">
        <v>29635</v>
      </c>
      <c r="H154" s="3">
        <v>57732</v>
      </c>
      <c r="I154" s="3">
        <v>15160</v>
      </c>
      <c r="J154" s="3">
        <v>68302</v>
      </c>
      <c r="K154" s="3">
        <v>102527</v>
      </c>
      <c r="L154" s="9">
        <v>0.60017327268789256</v>
      </c>
    </row>
    <row r="155" spans="1:12">
      <c r="A155" t="s">
        <v>5</v>
      </c>
      <c r="B155" t="s">
        <v>554</v>
      </c>
      <c r="C155" t="s">
        <v>46</v>
      </c>
      <c r="D155" t="s">
        <v>53</v>
      </c>
      <c r="E155" s="3">
        <v>6746803</v>
      </c>
      <c r="F155" s="3">
        <v>56160</v>
      </c>
      <c r="G155" s="3">
        <v>14040</v>
      </c>
      <c r="H155" s="3">
        <v>15768.917197452232</v>
      </c>
      <c r="I155" s="3">
        <v>0</v>
      </c>
      <c r="J155" s="3">
        <v>89426.751592356697</v>
      </c>
      <c r="K155" s="3">
        <v>29808.917197452232</v>
      </c>
      <c r="L155" s="9">
        <v>0.25</v>
      </c>
    </row>
    <row r="156" spans="1:12">
      <c r="A156" t="s">
        <v>162</v>
      </c>
      <c r="B156" t="s">
        <v>483</v>
      </c>
      <c r="C156" t="s">
        <v>536</v>
      </c>
      <c r="D156" t="s">
        <v>206</v>
      </c>
      <c r="E156" s="3">
        <v>93350900</v>
      </c>
      <c r="F156" s="3">
        <v>199771</v>
      </c>
      <c r="G156" s="3">
        <v>199771</v>
      </c>
      <c r="H156" s="3">
        <v>405890</v>
      </c>
      <c r="I156" s="3">
        <v>258769</v>
      </c>
      <c r="J156" s="3">
        <v>864430</v>
      </c>
      <c r="K156" s="3">
        <v>864430</v>
      </c>
      <c r="L156" s="9">
        <v>0.5</v>
      </c>
    </row>
    <row r="157" spans="1:12">
      <c r="A157" s="3" t="s">
        <v>282</v>
      </c>
      <c r="B157" s="3" t="s">
        <v>545</v>
      </c>
      <c r="C157" s="3" t="s">
        <v>549</v>
      </c>
      <c r="D157" s="3" t="s">
        <v>206</v>
      </c>
      <c r="E157" s="3">
        <v>79232100</v>
      </c>
      <c r="F157" s="3">
        <v>203467.5</v>
      </c>
      <c r="G157" s="3">
        <v>135645</v>
      </c>
      <c r="H157" s="3">
        <v>275601</v>
      </c>
      <c r="I157" s="3">
        <v>137674</v>
      </c>
      <c r="J157" s="3">
        <v>823380</v>
      </c>
      <c r="K157" s="3">
        <v>548920</v>
      </c>
      <c r="L157" s="9">
        <v>0.4</v>
      </c>
    </row>
    <row r="158" spans="1:12">
      <c r="A158" s="3" t="s">
        <v>281</v>
      </c>
      <c r="B158" s="3" t="s">
        <v>544</v>
      </c>
      <c r="C158" s="3" t="s">
        <v>548</v>
      </c>
      <c r="D158" s="3" t="s">
        <v>206</v>
      </c>
      <c r="E158" s="3">
        <v>60000000</v>
      </c>
      <c r="F158" s="3">
        <v>141240.00000000003</v>
      </c>
      <c r="G158" s="3">
        <v>115560</v>
      </c>
      <c r="H158" s="3">
        <v>234792</v>
      </c>
      <c r="I158" s="3">
        <v>117288</v>
      </c>
      <c r="J158" s="3">
        <v>571560.00000000012</v>
      </c>
      <c r="K158" s="3">
        <v>467640</v>
      </c>
      <c r="L158" s="9">
        <v>0.44999999999999996</v>
      </c>
    </row>
    <row r="159" spans="1:12">
      <c r="A159" t="s">
        <v>138</v>
      </c>
      <c r="B159" t="s">
        <v>453</v>
      </c>
      <c r="C159" t="s">
        <v>211</v>
      </c>
      <c r="D159" t="s">
        <v>206</v>
      </c>
      <c r="E159" s="3">
        <v>12460300</v>
      </c>
      <c r="F159" s="3">
        <v>47997.000000000007</v>
      </c>
      <c r="G159" s="3">
        <v>5333</v>
      </c>
      <c r="H159" s="3">
        <v>10835</v>
      </c>
      <c r="I159" s="3">
        <v>7905</v>
      </c>
      <c r="J159" s="3">
        <v>216657.00000000006</v>
      </c>
      <c r="K159" s="3">
        <v>24073</v>
      </c>
      <c r="L159" s="9">
        <v>9.9999999999999978E-2</v>
      </c>
    </row>
    <row r="160" spans="1:12">
      <c r="A160" t="s">
        <v>175</v>
      </c>
      <c r="B160" t="s">
        <v>500</v>
      </c>
      <c r="C160" t="s">
        <v>265</v>
      </c>
      <c r="D160" t="s">
        <v>206</v>
      </c>
      <c r="E160" s="3">
        <v>30258000</v>
      </c>
      <c r="F160" s="3">
        <v>103604.00000000004</v>
      </c>
      <c r="G160" s="3">
        <v>25901</v>
      </c>
      <c r="H160" s="3">
        <v>52625</v>
      </c>
      <c r="I160" s="3">
        <v>26288</v>
      </c>
      <c r="J160" s="3">
        <v>419256.00000000012</v>
      </c>
      <c r="K160" s="3">
        <v>104814</v>
      </c>
      <c r="L160" s="9">
        <v>0.19999999999999996</v>
      </c>
    </row>
    <row r="161" spans="1:12">
      <c r="A161" t="s">
        <v>33</v>
      </c>
      <c r="B161" t="s">
        <v>583</v>
      </c>
      <c r="C161" t="s">
        <v>83</v>
      </c>
      <c r="D161" t="s">
        <v>82</v>
      </c>
      <c r="E161" s="3">
        <v>6660000</v>
      </c>
      <c r="F161" s="3">
        <v>33460</v>
      </c>
      <c r="G161" s="3">
        <v>11376</v>
      </c>
      <c r="H161" s="3">
        <v>21176.423999999999</v>
      </c>
      <c r="I161" s="3">
        <v>2408.8343840000002</v>
      </c>
      <c r="J161" s="3">
        <v>67869.587741935291</v>
      </c>
      <c r="K161" s="3">
        <v>34961.258384000001</v>
      </c>
      <c r="L161" s="9">
        <v>0.33998804542737598</v>
      </c>
    </row>
    <row r="162" spans="1:12">
      <c r="A162" t="s">
        <v>34</v>
      </c>
      <c r="B162" t="s">
        <v>584</v>
      </c>
      <c r="C162" t="s">
        <v>84</v>
      </c>
      <c r="D162" t="s">
        <v>82</v>
      </c>
      <c r="E162" s="3">
        <v>52067845</v>
      </c>
      <c r="F162" s="3">
        <v>261589</v>
      </c>
      <c r="G162" s="3">
        <v>100007</v>
      </c>
      <c r="H162" s="3">
        <v>186163.03049999999</v>
      </c>
      <c r="I162" s="3">
        <v>17624.718231999999</v>
      </c>
      <c r="J162" s="3">
        <v>490843.2718671094</v>
      </c>
      <c r="K162" s="3">
        <v>303794.74873200001</v>
      </c>
      <c r="L162" s="9">
        <v>0.38230583090267561</v>
      </c>
    </row>
    <row r="163" spans="1:12">
      <c r="A163" t="s">
        <v>36</v>
      </c>
      <c r="B163" t="s">
        <v>584</v>
      </c>
      <c r="C163" t="s">
        <v>84</v>
      </c>
      <c r="D163" t="s">
        <v>82</v>
      </c>
      <c r="E163" s="3">
        <v>22070625</v>
      </c>
      <c r="F163" s="3">
        <v>110882</v>
      </c>
      <c r="G163" s="3">
        <v>54548</v>
      </c>
      <c r="H163" s="3">
        <v>101541.102</v>
      </c>
      <c r="I163" s="3">
        <v>6144.6873840000007</v>
      </c>
      <c r="J163" s="3">
        <v>167545.61654246267</v>
      </c>
      <c r="K163" s="3">
        <v>162233.789384</v>
      </c>
      <c r="L163" s="9">
        <v>0.49194639346332142</v>
      </c>
    </row>
    <row r="164" spans="1:12">
      <c r="A164" t="s">
        <v>2</v>
      </c>
      <c r="B164" t="s">
        <v>551</v>
      </c>
      <c r="C164" t="s">
        <v>42</v>
      </c>
      <c r="D164" t="s">
        <v>53</v>
      </c>
      <c r="E164" s="3">
        <v>77000000</v>
      </c>
      <c r="F164" s="3">
        <v>640948</v>
      </c>
      <c r="G164" s="3">
        <v>160237</v>
      </c>
      <c r="H164" s="3">
        <v>179968.9447983015</v>
      </c>
      <c r="I164" s="3">
        <v>0</v>
      </c>
      <c r="J164" s="3">
        <v>1020617.8343949046</v>
      </c>
      <c r="K164" s="3">
        <v>340205.9447983015</v>
      </c>
      <c r="L164" s="9">
        <v>0.25</v>
      </c>
    </row>
    <row r="165" spans="1:12">
      <c r="A165" t="s">
        <v>405</v>
      </c>
      <c r="B165" t="s">
        <v>417</v>
      </c>
      <c r="C165" t="s">
        <v>354</v>
      </c>
      <c r="D165" t="s">
        <v>353</v>
      </c>
      <c r="E165" s="3">
        <v>14144950</v>
      </c>
      <c r="F165" s="3">
        <v>52903.97</v>
      </c>
      <c r="G165" s="3">
        <v>10556</v>
      </c>
      <c r="H165" s="3">
        <v>20564</v>
      </c>
      <c r="I165" s="3">
        <v>5411</v>
      </c>
      <c r="J165" s="3">
        <v>183085</v>
      </c>
      <c r="K165" s="3">
        <v>36531</v>
      </c>
      <c r="L165" s="9">
        <v>0.16634033950167565</v>
      </c>
    </row>
    <row r="166" spans="1:12">
      <c r="A166" t="s">
        <v>169</v>
      </c>
      <c r="B166" t="s">
        <v>491</v>
      </c>
      <c r="C166" t="s">
        <v>260</v>
      </c>
      <c r="D166" t="s">
        <v>206</v>
      </c>
      <c r="E166" s="3">
        <v>117520000</v>
      </c>
      <c r="F166" s="3">
        <v>402388.00000000012</v>
      </c>
      <c r="G166" s="3">
        <v>100597</v>
      </c>
      <c r="H166" s="3">
        <v>204391</v>
      </c>
      <c r="I166" s="3">
        <v>130306</v>
      </c>
      <c r="J166" s="3">
        <v>1741176.0000000005</v>
      </c>
      <c r="K166" s="3">
        <v>435294</v>
      </c>
      <c r="L166" s="9">
        <v>0.19999999999999996</v>
      </c>
    </row>
    <row r="167" spans="1:12">
      <c r="A167" t="s">
        <v>291</v>
      </c>
      <c r="B167" t="s">
        <v>512</v>
      </c>
      <c r="C167" t="s">
        <v>330</v>
      </c>
      <c r="D167" t="s">
        <v>331</v>
      </c>
      <c r="E167" s="3">
        <v>10477635</v>
      </c>
      <c r="F167" s="3">
        <v>44026.352887730762</v>
      </c>
      <c r="G167" s="3">
        <v>817.96</v>
      </c>
      <c r="H167" s="3">
        <v>1412.93</v>
      </c>
      <c r="I167" s="3">
        <v>885.15</v>
      </c>
      <c r="J167" s="3">
        <v>167719.54209531585</v>
      </c>
      <c r="K167" s="3">
        <v>3116.0400000000004</v>
      </c>
      <c r="L167" s="9">
        <v>1.8239994044457551E-2</v>
      </c>
    </row>
    <row r="168" spans="1:12">
      <c r="A168" t="s">
        <v>317</v>
      </c>
      <c r="B168" t="s">
        <v>527</v>
      </c>
      <c r="C168" t="s">
        <v>330</v>
      </c>
      <c r="D168" t="s">
        <v>331</v>
      </c>
      <c r="E168" s="3">
        <v>11724769</v>
      </c>
      <c r="F168" s="3">
        <v>27183.850098079398</v>
      </c>
      <c r="G168" s="3">
        <v>22998.16</v>
      </c>
      <c r="H168" s="3">
        <v>39726.639999999999</v>
      </c>
      <c r="I168" s="3">
        <v>24887.45</v>
      </c>
      <c r="J168" s="3">
        <v>103557.77465481832</v>
      </c>
      <c r="K168" s="3">
        <v>87612.25</v>
      </c>
      <c r="L168" s="9">
        <v>0.45829491395523442</v>
      </c>
    </row>
    <row r="169" spans="1:12">
      <c r="A169" t="s">
        <v>189</v>
      </c>
      <c r="B169" t="s">
        <v>510</v>
      </c>
      <c r="C169" t="s">
        <v>280</v>
      </c>
      <c r="D169" t="s">
        <v>119</v>
      </c>
      <c r="E169" s="3">
        <v>17516300</v>
      </c>
      <c r="F169" s="3">
        <v>44981.999999999993</v>
      </c>
      <c r="G169" s="3">
        <v>29988</v>
      </c>
      <c r="H169" s="3">
        <v>51801</v>
      </c>
      <c r="I169" s="3">
        <v>16115</v>
      </c>
      <c r="J169" s="3">
        <v>146856</v>
      </c>
      <c r="K169" s="3">
        <v>97904</v>
      </c>
      <c r="L169" s="9">
        <v>0.4</v>
      </c>
    </row>
    <row r="170" spans="1:12">
      <c r="A170" t="s">
        <v>170</v>
      </c>
      <c r="B170" t="s">
        <v>492</v>
      </c>
      <c r="C170" t="s">
        <v>261</v>
      </c>
      <c r="D170" t="s">
        <v>206</v>
      </c>
      <c r="E170" s="3">
        <v>127801800</v>
      </c>
      <c r="F170" s="3">
        <v>464944.3333333332</v>
      </c>
      <c r="G170" s="3">
        <v>82049</v>
      </c>
      <c r="H170" s="3">
        <v>166705</v>
      </c>
      <c r="I170" s="3">
        <v>106280</v>
      </c>
      <c r="J170" s="3">
        <v>2011859.333333333</v>
      </c>
      <c r="K170" s="3">
        <v>355034</v>
      </c>
      <c r="L170" s="9">
        <v>0.15000000000000002</v>
      </c>
    </row>
    <row r="171" spans="1:12">
      <c r="A171" t="s">
        <v>188</v>
      </c>
      <c r="B171" t="s">
        <v>509</v>
      </c>
      <c r="C171" t="s">
        <v>543</v>
      </c>
      <c r="D171" t="s">
        <v>206</v>
      </c>
      <c r="E171" s="3">
        <v>106133800</v>
      </c>
      <c r="F171" s="3">
        <v>272551.49999999994</v>
      </c>
      <c r="G171" s="3">
        <v>181701</v>
      </c>
      <c r="H171" s="3">
        <v>369176</v>
      </c>
      <c r="I171" s="3">
        <v>184418</v>
      </c>
      <c r="J171" s="3">
        <v>1102942.5</v>
      </c>
      <c r="K171" s="3">
        <v>735295</v>
      </c>
      <c r="L171" s="9">
        <v>0.4</v>
      </c>
    </row>
    <row r="172" spans="1:12">
      <c r="A172" t="s">
        <v>140</v>
      </c>
      <c r="B172" t="s">
        <v>455</v>
      </c>
      <c r="C172" t="s">
        <v>462</v>
      </c>
      <c r="D172" t="s">
        <v>206</v>
      </c>
      <c r="E172" s="3">
        <v>6300600</v>
      </c>
      <c r="F172" s="3">
        <v>24273.000000000007</v>
      </c>
      <c r="G172" s="3">
        <v>2697</v>
      </c>
      <c r="H172" s="3">
        <v>5479</v>
      </c>
      <c r="I172" s="3">
        <v>3997</v>
      </c>
      <c r="J172" s="3">
        <v>109557.00000000003</v>
      </c>
      <c r="K172" s="3">
        <v>12173</v>
      </c>
      <c r="L172" s="9">
        <v>9.9999999999999978E-2</v>
      </c>
    </row>
    <row r="173" spans="1:12">
      <c r="A173" t="s">
        <v>172</v>
      </c>
      <c r="B173" t="s">
        <v>494</v>
      </c>
      <c r="C173" t="s">
        <v>264</v>
      </c>
      <c r="D173" t="s">
        <v>248</v>
      </c>
      <c r="E173" s="3">
        <v>36300000</v>
      </c>
      <c r="F173" s="3">
        <v>132061.66666666666</v>
      </c>
      <c r="G173" s="3">
        <v>23305</v>
      </c>
      <c r="H173" s="3">
        <v>40256</v>
      </c>
      <c r="I173" s="3">
        <v>10304</v>
      </c>
      <c r="J173" s="3">
        <v>418568.33333333326</v>
      </c>
      <c r="K173" s="3">
        <v>73865</v>
      </c>
      <c r="L173" s="9">
        <v>0.15000000000000002</v>
      </c>
    </row>
    <row r="174" spans="1:12">
      <c r="A174" t="s">
        <v>174</v>
      </c>
      <c r="B174" t="s">
        <v>494</v>
      </c>
      <c r="C174" t="s">
        <v>264</v>
      </c>
      <c r="D174" t="s">
        <v>248</v>
      </c>
      <c r="E174" s="3">
        <v>11000000</v>
      </c>
      <c r="F174" s="3">
        <v>40017.999999999993</v>
      </c>
      <c r="G174" s="3">
        <v>7062</v>
      </c>
      <c r="H174" s="3">
        <v>12199</v>
      </c>
      <c r="I174" s="3">
        <v>3122</v>
      </c>
      <c r="J174" s="3">
        <v>126836.99999999997</v>
      </c>
      <c r="K174" s="3">
        <v>22383</v>
      </c>
      <c r="L174" s="9">
        <v>0.15000000000000002</v>
      </c>
    </row>
    <row r="175" spans="1:12">
      <c r="A175" t="s">
        <v>183</v>
      </c>
      <c r="B175" t="s">
        <v>502</v>
      </c>
      <c r="C175" t="s">
        <v>271</v>
      </c>
      <c r="D175" t="s">
        <v>206</v>
      </c>
      <c r="E175" s="3">
        <v>29687000</v>
      </c>
      <c r="F175" s="3">
        <v>117536.66666666673</v>
      </c>
      <c r="G175" s="3">
        <v>9530</v>
      </c>
      <c r="H175" s="3">
        <v>19362</v>
      </c>
      <c r="I175" s="3">
        <v>14125</v>
      </c>
      <c r="J175" s="3">
        <v>530543.00000000035</v>
      </c>
      <c r="K175" s="3">
        <v>43017</v>
      </c>
      <c r="L175" s="9">
        <v>7.4999999999999956E-2</v>
      </c>
    </row>
    <row r="176" spans="1:12">
      <c r="A176" t="s">
        <v>293</v>
      </c>
      <c r="B176" t="s">
        <v>514</v>
      </c>
      <c r="C176" t="s">
        <v>271</v>
      </c>
      <c r="D176" t="s">
        <v>206</v>
      </c>
      <c r="E176" s="3">
        <v>21471390</v>
      </c>
      <c r="F176" s="3">
        <v>71052.547488190219</v>
      </c>
      <c r="G176" s="3">
        <v>20845.009999999998</v>
      </c>
      <c r="H176" s="3">
        <v>42352.38</v>
      </c>
      <c r="I176" s="3">
        <v>21156.71</v>
      </c>
      <c r="J176" s="3">
        <v>287530.38238281239</v>
      </c>
      <c r="K176" s="3">
        <v>84354.1</v>
      </c>
      <c r="L176" s="9">
        <v>0.22682877075028679</v>
      </c>
    </row>
    <row r="177" spans="1:12">
      <c r="A177" t="s">
        <v>310</v>
      </c>
      <c r="B177" t="s">
        <v>514</v>
      </c>
      <c r="C177" t="s">
        <v>271</v>
      </c>
      <c r="D177" t="s">
        <v>206</v>
      </c>
      <c r="E177" s="3">
        <v>99925426</v>
      </c>
      <c r="F177" s="3">
        <v>285480.69893428427</v>
      </c>
      <c r="G177" s="3">
        <v>142200.13</v>
      </c>
      <c r="H177" s="3">
        <v>288918.76</v>
      </c>
      <c r="I177" s="3">
        <v>144326.49</v>
      </c>
      <c r="J177" s="3">
        <v>1155263.0034930687</v>
      </c>
      <c r="K177" s="3">
        <v>575445.38</v>
      </c>
      <c r="L177" s="9">
        <v>0.33249124201882313</v>
      </c>
    </row>
    <row r="178" spans="1:12">
      <c r="A178" t="s">
        <v>318</v>
      </c>
      <c r="B178" t="s">
        <v>514</v>
      </c>
      <c r="C178" t="s">
        <v>271</v>
      </c>
      <c r="D178" t="s">
        <v>206</v>
      </c>
      <c r="E178" s="3">
        <v>64337670</v>
      </c>
      <c r="F178" s="3">
        <v>145409.62921166889</v>
      </c>
      <c r="G178" s="3">
        <v>129955.61</v>
      </c>
      <c r="H178" s="3">
        <v>264040.64</v>
      </c>
      <c r="I178" s="3">
        <v>131898.87</v>
      </c>
      <c r="J178" s="3">
        <v>588433.34584344691</v>
      </c>
      <c r="K178" s="3">
        <v>525895.12</v>
      </c>
      <c r="L178" s="9">
        <v>0.47193905219135229</v>
      </c>
    </row>
    <row r="179" spans="1:12">
      <c r="A179" t="s">
        <v>163</v>
      </c>
      <c r="B179" t="s">
        <v>484</v>
      </c>
      <c r="C179" t="s">
        <v>254</v>
      </c>
      <c r="D179" t="s">
        <v>206</v>
      </c>
      <c r="E179" s="3">
        <v>133368000</v>
      </c>
      <c r="F179" s="3">
        <v>428112</v>
      </c>
      <c r="G179" s="3">
        <v>142704</v>
      </c>
      <c r="H179" s="3">
        <v>289942</v>
      </c>
      <c r="I179" s="3">
        <v>184847</v>
      </c>
      <c r="J179" s="3">
        <v>1852479</v>
      </c>
      <c r="K179" s="3">
        <v>617493</v>
      </c>
      <c r="L179" s="9">
        <v>0.25</v>
      </c>
    </row>
    <row r="180" spans="1:12">
      <c r="A180" t="s">
        <v>29</v>
      </c>
      <c r="B180" t="s">
        <v>579</v>
      </c>
      <c r="C180" t="s">
        <v>79</v>
      </c>
      <c r="D180" t="s">
        <v>58</v>
      </c>
      <c r="E180" s="3">
        <v>5305000</v>
      </c>
      <c r="F180" s="3">
        <v>26652</v>
      </c>
      <c r="G180" s="3">
        <v>22654</v>
      </c>
      <c r="H180" s="3">
        <v>42170.421000000002</v>
      </c>
      <c r="I180" s="3">
        <v>872.171696</v>
      </c>
      <c r="J180" s="3">
        <v>11594.198710982966</v>
      </c>
      <c r="K180" s="3">
        <v>65696.592696000007</v>
      </c>
      <c r="L180" s="9">
        <v>0.84999249587272996</v>
      </c>
    </row>
    <row r="181" spans="1:12">
      <c r="A181" t="s">
        <v>8</v>
      </c>
      <c r="B181" t="s">
        <v>557</v>
      </c>
      <c r="C181" t="s">
        <v>50</v>
      </c>
      <c r="D181" t="s">
        <v>53</v>
      </c>
      <c r="E181" s="3">
        <v>67518</v>
      </c>
      <c r="F181" s="3">
        <v>562</v>
      </c>
      <c r="G181" s="3">
        <v>140</v>
      </c>
      <c r="H181" s="3">
        <v>157.23991507431001</v>
      </c>
      <c r="I181" s="3">
        <v>0</v>
      </c>
      <c r="J181" s="3">
        <v>895.96602972399171</v>
      </c>
      <c r="K181" s="3">
        <v>297.23991507431003</v>
      </c>
      <c r="L181" s="9">
        <v>0.24911032028469751</v>
      </c>
    </row>
    <row r="182" spans="1:12">
      <c r="A182" t="s">
        <v>322</v>
      </c>
      <c r="B182" t="s">
        <v>531</v>
      </c>
      <c r="C182" t="s">
        <v>346</v>
      </c>
      <c r="D182" t="s">
        <v>115</v>
      </c>
      <c r="E182" s="3">
        <v>62829730</v>
      </c>
      <c r="F182" s="3">
        <v>134455.62</v>
      </c>
      <c r="G182" s="3">
        <v>134455.62</v>
      </c>
      <c r="H182" s="3">
        <v>232256.38</v>
      </c>
      <c r="I182" s="3">
        <v>197184.82</v>
      </c>
      <c r="J182" s="3">
        <v>563896.82000000007</v>
      </c>
      <c r="K182" s="3">
        <v>563896.82000000007</v>
      </c>
      <c r="L182" s="9">
        <v>0.5</v>
      </c>
    </row>
    <row r="183" spans="1:12">
      <c r="A183" t="s">
        <v>25</v>
      </c>
      <c r="B183" t="s">
        <v>575</v>
      </c>
      <c r="C183" t="s">
        <v>74</v>
      </c>
      <c r="D183" t="s">
        <v>75</v>
      </c>
      <c r="E183" s="3">
        <v>7143000</v>
      </c>
      <c r="F183" s="3">
        <v>36175</v>
      </c>
      <c r="G183" s="3"/>
      <c r="H183" s="3"/>
      <c r="I183" s="3"/>
      <c r="J183" s="3"/>
      <c r="K183" s="3">
        <v>0</v>
      </c>
      <c r="L183" s="9">
        <v>0</v>
      </c>
    </row>
    <row r="185" spans="1:12">
      <c r="A185" t="s">
        <v>93</v>
      </c>
      <c r="E185" s="13">
        <f>SUM(E2:E183)</f>
        <v>5914968948</v>
      </c>
      <c r="F185" s="13">
        <f>SUM(F2:F183)</f>
        <v>20868772.832964461</v>
      </c>
      <c r="G185" s="13">
        <f>SUM(G2:G183)</f>
        <v>8535409.8114159983</v>
      </c>
      <c r="H185" s="13">
        <f>SUM(H2:H183)</f>
        <v>15508618.465656878</v>
      </c>
      <c r="I185" s="13">
        <f>SUM(I2:I183)</f>
        <v>6644958.8954480011</v>
      </c>
      <c r="J185" s="13">
        <f>SUM(J2:J183)</f>
        <v>72625365.191367194</v>
      </c>
      <c r="K185" s="13">
        <f>SUM(K2:K183)</f>
        <v>30692215.983643666</v>
      </c>
    </row>
  </sheetData>
  <sortState ref="A2:L185">
    <sortCondition ref="C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pane ySplit="1" topLeftCell="A62" activePane="bottomLeft" state="frozen"/>
      <selection pane="bottomLeft" activeCell="B76" sqref="B76"/>
    </sheetView>
  </sheetViews>
  <sheetFormatPr baseColWidth="10" defaultColWidth="8.83203125" defaultRowHeight="14" x14ac:dyDescent="0"/>
  <cols>
    <col min="1" max="1" width="18.5" bestFit="1" customWidth="1"/>
    <col min="2" max="2" width="19.83203125" bestFit="1" customWidth="1"/>
    <col min="3" max="3" width="13.33203125" bestFit="1" customWidth="1"/>
    <col min="4" max="4" width="19.5" bestFit="1" customWidth="1"/>
    <col min="5" max="5" width="20.6640625" bestFit="1" customWidth="1"/>
    <col min="6" max="6" width="20.33203125" bestFit="1" customWidth="1"/>
    <col min="7" max="7" width="17.83203125" bestFit="1" customWidth="1"/>
    <col min="8" max="8" width="12.83203125" bestFit="1" customWidth="1"/>
    <col min="9" max="9" width="14.1640625" bestFit="1" customWidth="1"/>
  </cols>
  <sheetData>
    <row r="1" spans="1:11">
      <c r="A1" s="1" t="s">
        <v>0</v>
      </c>
      <c r="B1" s="1" t="s">
        <v>1</v>
      </c>
      <c r="C1" s="1" t="s">
        <v>52</v>
      </c>
      <c r="D1" s="2" t="s">
        <v>43</v>
      </c>
      <c r="E1" s="2" t="s">
        <v>61</v>
      </c>
      <c r="F1" s="2" t="s">
        <v>191</v>
      </c>
      <c r="G1" s="2" t="s">
        <v>348</v>
      </c>
      <c r="H1" s="2" t="s">
        <v>328</v>
      </c>
      <c r="I1" s="2" t="s">
        <v>333</v>
      </c>
      <c r="J1" s="2" t="s">
        <v>48</v>
      </c>
      <c r="K1" s="2" t="s">
        <v>349</v>
      </c>
    </row>
    <row r="2" spans="1:11">
      <c r="A2" t="s">
        <v>274</v>
      </c>
      <c r="B2" t="s">
        <v>344</v>
      </c>
      <c r="C2" t="s">
        <v>248</v>
      </c>
      <c r="D2" s="3">
        <v>84240100</v>
      </c>
      <c r="E2" s="3">
        <v>162247</v>
      </c>
      <c r="F2" s="3">
        <v>280262</v>
      </c>
      <c r="G2" s="3">
        <v>132390</v>
      </c>
      <c r="H2" s="3">
        <v>702654.33333333349</v>
      </c>
      <c r="I2" s="3">
        <v>574899</v>
      </c>
      <c r="J2" s="9">
        <v>0.44999999999999996</v>
      </c>
      <c r="K2" s="9">
        <v>0.55000000000000004</v>
      </c>
    </row>
    <row r="3" spans="1:11">
      <c r="A3" t="s">
        <v>319</v>
      </c>
      <c r="B3" t="s">
        <v>344</v>
      </c>
      <c r="C3" t="s">
        <v>248</v>
      </c>
      <c r="D3" s="3">
        <v>102514209</v>
      </c>
      <c r="E3" s="3">
        <v>76348.5</v>
      </c>
      <c r="F3" s="3">
        <v>131883.12</v>
      </c>
      <c r="G3" s="3">
        <v>33757.449999999997</v>
      </c>
      <c r="H3" s="3">
        <v>1148677.6615656125</v>
      </c>
      <c r="I3" s="3">
        <v>241989.07</v>
      </c>
      <c r="J3" s="9">
        <v>0.17400939024950191</v>
      </c>
      <c r="K3" s="9">
        <v>0.82599060975049809</v>
      </c>
    </row>
    <row r="4" spans="1:11">
      <c r="A4" t="s">
        <v>315</v>
      </c>
      <c r="B4" t="s">
        <v>344</v>
      </c>
      <c r="C4" t="s">
        <v>248</v>
      </c>
      <c r="D4" s="3">
        <v>20682794</v>
      </c>
      <c r="E4" s="3">
        <v>21234.899999999998</v>
      </c>
      <c r="F4" s="3">
        <v>36680.81</v>
      </c>
      <c r="G4" s="3">
        <v>9389</v>
      </c>
      <c r="H4" s="3">
        <v>213269.75632475017</v>
      </c>
      <c r="I4" s="3">
        <v>67304.709999999992</v>
      </c>
      <c r="J4" s="9">
        <v>0.23988180707113363</v>
      </c>
      <c r="K4" s="9">
        <v>0.7601181929288664</v>
      </c>
    </row>
    <row r="5" spans="1:11">
      <c r="A5" t="s">
        <v>24</v>
      </c>
      <c r="B5" t="s">
        <v>73</v>
      </c>
      <c r="C5" t="s">
        <v>58</v>
      </c>
      <c r="D5" s="3">
        <v>75247600</v>
      </c>
      <c r="E5" s="3">
        <v>170120</v>
      </c>
      <c r="F5" s="3">
        <v>316678.38</v>
      </c>
      <c r="G5" s="3">
        <v>31181.119816000002</v>
      </c>
      <c r="H5" s="3">
        <v>633084.70209112391</v>
      </c>
      <c r="I5" s="3">
        <v>517979.499816</v>
      </c>
    </row>
    <row r="6" spans="1:11">
      <c r="A6" t="s">
        <v>223</v>
      </c>
      <c r="H6" s="13">
        <f>SUM(H2:H5)</f>
        <v>2697686.4533148203</v>
      </c>
      <c r="I6" s="14">
        <f>SUM(I2:I5)</f>
        <v>1402172.279816</v>
      </c>
    </row>
    <row r="7" spans="1:11">
      <c r="J7" s="9">
        <v>0.45000052903894783</v>
      </c>
      <c r="K7" s="9">
        <v>0.54999947096105217</v>
      </c>
    </row>
    <row r="8" spans="1:11">
      <c r="A8" t="s">
        <v>308</v>
      </c>
      <c r="B8" t="s">
        <v>339</v>
      </c>
      <c r="C8" t="s">
        <v>206</v>
      </c>
      <c r="D8" s="3">
        <v>102613778</v>
      </c>
      <c r="E8" s="3">
        <v>147278.28</v>
      </c>
      <c r="F8" s="3">
        <v>299236.44</v>
      </c>
      <c r="G8" s="3">
        <v>149480.57</v>
      </c>
      <c r="H8" s="3">
        <v>1181275.31967246</v>
      </c>
      <c r="I8" s="3">
        <v>595995.29</v>
      </c>
      <c r="J8" s="9">
        <v>0.33534301797171917</v>
      </c>
      <c r="K8" s="9">
        <v>0.66465698202828083</v>
      </c>
    </row>
    <row r="9" spans="1:11">
      <c r="A9" t="s">
        <v>320</v>
      </c>
      <c r="B9" t="s">
        <v>339</v>
      </c>
      <c r="C9" t="s">
        <v>206</v>
      </c>
      <c r="D9" s="3">
        <v>26494320</v>
      </c>
      <c r="E9" s="3">
        <v>54896.36</v>
      </c>
      <c r="F9" s="3">
        <v>111537.06999999999</v>
      </c>
      <c r="G9" s="3">
        <v>55717.229999999996</v>
      </c>
      <c r="H9" s="3">
        <v>236730.98305632587</v>
      </c>
      <c r="I9" s="3">
        <v>222150.65999999997</v>
      </c>
      <c r="J9" s="9">
        <v>0.48411319860256841</v>
      </c>
      <c r="K9" s="9">
        <v>0.51588680139743159</v>
      </c>
    </row>
    <row r="10" spans="1:11">
      <c r="A10" t="s">
        <v>149</v>
      </c>
      <c r="B10" t="s">
        <v>231</v>
      </c>
      <c r="C10" t="s">
        <v>206</v>
      </c>
      <c r="D10" s="3">
        <v>13275800</v>
      </c>
      <c r="E10" s="3">
        <v>11365</v>
      </c>
      <c r="F10" s="3">
        <v>23090</v>
      </c>
      <c r="G10" s="3">
        <v>20434</v>
      </c>
      <c r="H10" s="3">
        <v>219556.00000000006</v>
      </c>
      <c r="I10" s="3">
        <v>54889</v>
      </c>
      <c r="J10" s="9">
        <v>0.19999999999999996</v>
      </c>
      <c r="K10" s="9">
        <v>0.8</v>
      </c>
    </row>
    <row r="11" spans="1:11">
      <c r="A11" t="s">
        <v>309</v>
      </c>
      <c r="B11" t="s">
        <v>339</v>
      </c>
      <c r="C11" t="s">
        <v>331</v>
      </c>
      <c r="D11" s="3">
        <v>6400161</v>
      </c>
      <c r="E11" s="3">
        <v>5617.57</v>
      </c>
      <c r="F11" s="3">
        <v>9703.7099999999991</v>
      </c>
      <c r="G11" s="3">
        <v>6079.06</v>
      </c>
      <c r="H11" s="3">
        <v>82952.988072255015</v>
      </c>
      <c r="I11" s="3">
        <v>21400.34</v>
      </c>
      <c r="J11" s="9">
        <v>0.20507577856244555</v>
      </c>
      <c r="K11" s="9">
        <v>0.79492422143755448</v>
      </c>
    </row>
    <row r="12" spans="1:11">
      <c r="A12" t="s">
        <v>223</v>
      </c>
      <c r="H12" s="13">
        <f>SUM(H8:H11)</f>
        <v>1720515.2908010408</v>
      </c>
      <c r="I12" s="14">
        <f>SUM(I8:I11)</f>
        <v>894435.28999999992</v>
      </c>
    </row>
    <row r="14" spans="1:11">
      <c r="A14" t="s">
        <v>310</v>
      </c>
      <c r="B14" t="s">
        <v>271</v>
      </c>
      <c r="C14" t="s">
        <v>206</v>
      </c>
      <c r="D14" s="3">
        <v>99925426</v>
      </c>
      <c r="E14" s="3">
        <v>142200.13</v>
      </c>
      <c r="F14" s="3">
        <v>288918.76</v>
      </c>
      <c r="G14" s="3">
        <v>144326.49</v>
      </c>
      <c r="H14" s="3">
        <v>1155263.0034930687</v>
      </c>
      <c r="I14" s="3">
        <v>575445.38</v>
      </c>
      <c r="J14" s="9">
        <v>0.33249124201882313</v>
      </c>
      <c r="K14" s="9">
        <v>0.66750875798117693</v>
      </c>
    </row>
    <row r="15" spans="1:11">
      <c r="A15" t="s">
        <v>318</v>
      </c>
      <c r="B15" t="s">
        <v>271</v>
      </c>
      <c r="C15" t="s">
        <v>206</v>
      </c>
      <c r="D15" s="3">
        <v>64337670</v>
      </c>
      <c r="E15" s="3">
        <v>129955.61</v>
      </c>
      <c r="F15" s="3">
        <v>264040.64</v>
      </c>
      <c r="G15" s="3">
        <v>131898.87</v>
      </c>
      <c r="H15" s="3">
        <v>588433.34584344691</v>
      </c>
      <c r="I15" s="3">
        <v>525895.12</v>
      </c>
      <c r="J15" s="9">
        <v>0.47193905219135229</v>
      </c>
      <c r="K15" s="9">
        <v>0.52806094780864776</v>
      </c>
    </row>
    <row r="16" spans="1:11">
      <c r="A16" t="s">
        <v>293</v>
      </c>
      <c r="B16" t="s">
        <v>271</v>
      </c>
      <c r="C16" t="s">
        <v>206</v>
      </c>
      <c r="D16" s="3">
        <v>21471390</v>
      </c>
      <c r="E16" s="3">
        <v>20845.009999999998</v>
      </c>
      <c r="F16" s="3">
        <v>42352.38</v>
      </c>
      <c r="G16" s="3">
        <v>21156.71</v>
      </c>
      <c r="H16" s="3">
        <v>287530.38238281239</v>
      </c>
      <c r="I16" s="3">
        <v>84354.1</v>
      </c>
      <c r="J16" s="9">
        <v>0.22682877075028679</v>
      </c>
      <c r="K16" s="9">
        <v>0.77317122924971327</v>
      </c>
    </row>
    <row r="17" spans="1:11">
      <c r="A17" t="s">
        <v>183</v>
      </c>
      <c r="B17" t="s">
        <v>271</v>
      </c>
      <c r="C17" t="s">
        <v>206</v>
      </c>
      <c r="D17" s="3">
        <v>29687000</v>
      </c>
      <c r="E17" s="3">
        <v>9530</v>
      </c>
      <c r="F17" s="3">
        <v>19362</v>
      </c>
      <c r="G17" s="3">
        <v>14125</v>
      </c>
      <c r="H17" s="3">
        <v>530543.00000000035</v>
      </c>
      <c r="I17" s="3">
        <v>43017</v>
      </c>
      <c r="J17" s="9">
        <v>7.4999999999999956E-2</v>
      </c>
      <c r="K17" s="9">
        <v>0.92500000000000004</v>
      </c>
    </row>
    <row r="18" spans="1:11">
      <c r="A18" t="s">
        <v>223</v>
      </c>
      <c r="H18" s="13">
        <f>SUM(H14:H17)</f>
        <v>2561769.7317193286</v>
      </c>
      <c r="I18" s="14">
        <f>SUM(I14:I17)</f>
        <v>1228711.6000000001</v>
      </c>
    </row>
    <row r="20" spans="1:11">
      <c r="A20" t="s">
        <v>42</v>
      </c>
    </row>
    <row r="21" spans="1:11">
      <c r="A21" t="s">
        <v>2</v>
      </c>
      <c r="B21" t="s">
        <v>42</v>
      </c>
      <c r="C21" t="s">
        <v>53</v>
      </c>
      <c r="D21" s="3">
        <v>77000000</v>
      </c>
      <c r="E21" s="3">
        <v>160237</v>
      </c>
      <c r="F21" s="3">
        <v>179968.9447983015</v>
      </c>
      <c r="G21" s="3">
        <v>0</v>
      </c>
      <c r="H21" s="3">
        <v>1020617.8343949046</v>
      </c>
      <c r="I21" s="3">
        <v>340205.9447983015</v>
      </c>
      <c r="J21" s="9">
        <v>0.25</v>
      </c>
      <c r="K21" s="9">
        <v>0.75</v>
      </c>
    </row>
    <row r="22" spans="1:11">
      <c r="A22" t="s">
        <v>4</v>
      </c>
      <c r="B22" t="s">
        <v>45</v>
      </c>
      <c r="C22" t="s">
        <v>53</v>
      </c>
      <c r="D22" s="3">
        <v>10051745</v>
      </c>
      <c r="E22" s="3">
        <v>20918</v>
      </c>
      <c r="F22" s="3">
        <v>23493.889596602978</v>
      </c>
      <c r="G22" s="3">
        <v>0</v>
      </c>
      <c r="H22" s="3">
        <v>133233.54564755844</v>
      </c>
      <c r="I22" s="3">
        <v>44411.889596602981</v>
      </c>
      <c r="J22" s="9">
        <v>0.2500029878930573</v>
      </c>
      <c r="K22" s="9">
        <v>0.7499970121069427</v>
      </c>
    </row>
    <row r="23" spans="1:11">
      <c r="A23" t="s">
        <v>3</v>
      </c>
      <c r="B23" t="s">
        <v>44</v>
      </c>
      <c r="C23" t="s">
        <v>53</v>
      </c>
      <c r="D23" s="3">
        <v>9000000</v>
      </c>
      <c r="E23" s="3">
        <v>18729</v>
      </c>
      <c r="F23" s="3">
        <v>21035.331210191081</v>
      </c>
      <c r="G23" s="3">
        <v>0</v>
      </c>
      <c r="H23" s="3">
        <v>119292.99363057326</v>
      </c>
      <c r="I23" s="3">
        <v>39764.331210191085</v>
      </c>
      <c r="J23" s="9">
        <v>0.25</v>
      </c>
      <c r="K23" s="9">
        <v>0.75</v>
      </c>
    </row>
    <row r="24" spans="1:11">
      <c r="A24" t="s">
        <v>6</v>
      </c>
      <c r="B24" t="s">
        <v>47</v>
      </c>
      <c r="C24" t="s">
        <v>53</v>
      </c>
      <c r="D24" s="3">
        <v>7112000</v>
      </c>
      <c r="E24" s="3">
        <v>14800</v>
      </c>
      <c r="F24" s="3">
        <v>16622.50530785563</v>
      </c>
      <c r="G24" s="3">
        <v>0</v>
      </c>
      <c r="H24" s="3">
        <v>94267.515923566883</v>
      </c>
      <c r="I24" s="3">
        <v>31422.50530785563</v>
      </c>
      <c r="J24" s="9">
        <v>0.25</v>
      </c>
      <c r="K24" s="9">
        <v>0.75</v>
      </c>
    </row>
    <row r="25" spans="1:11">
      <c r="A25" t="s">
        <v>7</v>
      </c>
      <c r="B25" t="s">
        <v>49</v>
      </c>
      <c r="C25" t="s">
        <v>53</v>
      </c>
      <c r="D25" s="3">
        <v>6980000</v>
      </c>
      <c r="E25" s="3">
        <v>14520</v>
      </c>
      <c r="F25" s="3">
        <v>16308.025477707008</v>
      </c>
      <c r="G25" s="3">
        <v>0</v>
      </c>
      <c r="H25" s="3">
        <v>92528.66242038217</v>
      </c>
      <c r="I25" s="3">
        <v>30828.025477707008</v>
      </c>
      <c r="J25" s="9">
        <v>0.24990964010946456</v>
      </c>
      <c r="K25" s="9">
        <v>0.75009035989053541</v>
      </c>
    </row>
    <row r="26" spans="1:11">
      <c r="A26" t="s">
        <v>5</v>
      </c>
      <c r="B26" t="s">
        <v>46</v>
      </c>
      <c r="C26" t="s">
        <v>53</v>
      </c>
      <c r="D26" s="3">
        <v>6746803</v>
      </c>
      <c r="E26" s="3">
        <v>14040</v>
      </c>
      <c r="F26" s="3">
        <v>15768.917197452232</v>
      </c>
      <c r="G26" s="3">
        <v>0</v>
      </c>
      <c r="H26" s="3">
        <v>89426.751592356697</v>
      </c>
      <c r="I26" s="3">
        <v>29808.917197452232</v>
      </c>
      <c r="J26" s="9">
        <v>0.25</v>
      </c>
      <c r="K26" s="9">
        <v>0.75</v>
      </c>
    </row>
    <row r="27" spans="1:11">
      <c r="A27" t="s">
        <v>8</v>
      </c>
      <c r="B27" t="s">
        <v>50</v>
      </c>
      <c r="C27" t="s">
        <v>53</v>
      </c>
      <c r="D27" s="3">
        <v>67518</v>
      </c>
      <c r="E27" s="3">
        <v>140</v>
      </c>
      <c r="F27" s="3">
        <v>157.23991507431001</v>
      </c>
      <c r="G27" s="3">
        <v>0</v>
      </c>
      <c r="H27" s="3">
        <v>895.96602972399171</v>
      </c>
      <c r="I27" s="3">
        <v>297.23991507431003</v>
      </c>
      <c r="J27" s="9">
        <v>0.24911032028469751</v>
      </c>
      <c r="K27" s="9">
        <v>0.75088967971530252</v>
      </c>
    </row>
    <row r="28" spans="1:11">
      <c r="A28" t="s">
        <v>223</v>
      </c>
      <c r="H28" s="13">
        <f>SUM(H21:H27)</f>
        <v>1550263.2696390662</v>
      </c>
      <c r="I28" s="14">
        <f>SUM(I21:I27)</f>
        <v>516738.85350318468</v>
      </c>
    </row>
    <row r="30" spans="1:11">
      <c r="A30" s="1" t="s">
        <v>358</v>
      </c>
    </row>
    <row r="31" spans="1:11">
      <c r="A31" t="s">
        <v>13</v>
      </c>
      <c r="B31" s="1" t="s">
        <v>60</v>
      </c>
      <c r="C31" t="s">
        <v>58</v>
      </c>
      <c r="D31" s="3">
        <v>85089300</v>
      </c>
      <c r="E31" s="3">
        <v>396380</v>
      </c>
      <c r="F31" s="3">
        <v>737861.37</v>
      </c>
      <c r="G31" s="3">
        <v>6786.2724160000007</v>
      </c>
      <c r="H31" s="3">
        <v>89548.130330180458</v>
      </c>
      <c r="I31" s="3">
        <v>1141027.6424160001</v>
      </c>
      <c r="J31" s="9">
        <v>0.92723070589115952</v>
      </c>
      <c r="K31" s="9">
        <v>7.2769294108840477E-2</v>
      </c>
    </row>
    <row r="32" spans="1:11">
      <c r="A32" t="s">
        <v>14</v>
      </c>
      <c r="B32" t="s">
        <v>63</v>
      </c>
      <c r="C32" t="s">
        <v>58</v>
      </c>
      <c r="D32" s="3">
        <v>39256500</v>
      </c>
      <c r="E32" s="3">
        <v>112418</v>
      </c>
      <c r="F32" s="3">
        <v>209266.10699999999</v>
      </c>
      <c r="G32" s="3">
        <v>18500.816664000002</v>
      </c>
      <c r="H32" s="3">
        <v>256632.0591112886</v>
      </c>
      <c r="I32" s="3">
        <v>340184.92366399994</v>
      </c>
      <c r="J32" s="9">
        <v>0.56999873241221954</v>
      </c>
      <c r="K32" s="9">
        <v>0.43000126758778046</v>
      </c>
    </row>
    <row r="33" spans="1:11">
      <c r="A33" t="s">
        <v>20</v>
      </c>
      <c r="B33" t="s">
        <v>69</v>
      </c>
      <c r="C33" t="s">
        <v>58</v>
      </c>
      <c r="D33" s="3">
        <v>18451703</v>
      </c>
      <c r="E33" s="3">
        <v>33795</v>
      </c>
      <c r="F33" s="3">
        <v>62909.392499999994</v>
      </c>
      <c r="G33" s="3">
        <v>6425.2308560000001</v>
      </c>
      <c r="H33" s="3">
        <v>179758.94639468958</v>
      </c>
      <c r="I33" s="3">
        <v>103129.62335599998</v>
      </c>
      <c r="J33" s="9">
        <v>0.36455917411894156</v>
      </c>
      <c r="K33" s="9">
        <v>0.63544082588105844</v>
      </c>
    </row>
    <row r="34" spans="1:11">
      <c r="A34" t="s">
        <v>12</v>
      </c>
      <c r="B34" t="s">
        <v>59</v>
      </c>
      <c r="C34" t="s">
        <v>58</v>
      </c>
      <c r="D34" s="3">
        <v>11982100</v>
      </c>
      <c r="E34" s="3">
        <v>28594</v>
      </c>
      <c r="F34" s="3">
        <v>53227.731</v>
      </c>
      <c r="G34" s="3">
        <v>6894.4758080000001</v>
      </c>
      <c r="H34" s="3">
        <v>98055.081484228605</v>
      </c>
      <c r="I34" s="3">
        <v>88716.206808000003</v>
      </c>
      <c r="J34" s="9">
        <v>0.47499916940762149</v>
      </c>
      <c r="K34" s="9">
        <v>0.52500083059237856</v>
      </c>
    </row>
    <row r="35" spans="1:11">
      <c r="A35" t="s">
        <v>19</v>
      </c>
      <c r="B35" t="s">
        <v>68</v>
      </c>
      <c r="C35" t="s">
        <v>58</v>
      </c>
      <c r="D35" s="3">
        <v>2919400</v>
      </c>
      <c r="E35" s="3">
        <v>8360</v>
      </c>
      <c r="F35" s="3">
        <v>15562.14</v>
      </c>
      <c r="G35" s="3">
        <v>1375.8846640000002</v>
      </c>
      <c r="H35" s="3">
        <v>19085.483439694744</v>
      </c>
      <c r="I35" s="3">
        <v>25298.024664</v>
      </c>
      <c r="J35" s="9">
        <v>0.5699870457489602</v>
      </c>
      <c r="K35" s="9">
        <v>0.4300129542510398</v>
      </c>
    </row>
    <row r="36" spans="1:11">
      <c r="A36" t="s">
        <v>15</v>
      </c>
      <c r="B36" t="s">
        <v>64</v>
      </c>
      <c r="C36" t="s">
        <v>58</v>
      </c>
      <c r="D36" s="3">
        <v>2784000</v>
      </c>
      <c r="E36" s="3">
        <v>7972</v>
      </c>
      <c r="F36" s="3">
        <v>14839.877999999999</v>
      </c>
      <c r="G36" s="3">
        <v>1311.966128</v>
      </c>
      <c r="H36" s="3">
        <v>18198.795607851476</v>
      </c>
      <c r="I36" s="3">
        <v>24123.844127999997</v>
      </c>
      <c r="J36" s="9">
        <v>0.56999856999857001</v>
      </c>
      <c r="K36" s="9">
        <v>0.43000143000142999</v>
      </c>
    </row>
    <row r="37" spans="1:11">
      <c r="A37" t="s">
        <v>17</v>
      </c>
      <c r="B37" t="s">
        <v>66</v>
      </c>
      <c r="C37" t="s">
        <v>58</v>
      </c>
      <c r="D37" s="3">
        <v>2459200</v>
      </c>
      <c r="E37" s="3">
        <v>7042</v>
      </c>
      <c r="F37" s="3">
        <v>13108.682999999999</v>
      </c>
      <c r="G37" s="3">
        <v>1159.0415760000001</v>
      </c>
      <c r="H37" s="3">
        <v>16077.61526161431</v>
      </c>
      <c r="I37" s="3">
        <v>21309.724575999997</v>
      </c>
      <c r="J37" s="9">
        <v>0.56997167138810201</v>
      </c>
      <c r="K37" s="9">
        <v>0.43002832861189799</v>
      </c>
    </row>
    <row r="38" spans="1:11">
      <c r="A38" t="s">
        <v>21</v>
      </c>
      <c r="B38" t="s">
        <v>67</v>
      </c>
      <c r="C38" t="s">
        <v>58</v>
      </c>
      <c r="D38" s="3">
        <v>2641500</v>
      </c>
      <c r="E38" s="3">
        <v>6304</v>
      </c>
      <c r="F38" s="3">
        <v>11734.895999999999</v>
      </c>
      <c r="G38" s="3">
        <v>1519.864984</v>
      </c>
      <c r="H38" s="3">
        <v>21615.781690280455</v>
      </c>
      <c r="I38" s="3">
        <v>19558.760984</v>
      </c>
      <c r="J38" s="9">
        <v>0.47502072187476452</v>
      </c>
      <c r="K38" s="9">
        <v>0.52497927812523548</v>
      </c>
    </row>
    <row r="39" spans="1:11">
      <c r="A39" t="s">
        <v>16</v>
      </c>
      <c r="B39" t="s">
        <v>65</v>
      </c>
      <c r="C39" t="s">
        <v>58</v>
      </c>
      <c r="D39" s="3">
        <v>1210300</v>
      </c>
      <c r="E39" s="3">
        <v>3466</v>
      </c>
      <c r="F39" s="3">
        <v>6451.9589999999998</v>
      </c>
      <c r="G39" s="3">
        <v>570.46748000000002</v>
      </c>
      <c r="H39" s="3">
        <v>7913.2242484708577</v>
      </c>
      <c r="I39" s="3">
        <v>10488.426479999998</v>
      </c>
      <c r="J39" s="9">
        <v>0.56997204407169877</v>
      </c>
      <c r="K39" s="9">
        <v>0.43002795592830123</v>
      </c>
    </row>
    <row r="40" spans="1:11">
      <c r="A40" t="s">
        <v>18</v>
      </c>
      <c r="B40" t="s">
        <v>67</v>
      </c>
      <c r="C40" t="s">
        <v>58</v>
      </c>
      <c r="D40" s="3">
        <v>1228073</v>
      </c>
      <c r="E40" s="3">
        <v>2931</v>
      </c>
      <c r="F40" s="3">
        <v>5456.0564999999997</v>
      </c>
      <c r="G40" s="3">
        <v>706.59432800000002</v>
      </c>
      <c r="H40" s="3">
        <v>10049.24429610781</v>
      </c>
      <c r="I40" s="3">
        <v>9093.650827999998</v>
      </c>
      <c r="J40" s="9">
        <v>0.47504051863857372</v>
      </c>
      <c r="K40" s="9">
        <v>0.52495948136142623</v>
      </c>
    </row>
    <row r="41" spans="1:11">
      <c r="A41" t="s">
        <v>223</v>
      </c>
      <c r="D41" s="13">
        <f>SUM(D31:D40)</f>
        <v>168022076</v>
      </c>
      <c r="H41" s="13">
        <f>SUM(H31:H40)</f>
        <v>716934.36186440685</v>
      </c>
      <c r="I41" s="14">
        <f>SUM(I31:I40)</f>
        <v>1782930.8279039999</v>
      </c>
    </row>
    <row r="43" spans="1:11">
      <c r="A43" t="s">
        <v>359</v>
      </c>
    </row>
    <row r="44" spans="1:11">
      <c r="A44" t="s">
        <v>310</v>
      </c>
      <c r="B44" t="s">
        <v>271</v>
      </c>
      <c r="C44" t="s">
        <v>206</v>
      </c>
      <c r="D44" s="3">
        <v>99925426</v>
      </c>
      <c r="E44" s="3">
        <v>142200.13</v>
      </c>
      <c r="F44" s="3">
        <v>288918.76</v>
      </c>
      <c r="G44" s="3">
        <v>144326.49</v>
      </c>
      <c r="H44" s="3">
        <v>1155263.0034930687</v>
      </c>
      <c r="I44" s="3">
        <v>575445.38</v>
      </c>
      <c r="J44" s="9">
        <v>0.33249124201882313</v>
      </c>
      <c r="K44" s="9">
        <v>0.66750875798117693</v>
      </c>
    </row>
    <row r="45" spans="1:11">
      <c r="A45" t="s">
        <v>318</v>
      </c>
      <c r="B45" t="s">
        <v>271</v>
      </c>
      <c r="C45" t="s">
        <v>206</v>
      </c>
      <c r="D45" s="3">
        <v>64337670</v>
      </c>
      <c r="E45" s="3">
        <v>129955.61</v>
      </c>
      <c r="F45" s="3">
        <v>264040.64</v>
      </c>
      <c r="G45" s="3">
        <v>131898.87</v>
      </c>
      <c r="H45" s="3">
        <v>588433.34584344691</v>
      </c>
      <c r="I45" s="3">
        <v>525895.12</v>
      </c>
      <c r="J45" s="9">
        <v>0.47193905219135229</v>
      </c>
      <c r="K45" s="9">
        <v>0.52806094780864776</v>
      </c>
    </row>
    <row r="46" spans="1:11">
      <c r="A46" t="s">
        <v>293</v>
      </c>
      <c r="B46" t="s">
        <v>271</v>
      </c>
      <c r="C46" t="s">
        <v>206</v>
      </c>
      <c r="D46" s="3">
        <v>21471390</v>
      </c>
      <c r="E46" s="3">
        <v>20845.009999999998</v>
      </c>
      <c r="F46" s="3">
        <v>42352.38</v>
      </c>
      <c r="G46" s="3">
        <v>21156.71</v>
      </c>
      <c r="H46" s="3">
        <v>287530.38238281239</v>
      </c>
      <c r="I46" s="3">
        <v>84354.1</v>
      </c>
      <c r="J46" s="9">
        <v>0.22682877075028679</v>
      </c>
      <c r="K46" s="9">
        <v>0.77317122924971327</v>
      </c>
    </row>
    <row r="47" spans="1:11">
      <c r="A47" t="s">
        <v>183</v>
      </c>
      <c r="B47" t="s">
        <v>271</v>
      </c>
      <c r="C47" t="s">
        <v>206</v>
      </c>
      <c r="D47" s="3">
        <v>29687000</v>
      </c>
      <c r="E47" s="3">
        <v>9530</v>
      </c>
      <c r="F47" s="3">
        <v>19362</v>
      </c>
      <c r="G47" s="3">
        <v>14125</v>
      </c>
      <c r="H47" s="3">
        <v>530543.00000000035</v>
      </c>
      <c r="I47" s="3">
        <v>43017</v>
      </c>
      <c r="J47" s="9">
        <v>7.4999999999999956E-2</v>
      </c>
      <c r="K47" s="9">
        <v>0.92500000000000004</v>
      </c>
    </row>
    <row r="48" spans="1:11">
      <c r="A48" t="s">
        <v>223</v>
      </c>
      <c r="H48" s="13">
        <f>SUM(H44:H47)</f>
        <v>2561769.7317193286</v>
      </c>
      <c r="I48" s="13">
        <f>SUM(I44:I47)</f>
        <v>1228711.6000000001</v>
      </c>
    </row>
    <row r="50" spans="1:11">
      <c r="A50" t="s">
        <v>9</v>
      </c>
      <c r="B50" s="1" t="s">
        <v>51</v>
      </c>
      <c r="C50" t="s">
        <v>54</v>
      </c>
      <c r="D50" s="3">
        <v>17500000</v>
      </c>
      <c r="E50" s="3">
        <v>18937</v>
      </c>
      <c r="F50" s="3">
        <v>21268.944798301487</v>
      </c>
      <c r="G50" s="3">
        <v>0</v>
      </c>
      <c r="H50" s="3">
        <v>269072.18683651806</v>
      </c>
      <c r="I50" s="2">
        <v>40205.944798301483</v>
      </c>
      <c r="J50" s="9">
        <v>0.12999931351685315</v>
      </c>
      <c r="K50" s="9">
        <v>0.87000068648314688</v>
      </c>
    </row>
    <row r="51" spans="1:11">
      <c r="K51" s="1"/>
    </row>
    <row r="52" spans="1:11">
      <c r="A52" t="s">
        <v>278</v>
      </c>
    </row>
    <row r="53" spans="1:11">
      <c r="A53" t="s">
        <v>295</v>
      </c>
      <c r="B53" t="s">
        <v>278</v>
      </c>
      <c r="C53" t="s">
        <v>119</v>
      </c>
      <c r="D53" s="3">
        <v>9970374</v>
      </c>
      <c r="E53" s="3">
        <v>29483.27</v>
      </c>
      <c r="F53" s="3">
        <v>50928.91</v>
      </c>
      <c r="G53" s="3">
        <v>15843.81</v>
      </c>
      <c r="H53" s="3">
        <v>43062.032569160867</v>
      </c>
      <c r="I53" s="3">
        <v>96255.99</v>
      </c>
      <c r="J53" s="9">
        <v>0.69090838518193998</v>
      </c>
      <c r="K53" s="9">
        <v>0.30909161481806002</v>
      </c>
    </row>
    <row r="54" spans="1:11">
      <c r="A54" t="s">
        <v>187</v>
      </c>
      <c r="B54" t="s">
        <v>278</v>
      </c>
      <c r="C54" t="s">
        <v>119</v>
      </c>
      <c r="D54" s="3">
        <v>41038000</v>
      </c>
      <c r="E54" s="3">
        <v>8782</v>
      </c>
      <c r="F54" s="3">
        <v>15170</v>
      </c>
      <c r="G54" s="3">
        <v>7181</v>
      </c>
      <c r="H54" s="3">
        <v>591526.99999999942</v>
      </c>
      <c r="I54" s="3">
        <v>31133</v>
      </c>
      <c r="J54" s="9">
        <v>5.0000000000000044E-2</v>
      </c>
      <c r="K54" s="9">
        <v>0.95</v>
      </c>
    </row>
    <row r="55" spans="1:11">
      <c r="A55" t="s">
        <v>223</v>
      </c>
      <c r="H55" s="13">
        <f>SUM(H53:H54)</f>
        <v>634589.03256916034</v>
      </c>
      <c r="I55" s="14">
        <f>SUM(I53:I54)</f>
        <v>127388.99</v>
      </c>
    </row>
    <row r="57" spans="1:11">
      <c r="A57" t="s">
        <v>250</v>
      </c>
    </row>
    <row r="58" spans="1:11">
      <c r="A58" t="s">
        <v>158</v>
      </c>
      <c r="B58" t="s">
        <v>250</v>
      </c>
      <c r="C58" t="s">
        <v>248</v>
      </c>
      <c r="D58" s="3">
        <v>73484000</v>
      </c>
      <c r="E58" s="3">
        <v>47176</v>
      </c>
      <c r="F58" s="3">
        <v>81492</v>
      </c>
      <c r="G58" s="3">
        <v>38495</v>
      </c>
      <c r="H58" s="3">
        <v>947256.99999999977</v>
      </c>
      <c r="I58" s="3">
        <v>167163</v>
      </c>
      <c r="J58" s="9">
        <v>0.15000000000000002</v>
      </c>
      <c r="K58" s="9">
        <v>0.85</v>
      </c>
    </row>
    <row r="59" spans="1:11">
      <c r="A59" t="s">
        <v>301</v>
      </c>
      <c r="B59" t="s">
        <v>250</v>
      </c>
      <c r="C59" t="s">
        <v>248</v>
      </c>
      <c r="D59" s="3">
        <v>2555120</v>
      </c>
      <c r="E59" s="3">
        <v>1853.57</v>
      </c>
      <c r="F59" s="3">
        <v>3201.82</v>
      </c>
      <c r="G59" s="3">
        <v>819.55</v>
      </c>
      <c r="H59" s="3">
        <v>28786.820736683632</v>
      </c>
      <c r="I59" s="3">
        <v>5874.9400000000005</v>
      </c>
      <c r="J59" s="9">
        <v>0.16949340931150006</v>
      </c>
      <c r="K59" s="9">
        <v>0.83050659068849997</v>
      </c>
    </row>
    <row r="60" spans="1:11">
      <c r="A60" t="s">
        <v>223</v>
      </c>
      <c r="H60" s="13">
        <f>SUM(H58:H59)</f>
        <v>976043.82073668344</v>
      </c>
      <c r="I60" s="13">
        <f>SUM(I58:I59)</f>
        <v>173037.94</v>
      </c>
    </row>
    <row r="62" spans="1:11">
      <c r="A62" t="s">
        <v>360</v>
      </c>
    </row>
    <row r="63" spans="1:11">
      <c r="A63" t="s">
        <v>306</v>
      </c>
      <c r="B63" t="s">
        <v>332</v>
      </c>
      <c r="C63" t="s">
        <v>119</v>
      </c>
      <c r="D63" s="3">
        <v>6146187</v>
      </c>
      <c r="E63" s="3">
        <v>10665.24</v>
      </c>
      <c r="F63" s="3">
        <v>18422.95</v>
      </c>
      <c r="G63" s="3">
        <v>5731.32</v>
      </c>
      <c r="H63" s="3">
        <v>51062.391003327619</v>
      </c>
      <c r="I63" s="3">
        <v>34819.51</v>
      </c>
      <c r="J63" s="9">
        <v>0.40543478420035056</v>
      </c>
      <c r="K63" s="9">
        <v>0.59456521579964949</v>
      </c>
    </row>
    <row r="64" spans="1:11">
      <c r="A64" t="s">
        <v>312</v>
      </c>
      <c r="B64" t="s">
        <v>332</v>
      </c>
      <c r="C64" t="s">
        <v>119</v>
      </c>
      <c r="D64" s="3">
        <v>6307222</v>
      </c>
      <c r="E64" s="3">
        <v>9739.9599999999991</v>
      </c>
      <c r="F64" s="3">
        <v>16824.650000000001</v>
      </c>
      <c r="G64" s="3">
        <v>5234.09</v>
      </c>
      <c r="H64" s="3">
        <v>56333.375962564358</v>
      </c>
      <c r="I64" s="3">
        <v>31798.7</v>
      </c>
      <c r="J64" s="9">
        <v>0.36080734117175517</v>
      </c>
      <c r="K64" s="9">
        <v>0.63919265882824483</v>
      </c>
    </row>
    <row r="65" spans="1:11">
      <c r="A65" t="s">
        <v>305</v>
      </c>
      <c r="B65" t="s">
        <v>332</v>
      </c>
      <c r="C65" t="s">
        <v>119</v>
      </c>
      <c r="D65" s="3">
        <v>2932413</v>
      </c>
      <c r="E65" s="3">
        <v>4035.0600000000004</v>
      </c>
      <c r="F65" s="3">
        <v>6970.09</v>
      </c>
      <c r="G65" s="3">
        <v>2168.37</v>
      </c>
      <c r="H65" s="3">
        <v>27801.649265664728</v>
      </c>
      <c r="I65" s="3">
        <v>13173.52</v>
      </c>
      <c r="J65" s="9">
        <v>0.32150007519404666</v>
      </c>
      <c r="K65" s="9">
        <v>0.67849992480595334</v>
      </c>
    </row>
    <row r="66" spans="1:11">
      <c r="A66" t="s">
        <v>303</v>
      </c>
      <c r="B66" t="s">
        <v>332</v>
      </c>
      <c r="C66" t="s">
        <v>206</v>
      </c>
      <c r="D66" s="3">
        <v>1622886</v>
      </c>
      <c r="E66" s="3">
        <v>1895.24</v>
      </c>
      <c r="F66" s="3">
        <v>3850.71</v>
      </c>
      <c r="G66" s="3">
        <v>1923.58</v>
      </c>
      <c r="H66" s="3">
        <v>20438.824441322995</v>
      </c>
      <c r="I66" s="3">
        <v>7669.53</v>
      </c>
      <c r="J66" s="9">
        <v>0.27285588759777335</v>
      </c>
      <c r="K66" s="9">
        <v>0.72714411240222665</v>
      </c>
    </row>
    <row r="67" spans="1:11">
      <c r="A67" t="s">
        <v>292</v>
      </c>
      <c r="B67" t="s">
        <v>332</v>
      </c>
      <c r="C67" t="s">
        <v>206</v>
      </c>
      <c r="D67" s="3">
        <v>279553</v>
      </c>
      <c r="E67" s="3">
        <v>551.95999999999992</v>
      </c>
      <c r="F67" s="3">
        <v>1121.44</v>
      </c>
      <c r="G67" s="3">
        <v>560.19999999999993</v>
      </c>
      <c r="H67" s="3">
        <v>2608.2481618473803</v>
      </c>
      <c r="I67" s="3">
        <v>2233.6</v>
      </c>
      <c r="J67" s="9">
        <v>0.46131145078035291</v>
      </c>
      <c r="K67" s="9">
        <v>0.53868854921964715</v>
      </c>
    </row>
    <row r="68" spans="1:11">
      <c r="A68" t="s">
        <v>304</v>
      </c>
      <c r="B68" t="s">
        <v>332</v>
      </c>
      <c r="C68" t="s">
        <v>206</v>
      </c>
      <c r="D68" s="3">
        <v>123818</v>
      </c>
      <c r="E68" s="3">
        <v>194.07</v>
      </c>
      <c r="F68" s="3">
        <v>394.31</v>
      </c>
      <c r="G68" s="3">
        <v>196.97</v>
      </c>
      <c r="H68" s="3">
        <v>1359.1084033520783</v>
      </c>
      <c r="I68" s="3">
        <v>785.35</v>
      </c>
      <c r="J68" s="9">
        <v>0.36622300473275293</v>
      </c>
      <c r="K68" s="9">
        <v>0.63377699526724707</v>
      </c>
    </row>
    <row r="69" spans="1:11">
      <c r="A69" t="s">
        <v>307</v>
      </c>
      <c r="B69" t="s">
        <v>332</v>
      </c>
      <c r="C69" t="s">
        <v>248</v>
      </c>
      <c r="D69" s="3">
        <v>67586</v>
      </c>
      <c r="E69" s="3">
        <v>126.00999999999999</v>
      </c>
      <c r="F69" s="3">
        <v>217.68</v>
      </c>
      <c r="G69" s="3">
        <v>55.72</v>
      </c>
      <c r="H69" s="3">
        <v>517.4301406106714</v>
      </c>
      <c r="I69" s="3">
        <v>399.40999999999997</v>
      </c>
      <c r="J69" s="9">
        <v>0.43563755807415738</v>
      </c>
      <c r="K69" s="9">
        <v>0.56436244192584262</v>
      </c>
    </row>
    <row r="70" spans="1:11">
      <c r="A70" t="s">
        <v>223</v>
      </c>
      <c r="H70" s="13">
        <f>SUM(H63:H69)</f>
        <v>160121.02737868985</v>
      </c>
      <c r="I70" s="13">
        <f>SUM(I63:I69)</f>
        <v>90879.620000000024</v>
      </c>
    </row>
    <row r="72" spans="1:11">
      <c r="A72" t="s">
        <v>256</v>
      </c>
    </row>
    <row r="73" spans="1:11">
      <c r="A73" t="s">
        <v>13</v>
      </c>
      <c r="B73" s="1" t="s">
        <v>60</v>
      </c>
      <c r="C73" t="s">
        <v>58</v>
      </c>
      <c r="D73" s="3">
        <v>85089300</v>
      </c>
      <c r="E73" s="3">
        <v>396380</v>
      </c>
      <c r="F73" s="3">
        <v>737861.37</v>
      </c>
      <c r="G73" s="3">
        <v>6786.2724160000007</v>
      </c>
      <c r="H73" s="3">
        <v>89548.130330180458</v>
      </c>
      <c r="I73" s="3">
        <v>1141027.6424160001</v>
      </c>
      <c r="J73" s="9">
        <v>0.92723070589115952</v>
      </c>
      <c r="K73" s="9">
        <v>7.2769294108840477E-2</v>
      </c>
    </row>
    <row r="74" spans="1:11">
      <c r="A74" t="s">
        <v>162</v>
      </c>
      <c r="B74" s="1" t="s">
        <v>253</v>
      </c>
      <c r="C74" t="s">
        <v>206</v>
      </c>
      <c r="D74" s="3">
        <v>93350900</v>
      </c>
      <c r="E74" s="3">
        <v>199771</v>
      </c>
      <c r="F74" s="3">
        <v>405890</v>
      </c>
      <c r="G74" s="3">
        <v>258769</v>
      </c>
      <c r="H74" s="3">
        <v>864430</v>
      </c>
      <c r="I74" s="3">
        <v>864430</v>
      </c>
      <c r="J74" s="9">
        <v>0.5</v>
      </c>
      <c r="K74" s="9">
        <v>0.5</v>
      </c>
    </row>
    <row r="75" spans="1:11">
      <c r="A75" t="s">
        <v>178</v>
      </c>
      <c r="B75" s="1" t="s">
        <v>268</v>
      </c>
      <c r="C75" t="s">
        <v>206</v>
      </c>
      <c r="D75" s="3">
        <v>116166200</v>
      </c>
      <c r="E75" s="3">
        <v>198877</v>
      </c>
      <c r="F75" s="3">
        <v>404073</v>
      </c>
      <c r="G75" s="3">
        <v>201850</v>
      </c>
      <c r="H75" s="3">
        <v>1207200</v>
      </c>
      <c r="I75" s="3">
        <v>804800</v>
      </c>
      <c r="J75" s="9">
        <v>0.4</v>
      </c>
      <c r="K75" s="9">
        <v>0.6</v>
      </c>
    </row>
    <row r="76" spans="1:11">
      <c r="A76" t="s">
        <v>188</v>
      </c>
      <c r="B76" s="1" t="s">
        <v>279</v>
      </c>
      <c r="C76" t="s">
        <v>206</v>
      </c>
      <c r="D76" s="3">
        <v>106133800</v>
      </c>
      <c r="E76" s="3">
        <v>181701</v>
      </c>
      <c r="F76" s="3">
        <v>369176</v>
      </c>
      <c r="G76" s="3">
        <v>184418</v>
      </c>
      <c r="H76" s="3">
        <v>1102942.5</v>
      </c>
      <c r="I76" s="3">
        <v>735295</v>
      </c>
      <c r="J76" s="9">
        <v>0.4</v>
      </c>
      <c r="K76" s="9">
        <v>0.6</v>
      </c>
    </row>
    <row r="77" spans="1:11">
      <c r="A77" t="s">
        <v>282</v>
      </c>
      <c r="B77" t="s">
        <v>287</v>
      </c>
      <c r="C77" t="s">
        <v>206</v>
      </c>
      <c r="D77" s="3">
        <v>79232100</v>
      </c>
      <c r="E77" s="3">
        <v>135645</v>
      </c>
      <c r="F77" s="3">
        <v>275601</v>
      </c>
      <c r="G77" s="3">
        <v>137674</v>
      </c>
      <c r="H77" s="3">
        <v>823380</v>
      </c>
      <c r="I77" s="3">
        <v>548920</v>
      </c>
      <c r="J77" s="9">
        <v>0.4</v>
      </c>
      <c r="K77" s="9">
        <v>0.6</v>
      </c>
    </row>
    <row r="78" spans="1:11">
      <c r="A78" t="s">
        <v>242</v>
      </c>
      <c r="B78" t="s">
        <v>245</v>
      </c>
      <c r="C78" t="s">
        <v>206</v>
      </c>
      <c r="D78" s="3">
        <v>61517000</v>
      </c>
      <c r="E78" s="3">
        <v>118481</v>
      </c>
      <c r="F78" s="3">
        <v>240728</v>
      </c>
      <c r="G78" s="3">
        <v>175619</v>
      </c>
      <c r="H78" s="3">
        <v>653678.66666666674</v>
      </c>
      <c r="I78" s="3">
        <v>534828</v>
      </c>
      <c r="J78" s="9">
        <v>0.44999999999999996</v>
      </c>
      <c r="K78" s="9">
        <v>0.55000000000000004</v>
      </c>
    </row>
    <row r="79" spans="1:11">
      <c r="A79" t="s">
        <v>275</v>
      </c>
      <c r="B79" t="s">
        <v>276</v>
      </c>
      <c r="C79" t="s">
        <v>206</v>
      </c>
      <c r="D79" s="3">
        <v>61260900</v>
      </c>
      <c r="E79" s="3">
        <v>131098</v>
      </c>
      <c r="F79" s="3">
        <v>266362</v>
      </c>
      <c r="G79" s="3">
        <v>133058</v>
      </c>
      <c r="H79" s="3">
        <v>530518</v>
      </c>
      <c r="I79" s="3">
        <v>530518</v>
      </c>
      <c r="J79" s="9">
        <v>0.5</v>
      </c>
      <c r="K79" s="9">
        <v>0.5</v>
      </c>
    </row>
    <row r="80" spans="1:11">
      <c r="A80" t="s">
        <v>281</v>
      </c>
      <c r="B80" t="s">
        <v>286</v>
      </c>
      <c r="C80" t="s">
        <v>206</v>
      </c>
      <c r="D80" s="3">
        <v>60000000</v>
      </c>
      <c r="E80" s="3">
        <v>115560</v>
      </c>
      <c r="F80" s="3">
        <v>234792</v>
      </c>
      <c r="G80" s="3">
        <v>117288</v>
      </c>
      <c r="H80" s="3">
        <v>571560.00000000012</v>
      </c>
      <c r="I80" s="3">
        <v>467640</v>
      </c>
      <c r="J80" s="9">
        <v>0.44999999999999996</v>
      </c>
      <c r="K80" s="9">
        <v>0.55000000000000004</v>
      </c>
    </row>
    <row r="81" spans="1:11">
      <c r="A81" t="s">
        <v>31</v>
      </c>
      <c r="B81" t="s">
        <v>81</v>
      </c>
      <c r="C81" t="s">
        <v>58</v>
      </c>
      <c r="D81" s="3">
        <v>65184300</v>
      </c>
      <c r="E81" s="3">
        <v>128162</v>
      </c>
      <c r="F81" s="3">
        <v>238573.56299999999</v>
      </c>
      <c r="G81" s="3">
        <v>21741.464624</v>
      </c>
      <c r="H81" s="3">
        <v>604179.04725368018</v>
      </c>
      <c r="I81" s="3">
        <v>388477.02762399998</v>
      </c>
      <c r="J81" s="9">
        <v>0.39135108065688307</v>
      </c>
      <c r="K81" s="9">
        <v>0.60864891934311693</v>
      </c>
    </row>
    <row r="82" spans="1:11">
      <c r="A82" t="s">
        <v>164</v>
      </c>
      <c r="B82" t="s">
        <v>255</v>
      </c>
      <c r="C82" t="s">
        <v>206</v>
      </c>
      <c r="D82" s="3">
        <v>64666200</v>
      </c>
      <c r="E82" s="3">
        <v>69193</v>
      </c>
      <c r="F82" s="3">
        <v>140585</v>
      </c>
      <c r="G82" s="3">
        <v>70228</v>
      </c>
      <c r="H82" s="3">
        <v>840018</v>
      </c>
      <c r="I82" s="3">
        <v>280006</v>
      </c>
      <c r="J82" s="9">
        <v>0.25</v>
      </c>
      <c r="K82" s="9">
        <v>0.75</v>
      </c>
    </row>
    <row r="83" spans="1:11">
      <c r="A83" t="s">
        <v>166</v>
      </c>
      <c r="B83" t="s">
        <v>257</v>
      </c>
      <c r="C83" t="s">
        <v>206</v>
      </c>
      <c r="D83" s="3">
        <v>63265600</v>
      </c>
      <c r="E83" s="3">
        <v>67695</v>
      </c>
      <c r="F83" s="3">
        <v>137539</v>
      </c>
      <c r="G83" s="3">
        <v>68706</v>
      </c>
      <c r="H83" s="3">
        <v>821820</v>
      </c>
      <c r="I83" s="3">
        <v>273940</v>
      </c>
      <c r="J83" s="9">
        <v>0.25</v>
      </c>
      <c r="K83" s="9">
        <v>0.75</v>
      </c>
    </row>
    <row r="84" spans="1:11">
      <c r="A84" t="s">
        <v>165</v>
      </c>
      <c r="B84" t="s">
        <v>256</v>
      </c>
      <c r="C84" t="s">
        <v>206</v>
      </c>
      <c r="D84" s="3">
        <v>54356900</v>
      </c>
      <c r="E84" s="3">
        <v>58162</v>
      </c>
      <c r="F84" s="3">
        <v>118172</v>
      </c>
      <c r="G84" s="3">
        <v>59032</v>
      </c>
      <c r="H84" s="3">
        <v>706098</v>
      </c>
      <c r="I84" s="3">
        <v>235366</v>
      </c>
      <c r="J84" s="9">
        <v>0.25</v>
      </c>
      <c r="K84" s="9">
        <v>0.75</v>
      </c>
    </row>
    <row r="85" spans="1:11">
      <c r="A85" t="s">
        <v>284</v>
      </c>
      <c r="B85" t="s">
        <v>289</v>
      </c>
      <c r="C85" t="s">
        <v>206</v>
      </c>
      <c r="D85" s="3">
        <v>56822400</v>
      </c>
      <c r="E85" s="3">
        <v>48640</v>
      </c>
      <c r="F85" s="3">
        <v>98826</v>
      </c>
      <c r="G85" s="3">
        <v>49368</v>
      </c>
      <c r="H85" s="3">
        <v>787336.00000000023</v>
      </c>
      <c r="I85" s="3">
        <v>196834</v>
      </c>
      <c r="J85" s="9">
        <v>0.19999999999999996</v>
      </c>
      <c r="K85" s="9">
        <v>0.8</v>
      </c>
    </row>
    <row r="86" spans="1:11">
      <c r="A86" t="s">
        <v>167</v>
      </c>
      <c r="B86" t="s">
        <v>258</v>
      </c>
      <c r="C86" t="s">
        <v>206</v>
      </c>
      <c r="D86" s="3">
        <v>40339000</v>
      </c>
      <c r="E86" s="3">
        <v>43162</v>
      </c>
      <c r="F86" s="3">
        <v>87697</v>
      </c>
      <c r="G86" s="3">
        <v>43808</v>
      </c>
      <c r="H86" s="3">
        <v>524001</v>
      </c>
      <c r="I86" s="3">
        <v>174667</v>
      </c>
      <c r="J86" s="9">
        <v>0.25</v>
      </c>
      <c r="K86" s="9">
        <v>0.75</v>
      </c>
    </row>
    <row r="87" spans="1:11">
      <c r="A87" t="s">
        <v>27</v>
      </c>
      <c r="B87" t="s">
        <v>77</v>
      </c>
      <c r="C87" t="s">
        <v>56</v>
      </c>
      <c r="D87" s="3">
        <v>2167300</v>
      </c>
      <c r="E87" s="3">
        <v>11726</v>
      </c>
      <c r="F87" s="3">
        <v>13169.966029723992</v>
      </c>
      <c r="G87" s="3">
        <v>0</v>
      </c>
      <c r="H87" s="3">
        <v>13405.520169851377</v>
      </c>
      <c r="I87" s="3">
        <v>24895.96602972399</v>
      </c>
      <c r="J87" s="9">
        <v>0.65</v>
      </c>
      <c r="K87" s="9">
        <v>0.35</v>
      </c>
    </row>
    <row r="88" spans="1:11">
      <c r="A88" t="s">
        <v>299</v>
      </c>
      <c r="B88" t="s">
        <v>338</v>
      </c>
      <c r="C88" t="s">
        <v>206</v>
      </c>
      <c r="D88" s="3">
        <v>3157774</v>
      </c>
      <c r="E88" s="3">
        <v>2116.83</v>
      </c>
      <c r="F88" s="3">
        <v>4300.92</v>
      </c>
      <c r="G88" s="3">
        <v>2148.48</v>
      </c>
      <c r="H88" s="3">
        <v>46126.529327557444</v>
      </c>
      <c r="I88" s="3">
        <v>8566.23</v>
      </c>
      <c r="J88" s="9">
        <v>0.156624571612788</v>
      </c>
      <c r="K88" s="9">
        <v>0.84337542838721202</v>
      </c>
    </row>
    <row r="89" spans="1:11">
      <c r="A89" t="s">
        <v>223</v>
      </c>
      <c r="H89" s="13">
        <f>SUM(H73:H88)</f>
        <v>10186241.393747939</v>
      </c>
      <c r="I89" s="14">
        <f>SUM(I73:I88)</f>
        <v>7210210.8660697248</v>
      </c>
    </row>
    <row r="91" spans="1:11">
      <c r="A91" t="s">
        <v>692</v>
      </c>
    </row>
    <row r="92" spans="1:11">
      <c r="A92" t="s">
        <v>162</v>
      </c>
      <c r="B92" s="18" t="s">
        <v>253</v>
      </c>
      <c r="C92" t="s">
        <v>206</v>
      </c>
      <c r="D92" s="3">
        <v>93350900</v>
      </c>
      <c r="E92" s="3">
        <v>199771</v>
      </c>
      <c r="F92" s="3">
        <v>405890</v>
      </c>
      <c r="G92" s="3">
        <v>258769</v>
      </c>
      <c r="H92" s="3">
        <v>864430</v>
      </c>
      <c r="I92" s="3">
        <v>864430</v>
      </c>
      <c r="J92" s="9">
        <v>0.5</v>
      </c>
      <c r="K92" s="9">
        <v>0.5</v>
      </c>
    </row>
    <row r="93" spans="1:11">
      <c r="A93" t="s">
        <v>282</v>
      </c>
      <c r="B93" t="s">
        <v>287</v>
      </c>
      <c r="C93" t="s">
        <v>206</v>
      </c>
      <c r="D93" s="3">
        <v>79232100</v>
      </c>
      <c r="E93" s="3">
        <v>135645</v>
      </c>
      <c r="F93" s="3">
        <v>275601</v>
      </c>
      <c r="G93" s="3">
        <v>137674</v>
      </c>
      <c r="H93" s="3">
        <v>823380</v>
      </c>
      <c r="I93" s="3">
        <v>548920</v>
      </c>
      <c r="J93" s="9">
        <v>0.4</v>
      </c>
      <c r="K93" s="9">
        <v>0.6</v>
      </c>
    </row>
    <row r="94" spans="1:11">
      <c r="A94" t="s">
        <v>281</v>
      </c>
      <c r="B94" t="s">
        <v>286</v>
      </c>
      <c r="C94" t="s">
        <v>206</v>
      </c>
      <c r="D94" s="3">
        <v>60000000</v>
      </c>
      <c r="E94" s="3">
        <v>115560</v>
      </c>
      <c r="F94" s="3">
        <v>234792</v>
      </c>
      <c r="G94" s="3">
        <v>117288</v>
      </c>
      <c r="H94" s="3">
        <v>571560.00000000012</v>
      </c>
      <c r="I94" s="3">
        <v>467640</v>
      </c>
      <c r="J94" s="9">
        <v>0.44999999999999996</v>
      </c>
      <c r="K94" s="9">
        <v>0.55000000000000004</v>
      </c>
    </row>
    <row r="95" spans="1:11">
      <c r="A95" t="s">
        <v>223</v>
      </c>
      <c r="D95" s="3"/>
      <c r="E95" s="3"/>
      <c r="F95" s="3"/>
      <c r="G95" s="3"/>
      <c r="H95" s="3">
        <f>SUM(H92:H94)</f>
        <v>2259370</v>
      </c>
      <c r="I95" s="3">
        <f>SUM(I92:I94)</f>
        <v>1880990</v>
      </c>
      <c r="J95" s="9"/>
      <c r="K95" s="9"/>
    </row>
    <row r="97" spans="1:11">
      <c r="A97" t="s">
        <v>381</v>
      </c>
    </row>
    <row r="98" spans="1:11">
      <c r="A98" t="s">
        <v>297</v>
      </c>
      <c r="B98" t="s">
        <v>336</v>
      </c>
      <c r="C98" t="s">
        <v>199</v>
      </c>
      <c r="D98" s="3">
        <v>30430187</v>
      </c>
      <c r="E98" s="3">
        <v>92831.32</v>
      </c>
      <c r="F98" s="3">
        <v>160355.26</v>
      </c>
      <c r="G98" s="3">
        <v>37826.589999999997</v>
      </c>
      <c r="H98" s="3">
        <v>117274.7240040691</v>
      </c>
      <c r="I98" s="3">
        <v>291013.17000000004</v>
      </c>
      <c r="J98" s="9">
        <v>0.71276463072671881</v>
      </c>
      <c r="K98" s="9">
        <v>0.28723536927328119</v>
      </c>
    </row>
    <row r="99" spans="1:11">
      <c r="A99" t="s">
        <v>325</v>
      </c>
      <c r="B99" t="s">
        <v>336</v>
      </c>
      <c r="C99" t="s">
        <v>119</v>
      </c>
      <c r="D99" s="3">
        <v>34012650</v>
      </c>
      <c r="E99" s="3">
        <v>84524.800000000003</v>
      </c>
      <c r="F99" s="3">
        <v>146006.72</v>
      </c>
      <c r="G99" s="3">
        <v>45422.21</v>
      </c>
      <c r="H99" s="3">
        <v>199311.84379021038</v>
      </c>
      <c r="I99" s="3">
        <v>275953.73000000004</v>
      </c>
      <c r="J99" s="9">
        <v>0.5806305889132426</v>
      </c>
      <c r="K99" s="9">
        <v>0.4193694110867574</v>
      </c>
    </row>
    <row r="100" spans="1:11">
      <c r="A100" t="s">
        <v>130</v>
      </c>
      <c r="B100" t="s">
        <v>336</v>
      </c>
      <c r="C100" t="s">
        <v>199</v>
      </c>
      <c r="D100" s="3">
        <v>10220300</v>
      </c>
      <c r="E100" s="3">
        <v>4374</v>
      </c>
      <c r="F100" s="3">
        <v>7556</v>
      </c>
      <c r="G100" s="3">
        <v>1782</v>
      </c>
      <c r="H100" s="3">
        <v>123408.00000000003</v>
      </c>
      <c r="I100" s="3">
        <v>13712</v>
      </c>
      <c r="J100" s="9">
        <v>9.9999999999999978E-2</v>
      </c>
      <c r="K100" s="9">
        <v>0.9</v>
      </c>
    </row>
    <row r="101" spans="1:11">
      <c r="A101" t="s">
        <v>223</v>
      </c>
      <c r="H101" s="13">
        <f>SUM(H98:H100)</f>
        <v>439994.56779427954</v>
      </c>
      <c r="I101" s="13">
        <f>SUM(I98:I100)</f>
        <v>580678.90000000014</v>
      </c>
    </row>
    <row r="103" spans="1:11">
      <c r="A103" t="s">
        <v>277</v>
      </c>
    </row>
    <row r="104" spans="1:11">
      <c r="A104" t="s">
        <v>186</v>
      </c>
      <c r="B104" t="s">
        <v>277</v>
      </c>
      <c r="C104" t="s">
        <v>119</v>
      </c>
      <c r="D104" s="3">
        <v>19446000</v>
      </c>
      <c r="E104" s="3">
        <v>4161</v>
      </c>
      <c r="F104" s="3">
        <v>7188</v>
      </c>
      <c r="G104" s="3">
        <v>3403</v>
      </c>
      <c r="H104" s="3">
        <v>280287.99999999971</v>
      </c>
      <c r="I104" s="3">
        <v>14752</v>
      </c>
      <c r="J104" s="9">
        <v>5.0000000000000044E-2</v>
      </c>
      <c r="K104" s="9">
        <v>0.95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7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4" x14ac:dyDescent="0"/>
  <cols>
    <col min="1" max="1" width="19.1640625" bestFit="1" customWidth="1"/>
    <col min="2" max="2" width="19.1640625" customWidth="1"/>
    <col min="3" max="3" width="25.33203125" bestFit="1" customWidth="1"/>
    <col min="4" max="4" width="10.83203125" customWidth="1"/>
    <col min="5" max="5" width="18.1640625" bestFit="1" customWidth="1"/>
    <col min="6" max="6" width="16" customWidth="1"/>
    <col min="7" max="8" width="18.1640625" customWidth="1"/>
    <col min="9" max="9" width="20.33203125" bestFit="1" customWidth="1"/>
    <col min="10" max="11" width="20.33203125" customWidth="1"/>
    <col min="12" max="12" width="18.1640625" customWidth="1"/>
    <col min="14" max="14" width="11.5" bestFit="1" customWidth="1"/>
    <col min="15" max="15" width="14.33203125" bestFit="1" customWidth="1"/>
    <col min="16" max="16" width="11.5" bestFit="1" customWidth="1"/>
    <col min="17" max="17" width="10.6640625" bestFit="1" customWidth="1"/>
    <col min="19" max="19" width="14.1640625" bestFit="1" customWidth="1"/>
    <col min="21" max="21" width="11.1640625" customWidth="1"/>
    <col min="22" max="22" width="11" customWidth="1"/>
    <col min="23" max="23" width="9" customWidth="1"/>
  </cols>
  <sheetData>
    <row r="1" spans="1:37">
      <c r="A1" s="1" t="s">
        <v>96</v>
      </c>
      <c r="B1" s="1" t="s">
        <v>411</v>
      </c>
      <c r="C1" s="1" t="s">
        <v>1</v>
      </c>
      <c r="D1" s="1" t="s">
        <v>52</v>
      </c>
      <c r="E1" s="1" t="s">
        <v>326</v>
      </c>
      <c r="F1" s="1" t="s">
        <v>62</v>
      </c>
      <c r="G1" s="1" t="s">
        <v>61</v>
      </c>
      <c r="H1" s="1" t="s">
        <v>191</v>
      </c>
      <c r="I1" s="1" t="s">
        <v>192</v>
      </c>
      <c r="J1" s="1" t="s">
        <v>328</v>
      </c>
      <c r="K1" s="1" t="s">
        <v>333</v>
      </c>
      <c r="L1" s="1" t="s">
        <v>190</v>
      </c>
      <c r="M1" s="1">
        <v>2016</v>
      </c>
      <c r="N1" s="1" t="s">
        <v>97</v>
      </c>
      <c r="O1" s="1" t="s">
        <v>98</v>
      </c>
      <c r="P1" s="1" t="s">
        <v>99</v>
      </c>
      <c r="Q1" s="1" t="s">
        <v>100</v>
      </c>
      <c r="R1" s="1" t="s">
        <v>101</v>
      </c>
      <c r="S1" s="1" t="s">
        <v>102</v>
      </c>
      <c r="T1" s="1" t="s">
        <v>103</v>
      </c>
      <c r="U1" s="1" t="s">
        <v>104</v>
      </c>
      <c r="V1" s="1" t="s">
        <v>105</v>
      </c>
      <c r="W1" s="1" t="s">
        <v>327</v>
      </c>
      <c r="X1" s="1" t="s">
        <v>106</v>
      </c>
      <c r="Y1" s="1" t="s">
        <v>107</v>
      </c>
      <c r="Z1" s="1" t="s">
        <v>108</v>
      </c>
      <c r="AA1" s="1" t="s">
        <v>109</v>
      </c>
      <c r="AB1" s="1" t="s">
        <v>110</v>
      </c>
      <c r="AC1" s="1" t="s">
        <v>111</v>
      </c>
      <c r="AD1" s="1" t="s">
        <v>112</v>
      </c>
      <c r="AE1" s="1" t="s">
        <v>113</v>
      </c>
      <c r="AF1" s="1" t="s">
        <v>114</v>
      </c>
      <c r="AG1" s="1" t="s">
        <v>115</v>
      </c>
      <c r="AH1" s="1" t="s">
        <v>116</v>
      </c>
      <c r="AI1" s="1" t="s">
        <v>117</v>
      </c>
      <c r="AJ1" s="1" t="s">
        <v>118</v>
      </c>
      <c r="AK1" s="1" t="s">
        <v>119</v>
      </c>
    </row>
    <row r="2" spans="1:37">
      <c r="A2" t="s">
        <v>120</v>
      </c>
      <c r="B2" t="s">
        <v>436</v>
      </c>
      <c r="C2" t="s">
        <v>193</v>
      </c>
      <c r="D2" t="s">
        <v>116</v>
      </c>
      <c r="E2" s="3">
        <v>36411225</v>
      </c>
      <c r="F2" s="5">
        <f>SUM((1-L2)*G2)/L2</f>
        <v>109087.99999999997</v>
      </c>
      <c r="G2" s="5">
        <f>SUM(N2+O2)</f>
        <v>46752</v>
      </c>
      <c r="H2" s="3">
        <f>SUM(U2:W2)</f>
        <v>80759</v>
      </c>
      <c r="I2" s="3">
        <f>SUM(P2:T2,X2:AK2)</f>
        <v>54879</v>
      </c>
      <c r="J2" s="3">
        <f>SUM(M2)*((G2+H2+I2)/L2)</f>
        <v>425576.66666666663</v>
      </c>
      <c r="K2" s="3">
        <f>SUM(G2:I2)</f>
        <v>182390</v>
      </c>
      <c r="L2" s="9">
        <f t="shared" ref="L2:L33" si="0">SUM(1-M2)</f>
        <v>0.30000000000000004</v>
      </c>
      <c r="M2" s="6">
        <v>0.7</v>
      </c>
      <c r="N2" s="7">
        <v>1092</v>
      </c>
      <c r="O2" s="7">
        <v>45660</v>
      </c>
      <c r="P2" s="7">
        <v>13108</v>
      </c>
      <c r="Q2" t="s">
        <v>121</v>
      </c>
      <c r="R2" t="s">
        <v>121</v>
      </c>
      <c r="S2" t="s">
        <v>121</v>
      </c>
      <c r="T2" t="s">
        <v>121</v>
      </c>
      <c r="U2" t="s">
        <v>121</v>
      </c>
      <c r="V2" t="s">
        <v>121</v>
      </c>
      <c r="W2" s="7">
        <v>80759</v>
      </c>
      <c r="X2" t="s">
        <v>121</v>
      </c>
      <c r="Y2" t="s">
        <v>121</v>
      </c>
      <c r="Z2" t="s">
        <v>121</v>
      </c>
      <c r="AA2" t="s">
        <v>121</v>
      </c>
      <c r="AB2" t="s">
        <v>121</v>
      </c>
      <c r="AC2" t="s">
        <v>121</v>
      </c>
      <c r="AD2" t="s">
        <v>121</v>
      </c>
      <c r="AE2" t="s">
        <v>121</v>
      </c>
      <c r="AF2" t="s">
        <v>121</v>
      </c>
      <c r="AH2" s="7">
        <v>41771</v>
      </c>
    </row>
    <row r="3" spans="1:37">
      <c r="A3" t="s">
        <v>122</v>
      </c>
      <c r="B3" t="s">
        <v>437</v>
      </c>
      <c r="C3" t="s">
        <v>194</v>
      </c>
      <c r="D3" t="s">
        <v>116</v>
      </c>
      <c r="E3" s="3">
        <v>11621300</v>
      </c>
      <c r="F3" s="5">
        <f t="shared" ref="F3:F66" si="1">SUM((1-L3)*G3)/L3</f>
        <v>32331.000000000004</v>
      </c>
      <c r="G3" s="5">
        <f t="shared" ref="G3:G66" si="2">SUM(N3+O3)</f>
        <v>17409</v>
      </c>
      <c r="H3" s="3">
        <f t="shared" ref="H3:H66" si="3">SUM(U3:W3)</f>
        <v>30072</v>
      </c>
      <c r="I3" s="3">
        <f t="shared" ref="I3:I66" si="4">SUM(P3:T3,X3:AK3)</f>
        <v>20435</v>
      </c>
      <c r="J3" s="3">
        <f t="shared" ref="J3:J66" si="5">SUM(M3)*((G3+H3+I3)/L3)</f>
        <v>126129.71428571429</v>
      </c>
      <c r="K3" s="3">
        <f t="shared" ref="K3:K66" si="6">SUM(G3:I3)</f>
        <v>67916</v>
      </c>
      <c r="L3" s="9">
        <f t="shared" si="0"/>
        <v>0.35</v>
      </c>
      <c r="M3" s="6">
        <v>0.65</v>
      </c>
      <c r="N3">
        <v>407</v>
      </c>
      <c r="O3" s="7">
        <v>17002</v>
      </c>
      <c r="P3" s="7">
        <v>4881</v>
      </c>
      <c r="Q3" t="s">
        <v>121</v>
      </c>
      <c r="R3" t="s">
        <v>121</v>
      </c>
      <c r="S3" t="s">
        <v>121</v>
      </c>
      <c r="T3" t="s">
        <v>121</v>
      </c>
      <c r="U3" t="s">
        <v>121</v>
      </c>
      <c r="V3" t="s">
        <v>121</v>
      </c>
      <c r="W3" s="7">
        <v>30072</v>
      </c>
      <c r="X3" t="s">
        <v>121</v>
      </c>
      <c r="Y3" t="s">
        <v>121</v>
      </c>
      <c r="Z3" t="s">
        <v>121</v>
      </c>
      <c r="AA3" t="s">
        <v>121</v>
      </c>
      <c r="AB3" t="s">
        <v>121</v>
      </c>
      <c r="AC3" t="s">
        <v>121</v>
      </c>
      <c r="AD3" t="s">
        <v>121</v>
      </c>
      <c r="AE3" t="s">
        <v>121</v>
      </c>
      <c r="AF3" t="s">
        <v>121</v>
      </c>
      <c r="AH3" s="7">
        <v>15554</v>
      </c>
    </row>
    <row r="4" spans="1:37">
      <c r="A4" t="s">
        <v>123</v>
      </c>
      <c r="B4" t="s">
        <v>438</v>
      </c>
      <c r="C4" t="s">
        <v>195</v>
      </c>
      <c r="D4" t="s">
        <v>116</v>
      </c>
      <c r="E4" s="3">
        <v>14000000</v>
      </c>
      <c r="F4" s="5">
        <f t="shared" si="1"/>
        <v>41943.999999999993</v>
      </c>
      <c r="G4" s="5">
        <f t="shared" si="2"/>
        <v>17976</v>
      </c>
      <c r="H4" s="3">
        <f t="shared" si="3"/>
        <v>31051</v>
      </c>
      <c r="I4" s="3">
        <f t="shared" si="4"/>
        <v>21101</v>
      </c>
      <c r="J4" s="3">
        <f t="shared" si="5"/>
        <v>163631.99999999997</v>
      </c>
      <c r="K4" s="3">
        <f t="shared" si="6"/>
        <v>70128</v>
      </c>
      <c r="L4" s="9">
        <f t="shared" si="0"/>
        <v>0.30000000000000004</v>
      </c>
      <c r="M4" s="6">
        <v>0.7</v>
      </c>
      <c r="N4">
        <v>420</v>
      </c>
      <c r="O4" s="7">
        <v>17556</v>
      </c>
      <c r="P4" s="7">
        <v>5040</v>
      </c>
      <c r="Q4" t="s">
        <v>121</v>
      </c>
      <c r="R4" t="s">
        <v>121</v>
      </c>
      <c r="S4" t="s">
        <v>121</v>
      </c>
      <c r="T4" t="s">
        <v>121</v>
      </c>
      <c r="U4" t="s">
        <v>121</v>
      </c>
      <c r="V4" t="s">
        <v>121</v>
      </c>
      <c r="W4" s="7">
        <v>31051</v>
      </c>
      <c r="X4" t="s">
        <v>121</v>
      </c>
      <c r="Y4" t="s">
        <v>121</v>
      </c>
      <c r="Z4" t="s">
        <v>121</v>
      </c>
      <c r="AA4" t="s">
        <v>121</v>
      </c>
      <c r="AB4" t="s">
        <v>121</v>
      </c>
      <c r="AC4" t="s">
        <v>121</v>
      </c>
      <c r="AD4" t="s">
        <v>121</v>
      </c>
      <c r="AE4" t="s">
        <v>121</v>
      </c>
      <c r="AF4" t="s">
        <v>121</v>
      </c>
      <c r="AH4" s="7">
        <v>16061</v>
      </c>
    </row>
    <row r="5" spans="1:37">
      <c r="A5" t="s">
        <v>124</v>
      </c>
      <c r="B5" t="s">
        <v>439</v>
      </c>
      <c r="C5" t="s">
        <v>196</v>
      </c>
      <c r="D5" t="s">
        <v>115</v>
      </c>
      <c r="E5" s="3">
        <v>22359300</v>
      </c>
      <c r="F5" s="5">
        <f t="shared" si="1"/>
        <v>52633.777777777781</v>
      </c>
      <c r="G5" s="5">
        <f t="shared" si="2"/>
        <v>43064</v>
      </c>
      <c r="H5" s="3">
        <f t="shared" si="3"/>
        <v>74388</v>
      </c>
      <c r="I5" s="3">
        <f t="shared" si="4"/>
        <v>63155</v>
      </c>
      <c r="J5" s="3">
        <f t="shared" si="5"/>
        <v>220741.88888888893</v>
      </c>
      <c r="K5" s="3">
        <f t="shared" si="6"/>
        <v>180607</v>
      </c>
      <c r="L5" s="9">
        <f t="shared" si="0"/>
        <v>0.44999999999999996</v>
      </c>
      <c r="M5" s="6">
        <v>0.55000000000000004</v>
      </c>
      <c r="N5" s="7">
        <v>1006</v>
      </c>
      <c r="O5" s="7">
        <v>42058</v>
      </c>
      <c r="P5" t="s">
        <v>121</v>
      </c>
      <c r="Q5" t="s">
        <v>121</v>
      </c>
      <c r="R5" t="s">
        <v>121</v>
      </c>
      <c r="S5" t="s">
        <v>121</v>
      </c>
      <c r="T5" t="s">
        <v>121</v>
      </c>
      <c r="U5" t="s">
        <v>121</v>
      </c>
      <c r="V5" t="s">
        <v>121</v>
      </c>
      <c r="W5" s="7">
        <v>74388</v>
      </c>
      <c r="X5" t="s">
        <v>121</v>
      </c>
      <c r="Y5" t="s">
        <v>121</v>
      </c>
      <c r="Z5" t="s">
        <v>121</v>
      </c>
      <c r="AA5" t="s">
        <v>121</v>
      </c>
      <c r="AB5" t="s">
        <v>121</v>
      </c>
      <c r="AC5" t="s">
        <v>121</v>
      </c>
      <c r="AD5" t="s">
        <v>121</v>
      </c>
      <c r="AE5" t="s">
        <v>121</v>
      </c>
      <c r="AF5" t="s">
        <v>121</v>
      </c>
      <c r="AG5" s="7">
        <v>63155</v>
      </c>
    </row>
    <row r="6" spans="1:37">
      <c r="A6" t="s">
        <v>125</v>
      </c>
      <c r="B6" t="s">
        <v>440</v>
      </c>
      <c r="C6" t="s">
        <v>197</v>
      </c>
      <c r="D6" t="s">
        <v>115</v>
      </c>
      <c r="E6" s="3">
        <v>40716800</v>
      </c>
      <c r="F6" s="5">
        <f t="shared" si="1"/>
        <v>130701</v>
      </c>
      <c r="G6" s="5">
        <f t="shared" si="2"/>
        <v>43567</v>
      </c>
      <c r="H6" s="3">
        <f t="shared" si="3"/>
        <v>75257</v>
      </c>
      <c r="I6" s="3">
        <f t="shared" si="4"/>
        <v>63893</v>
      </c>
      <c r="J6" s="3">
        <f t="shared" si="5"/>
        <v>548151</v>
      </c>
      <c r="K6" s="3">
        <f t="shared" si="6"/>
        <v>182717</v>
      </c>
      <c r="L6" s="9">
        <f t="shared" si="0"/>
        <v>0.25</v>
      </c>
      <c r="M6" s="6">
        <v>0.75</v>
      </c>
      <c r="N6" s="7">
        <v>1018</v>
      </c>
      <c r="O6" s="7">
        <v>42549</v>
      </c>
      <c r="P6" t="s">
        <v>121</v>
      </c>
      <c r="Q6" t="s">
        <v>121</v>
      </c>
      <c r="R6" t="s">
        <v>121</v>
      </c>
      <c r="S6" t="s">
        <v>121</v>
      </c>
      <c r="T6" t="s">
        <v>121</v>
      </c>
      <c r="U6" t="s">
        <v>121</v>
      </c>
      <c r="V6" t="s">
        <v>121</v>
      </c>
      <c r="W6" s="7">
        <v>75257</v>
      </c>
      <c r="X6" t="s">
        <v>121</v>
      </c>
      <c r="Y6" t="s">
        <v>121</v>
      </c>
      <c r="Z6" t="s">
        <v>121</v>
      </c>
      <c r="AA6" t="s">
        <v>121</v>
      </c>
      <c r="AB6" t="s">
        <v>121</v>
      </c>
      <c r="AC6" t="s">
        <v>121</v>
      </c>
      <c r="AD6" t="s">
        <v>121</v>
      </c>
      <c r="AE6" t="s">
        <v>121</v>
      </c>
      <c r="AF6" t="s">
        <v>121</v>
      </c>
      <c r="AG6" s="7">
        <v>63893</v>
      </c>
    </row>
    <row r="7" spans="1:37">
      <c r="A7" t="s">
        <v>126</v>
      </c>
      <c r="B7" t="s">
        <v>441</v>
      </c>
      <c r="C7" t="s">
        <v>340</v>
      </c>
      <c r="D7" t="s">
        <v>115</v>
      </c>
      <c r="E7" s="3">
        <v>7419900</v>
      </c>
      <c r="F7" s="5">
        <f t="shared" si="1"/>
        <v>23817</v>
      </c>
      <c r="G7" s="5">
        <f t="shared" si="2"/>
        <v>7939</v>
      </c>
      <c r="H7" s="3">
        <f t="shared" si="3"/>
        <v>13714</v>
      </c>
      <c r="I7" s="3">
        <f t="shared" si="4"/>
        <v>11643</v>
      </c>
      <c r="J7" s="3">
        <f t="shared" si="5"/>
        <v>99888</v>
      </c>
      <c r="K7" s="3">
        <f t="shared" si="6"/>
        <v>33296</v>
      </c>
      <c r="L7" s="9">
        <f t="shared" si="0"/>
        <v>0.25</v>
      </c>
      <c r="M7" s="6">
        <v>0.75</v>
      </c>
      <c r="N7">
        <v>185</v>
      </c>
      <c r="O7" s="7">
        <v>7754</v>
      </c>
      <c r="P7" t="s">
        <v>121</v>
      </c>
      <c r="Q7" t="s">
        <v>121</v>
      </c>
      <c r="R7" t="s">
        <v>121</v>
      </c>
      <c r="S7" t="s">
        <v>121</v>
      </c>
      <c r="T7" t="s">
        <v>121</v>
      </c>
      <c r="U7" t="s">
        <v>121</v>
      </c>
      <c r="V7" t="s">
        <v>121</v>
      </c>
      <c r="W7" s="7">
        <v>13714</v>
      </c>
      <c r="X7" t="s">
        <v>121</v>
      </c>
      <c r="Y7" t="s">
        <v>121</v>
      </c>
      <c r="Z7" t="s">
        <v>121</v>
      </c>
      <c r="AA7" t="s">
        <v>121</v>
      </c>
      <c r="AB7" t="s">
        <v>121</v>
      </c>
      <c r="AC7" t="s">
        <v>121</v>
      </c>
      <c r="AD7" t="s">
        <v>121</v>
      </c>
      <c r="AE7" t="s">
        <v>121</v>
      </c>
      <c r="AF7" t="s">
        <v>121</v>
      </c>
      <c r="AG7" s="7">
        <v>11643</v>
      </c>
    </row>
    <row r="8" spans="1:37">
      <c r="A8" t="s">
        <v>127</v>
      </c>
      <c r="B8" t="s">
        <v>441</v>
      </c>
      <c r="C8" t="s">
        <v>340</v>
      </c>
      <c r="D8" t="s">
        <v>115</v>
      </c>
      <c r="E8" s="3">
        <v>37044800</v>
      </c>
      <c r="F8" s="5">
        <f t="shared" si="1"/>
        <v>118914</v>
      </c>
      <c r="G8" s="5">
        <f t="shared" si="2"/>
        <v>39638</v>
      </c>
      <c r="H8" s="3">
        <f t="shared" si="3"/>
        <v>68470</v>
      </c>
      <c r="I8" s="3">
        <f t="shared" si="4"/>
        <v>58131</v>
      </c>
      <c r="J8" s="3">
        <f t="shared" si="5"/>
        <v>498717</v>
      </c>
      <c r="K8" s="3">
        <f t="shared" si="6"/>
        <v>166239</v>
      </c>
      <c r="L8" s="9">
        <f t="shared" si="0"/>
        <v>0.25</v>
      </c>
      <c r="M8" s="6">
        <v>0.75</v>
      </c>
      <c r="N8">
        <v>926</v>
      </c>
      <c r="O8" s="7">
        <v>38712</v>
      </c>
      <c r="P8" t="s">
        <v>121</v>
      </c>
      <c r="Q8" t="s">
        <v>121</v>
      </c>
      <c r="R8" t="s">
        <v>121</v>
      </c>
      <c r="S8" t="s">
        <v>121</v>
      </c>
      <c r="T8" t="s">
        <v>121</v>
      </c>
      <c r="U8" t="s">
        <v>121</v>
      </c>
      <c r="V8" t="s">
        <v>121</v>
      </c>
      <c r="W8" s="7">
        <v>68470</v>
      </c>
      <c r="X8" t="s">
        <v>121</v>
      </c>
      <c r="Y8" t="s">
        <v>121</v>
      </c>
      <c r="Z8" t="s">
        <v>121</v>
      </c>
      <c r="AA8" t="s">
        <v>121</v>
      </c>
      <c r="AB8" t="s">
        <v>121</v>
      </c>
      <c r="AC8" t="s">
        <v>121</v>
      </c>
      <c r="AD8" t="s">
        <v>121</v>
      </c>
      <c r="AE8" t="s">
        <v>121</v>
      </c>
      <c r="AF8" t="s">
        <v>121</v>
      </c>
      <c r="AG8" s="7">
        <v>58131</v>
      </c>
    </row>
    <row r="9" spans="1:37">
      <c r="A9" t="s">
        <v>128</v>
      </c>
      <c r="B9" t="s">
        <v>442</v>
      </c>
      <c r="C9" t="s">
        <v>198</v>
      </c>
      <c r="D9" t="s">
        <v>115</v>
      </c>
      <c r="E9" s="3">
        <v>16500000</v>
      </c>
      <c r="F9" s="5">
        <f t="shared" si="1"/>
        <v>60032.666666666657</v>
      </c>
      <c r="G9" s="5">
        <f t="shared" si="2"/>
        <v>10594</v>
      </c>
      <c r="H9" s="3">
        <f t="shared" si="3"/>
        <v>18298</v>
      </c>
      <c r="I9" s="3">
        <f t="shared" si="4"/>
        <v>15535</v>
      </c>
      <c r="J9" s="3">
        <f t="shared" si="5"/>
        <v>251752.99999999994</v>
      </c>
      <c r="K9" s="3">
        <f t="shared" si="6"/>
        <v>44427</v>
      </c>
      <c r="L9" s="9">
        <f t="shared" si="0"/>
        <v>0.15000000000000002</v>
      </c>
      <c r="M9" s="6">
        <v>0.85</v>
      </c>
      <c r="N9">
        <v>248</v>
      </c>
      <c r="O9" s="7">
        <v>10346</v>
      </c>
      <c r="P9" t="s">
        <v>121</v>
      </c>
      <c r="Q9" t="s">
        <v>121</v>
      </c>
      <c r="R9" t="s">
        <v>121</v>
      </c>
      <c r="S9" t="s">
        <v>121</v>
      </c>
      <c r="T9" t="s">
        <v>121</v>
      </c>
      <c r="U9" t="s">
        <v>121</v>
      </c>
      <c r="V9" t="s">
        <v>121</v>
      </c>
      <c r="W9" s="7">
        <v>18298</v>
      </c>
      <c r="X9" t="s">
        <v>121</v>
      </c>
      <c r="Y9" t="s">
        <v>121</v>
      </c>
      <c r="Z9" t="s">
        <v>121</v>
      </c>
      <c r="AA9" t="s">
        <v>121</v>
      </c>
      <c r="AB9" t="s">
        <v>121</v>
      </c>
      <c r="AC9" t="s">
        <v>121</v>
      </c>
      <c r="AD9" t="s">
        <v>121</v>
      </c>
      <c r="AE9" t="s">
        <v>121</v>
      </c>
      <c r="AF9" t="s">
        <v>121</v>
      </c>
      <c r="AG9" s="7">
        <v>15535</v>
      </c>
    </row>
    <row r="10" spans="1:37">
      <c r="A10" t="s">
        <v>129</v>
      </c>
      <c r="B10" t="s">
        <v>442</v>
      </c>
      <c r="C10" t="s">
        <v>198</v>
      </c>
      <c r="D10" t="s">
        <v>115</v>
      </c>
      <c r="E10" s="3">
        <v>25124700</v>
      </c>
      <c r="F10" s="5">
        <f t="shared" si="1"/>
        <v>91403.333333333314</v>
      </c>
      <c r="G10" s="5">
        <f t="shared" si="2"/>
        <v>16130</v>
      </c>
      <c r="H10" s="3">
        <f t="shared" si="3"/>
        <v>27863</v>
      </c>
      <c r="I10" s="3">
        <f t="shared" si="4"/>
        <v>23655</v>
      </c>
      <c r="J10" s="3">
        <f t="shared" si="5"/>
        <v>383338.66666666663</v>
      </c>
      <c r="K10" s="3">
        <f t="shared" si="6"/>
        <v>67648</v>
      </c>
      <c r="L10" s="9">
        <f t="shared" si="0"/>
        <v>0.15000000000000002</v>
      </c>
      <c r="M10" s="6">
        <v>0.85</v>
      </c>
      <c r="N10">
        <v>377</v>
      </c>
      <c r="O10" s="7">
        <v>15753</v>
      </c>
      <c r="P10" t="s">
        <v>121</v>
      </c>
      <c r="Q10" t="s">
        <v>121</v>
      </c>
      <c r="R10" t="s">
        <v>121</v>
      </c>
      <c r="S10" t="s">
        <v>121</v>
      </c>
      <c r="T10" t="s">
        <v>121</v>
      </c>
      <c r="U10" t="s">
        <v>121</v>
      </c>
      <c r="V10" t="s">
        <v>121</v>
      </c>
      <c r="W10" s="7">
        <v>27863</v>
      </c>
      <c r="X10" t="s">
        <v>121</v>
      </c>
      <c r="Y10" t="s">
        <v>121</v>
      </c>
      <c r="Z10" t="s">
        <v>121</v>
      </c>
      <c r="AA10" t="s">
        <v>121</v>
      </c>
      <c r="AB10" t="s">
        <v>121</v>
      </c>
      <c r="AC10" t="s">
        <v>121</v>
      </c>
      <c r="AD10" t="s">
        <v>121</v>
      </c>
      <c r="AE10" t="s">
        <v>121</v>
      </c>
      <c r="AF10" t="s">
        <v>121</v>
      </c>
      <c r="AG10" s="7">
        <v>23655</v>
      </c>
    </row>
    <row r="11" spans="1:37">
      <c r="A11" t="s">
        <v>130</v>
      </c>
      <c r="B11" t="s">
        <v>443</v>
      </c>
      <c r="C11" t="s">
        <v>336</v>
      </c>
      <c r="D11" t="s">
        <v>199</v>
      </c>
      <c r="E11" s="3">
        <v>10220300</v>
      </c>
      <c r="F11" s="5">
        <f t="shared" si="1"/>
        <v>39366.000000000007</v>
      </c>
      <c r="G11" s="5">
        <f t="shared" si="2"/>
        <v>4374</v>
      </c>
      <c r="H11" s="3">
        <f t="shared" si="3"/>
        <v>7556</v>
      </c>
      <c r="I11" s="3">
        <f t="shared" si="4"/>
        <v>1782</v>
      </c>
      <c r="J11" s="3">
        <f t="shared" si="5"/>
        <v>123408.00000000003</v>
      </c>
      <c r="K11" s="3">
        <f t="shared" si="6"/>
        <v>13712</v>
      </c>
      <c r="L11" s="9">
        <f t="shared" si="0"/>
        <v>9.9999999999999978E-2</v>
      </c>
      <c r="M11" s="6">
        <v>0.9</v>
      </c>
      <c r="N11">
        <v>102</v>
      </c>
      <c r="O11" s="7">
        <v>4272</v>
      </c>
      <c r="P11" t="s">
        <v>121</v>
      </c>
      <c r="Q11" t="s">
        <v>121</v>
      </c>
      <c r="R11" t="s">
        <v>121</v>
      </c>
      <c r="S11" t="s">
        <v>121</v>
      </c>
      <c r="T11" t="s">
        <v>121</v>
      </c>
      <c r="U11" t="s">
        <v>121</v>
      </c>
      <c r="V11" t="s">
        <v>121</v>
      </c>
      <c r="W11" s="7">
        <v>7556</v>
      </c>
      <c r="X11" t="s">
        <v>121</v>
      </c>
      <c r="Y11" s="7">
        <v>1782</v>
      </c>
      <c r="Z11" t="s">
        <v>121</v>
      </c>
      <c r="AA11" t="s">
        <v>121</v>
      </c>
      <c r="AB11" t="s">
        <v>121</v>
      </c>
      <c r="AC11" t="s">
        <v>121</v>
      </c>
      <c r="AD11" t="s">
        <v>121</v>
      </c>
      <c r="AE11" t="s">
        <v>121</v>
      </c>
      <c r="AF11" t="s">
        <v>121</v>
      </c>
    </row>
    <row r="12" spans="1:37">
      <c r="A12" t="s">
        <v>201</v>
      </c>
      <c r="B12" t="s">
        <v>444</v>
      </c>
      <c r="C12" t="s">
        <v>200</v>
      </c>
      <c r="D12" t="s">
        <v>199</v>
      </c>
      <c r="E12" s="3">
        <v>9900000</v>
      </c>
      <c r="F12" s="5">
        <f t="shared" si="1"/>
        <v>29661.333333333328</v>
      </c>
      <c r="G12" s="5">
        <f t="shared" si="2"/>
        <v>12712</v>
      </c>
      <c r="H12" s="3">
        <f t="shared" si="3"/>
        <v>21958</v>
      </c>
      <c r="I12" s="3">
        <f t="shared" si="4"/>
        <v>5180</v>
      </c>
      <c r="J12" s="3">
        <f t="shared" si="5"/>
        <v>92983.333333333314</v>
      </c>
      <c r="K12" s="3">
        <f t="shared" si="6"/>
        <v>39850</v>
      </c>
      <c r="L12" s="9">
        <f t="shared" si="0"/>
        <v>0.30000000000000004</v>
      </c>
      <c r="M12" s="6">
        <v>0.7</v>
      </c>
      <c r="N12">
        <v>297</v>
      </c>
      <c r="O12" s="7">
        <v>12415</v>
      </c>
      <c r="P12" t="s">
        <v>121</v>
      </c>
      <c r="Q12" t="s">
        <v>121</v>
      </c>
      <c r="R12" t="s">
        <v>121</v>
      </c>
      <c r="S12" t="s">
        <v>121</v>
      </c>
      <c r="T12" t="s">
        <v>121</v>
      </c>
      <c r="U12" t="s">
        <v>121</v>
      </c>
      <c r="V12" t="s">
        <v>121</v>
      </c>
      <c r="W12" s="7">
        <v>21958</v>
      </c>
      <c r="X12" t="s">
        <v>121</v>
      </c>
      <c r="Y12" s="7">
        <v>5180</v>
      </c>
      <c r="Z12" t="s">
        <v>121</v>
      </c>
      <c r="AA12" t="s">
        <v>121</v>
      </c>
      <c r="AB12" t="s">
        <v>121</v>
      </c>
      <c r="AC12" t="s">
        <v>121</v>
      </c>
      <c r="AD12" t="s">
        <v>121</v>
      </c>
      <c r="AE12" t="s">
        <v>121</v>
      </c>
      <c r="AF12" t="s">
        <v>121</v>
      </c>
    </row>
    <row r="13" spans="1:37">
      <c r="A13" t="s">
        <v>202</v>
      </c>
      <c r="B13" t="s">
        <v>445</v>
      </c>
      <c r="C13" t="s">
        <v>457</v>
      </c>
      <c r="D13" t="s">
        <v>119</v>
      </c>
      <c r="E13" s="3">
        <v>338344500</v>
      </c>
      <c r="F13" s="5">
        <f t="shared" si="1"/>
        <v>724057</v>
      </c>
      <c r="G13" s="5">
        <f t="shared" si="2"/>
        <v>724057</v>
      </c>
      <c r="H13" s="3">
        <f t="shared" si="3"/>
        <v>1250724</v>
      </c>
      <c r="I13" s="3">
        <f t="shared" si="4"/>
        <v>592103</v>
      </c>
      <c r="J13" s="3">
        <f t="shared" si="5"/>
        <v>2566884</v>
      </c>
      <c r="K13" s="3">
        <f t="shared" si="6"/>
        <v>2566884</v>
      </c>
      <c r="L13" s="9">
        <f t="shared" si="0"/>
        <v>0.5</v>
      </c>
      <c r="M13" s="6">
        <v>0.5</v>
      </c>
      <c r="N13" s="7">
        <v>16917</v>
      </c>
      <c r="O13" s="7">
        <v>707140</v>
      </c>
      <c r="P13" t="s">
        <v>121</v>
      </c>
      <c r="Q13" t="s">
        <v>121</v>
      </c>
      <c r="R13" t="s">
        <v>121</v>
      </c>
      <c r="S13" t="s">
        <v>121</v>
      </c>
      <c r="T13" t="s">
        <v>121</v>
      </c>
      <c r="U13" t="s">
        <v>121</v>
      </c>
      <c r="V13" t="s">
        <v>121</v>
      </c>
      <c r="W13" s="7">
        <v>1250724</v>
      </c>
      <c r="X13" t="s">
        <v>121</v>
      </c>
      <c r="Y13" t="s">
        <v>121</v>
      </c>
      <c r="Z13" t="s">
        <v>121</v>
      </c>
      <c r="AA13" t="s">
        <v>121</v>
      </c>
      <c r="AB13" t="s">
        <v>121</v>
      </c>
      <c r="AC13" t="s">
        <v>121</v>
      </c>
      <c r="AD13" s="7">
        <v>203007</v>
      </c>
      <c r="AE13" t="s">
        <v>121</v>
      </c>
      <c r="AF13" t="s">
        <v>121</v>
      </c>
      <c r="AK13" s="7">
        <v>389096</v>
      </c>
    </row>
    <row r="14" spans="1:37">
      <c r="A14" t="s">
        <v>131</v>
      </c>
      <c r="B14" t="s">
        <v>446</v>
      </c>
      <c r="C14" t="s">
        <v>203</v>
      </c>
      <c r="D14" t="s">
        <v>118</v>
      </c>
      <c r="E14" s="3">
        <v>5118575</v>
      </c>
      <c r="F14" s="5">
        <f t="shared" si="1"/>
        <v>19719.000000000004</v>
      </c>
      <c r="G14" s="5">
        <f t="shared" si="2"/>
        <v>2191</v>
      </c>
      <c r="H14" s="3">
        <f t="shared" si="3"/>
        <v>3784</v>
      </c>
      <c r="I14" s="3">
        <f t="shared" si="4"/>
        <v>0</v>
      </c>
      <c r="J14" s="3">
        <f t="shared" si="5"/>
        <v>53775.000000000015</v>
      </c>
      <c r="K14" s="3">
        <f t="shared" si="6"/>
        <v>5975</v>
      </c>
      <c r="L14" s="9">
        <f t="shared" si="0"/>
        <v>9.9999999999999978E-2</v>
      </c>
      <c r="M14" s="6">
        <v>0.9</v>
      </c>
      <c r="N14">
        <v>51</v>
      </c>
      <c r="O14" s="7">
        <v>2140</v>
      </c>
      <c r="P14" t="s">
        <v>121</v>
      </c>
      <c r="Q14" t="s">
        <v>121</v>
      </c>
      <c r="R14" t="s">
        <v>121</v>
      </c>
      <c r="S14" t="s">
        <v>121</v>
      </c>
      <c r="T14" t="s">
        <v>121</v>
      </c>
      <c r="U14" t="s">
        <v>121</v>
      </c>
      <c r="V14" t="s">
        <v>121</v>
      </c>
      <c r="W14" s="7">
        <v>3784</v>
      </c>
      <c r="X14" t="s">
        <v>121</v>
      </c>
      <c r="Y14" t="s">
        <v>121</v>
      </c>
      <c r="Z14" t="s">
        <v>121</v>
      </c>
      <c r="AA14" t="s">
        <v>121</v>
      </c>
      <c r="AB14" t="s">
        <v>121</v>
      </c>
      <c r="AC14" t="s">
        <v>121</v>
      </c>
      <c r="AD14" t="s">
        <v>121</v>
      </c>
      <c r="AE14" t="s">
        <v>121</v>
      </c>
      <c r="AF14" t="s">
        <v>121</v>
      </c>
    </row>
    <row r="15" spans="1:37">
      <c r="A15" t="s">
        <v>132</v>
      </c>
      <c r="B15" t="s">
        <v>447</v>
      </c>
      <c r="C15" t="s">
        <v>204</v>
      </c>
      <c r="D15" t="s">
        <v>118</v>
      </c>
      <c r="E15" s="3">
        <v>3800000</v>
      </c>
      <c r="F15" s="5">
        <f t="shared" si="1"/>
        <v>13826.666666666664</v>
      </c>
      <c r="G15" s="5">
        <f t="shared" si="2"/>
        <v>2440</v>
      </c>
      <c r="H15" s="3">
        <f t="shared" si="3"/>
        <v>4214</v>
      </c>
      <c r="I15" s="3">
        <f t="shared" si="4"/>
        <v>2877</v>
      </c>
      <c r="J15" s="3">
        <f t="shared" si="5"/>
        <v>54008.999999999993</v>
      </c>
      <c r="K15" s="3">
        <f t="shared" si="6"/>
        <v>9531</v>
      </c>
      <c r="L15" s="9">
        <f t="shared" si="0"/>
        <v>0.15000000000000002</v>
      </c>
      <c r="M15" s="6">
        <v>0.85</v>
      </c>
      <c r="N15">
        <v>57</v>
      </c>
      <c r="O15" s="7">
        <v>2383</v>
      </c>
      <c r="P15" t="s">
        <v>121</v>
      </c>
      <c r="Q15" t="s">
        <v>121</v>
      </c>
      <c r="R15" t="s">
        <v>121</v>
      </c>
      <c r="S15" t="s">
        <v>121</v>
      </c>
      <c r="T15" t="s">
        <v>121</v>
      </c>
      <c r="U15" t="s">
        <v>121</v>
      </c>
      <c r="V15" t="s">
        <v>121</v>
      </c>
      <c r="W15" s="7">
        <v>4214</v>
      </c>
      <c r="X15" t="s">
        <v>121</v>
      </c>
      <c r="Y15" t="s">
        <v>121</v>
      </c>
      <c r="Z15" t="s">
        <v>121</v>
      </c>
      <c r="AA15" t="s">
        <v>121</v>
      </c>
      <c r="AB15" t="s">
        <v>121</v>
      </c>
      <c r="AC15" t="s">
        <v>121</v>
      </c>
      <c r="AD15" t="s">
        <v>121</v>
      </c>
      <c r="AE15" t="s">
        <v>121</v>
      </c>
      <c r="AF15" t="s">
        <v>121</v>
      </c>
      <c r="AJ15" s="7">
        <v>2877</v>
      </c>
    </row>
    <row r="16" spans="1:37">
      <c r="A16" t="s">
        <v>133</v>
      </c>
      <c r="B16" t="s">
        <v>448</v>
      </c>
      <c r="C16" t="s">
        <v>205</v>
      </c>
      <c r="D16" t="s">
        <v>206</v>
      </c>
      <c r="E16" s="3">
        <v>33060000</v>
      </c>
      <c r="F16" s="5">
        <f t="shared" si="1"/>
        <v>127350.00000000003</v>
      </c>
      <c r="G16" s="5">
        <f t="shared" si="2"/>
        <v>14150</v>
      </c>
      <c r="H16" s="3">
        <f t="shared" si="3"/>
        <v>28749</v>
      </c>
      <c r="I16" s="3">
        <f t="shared" si="4"/>
        <v>20973</v>
      </c>
      <c r="J16" s="3">
        <f t="shared" si="5"/>
        <v>574848.00000000012</v>
      </c>
      <c r="K16" s="3">
        <f t="shared" si="6"/>
        <v>63872</v>
      </c>
      <c r="L16" s="9">
        <f t="shared" si="0"/>
        <v>9.9999999999999978E-2</v>
      </c>
      <c r="M16" s="6">
        <v>0.9</v>
      </c>
      <c r="N16">
        <v>331</v>
      </c>
      <c r="O16" s="7">
        <v>13819</v>
      </c>
      <c r="P16" t="s">
        <v>121</v>
      </c>
      <c r="Q16" s="7">
        <v>6612</v>
      </c>
      <c r="R16" s="7">
        <v>1957</v>
      </c>
      <c r="S16" s="7">
        <v>11743</v>
      </c>
      <c r="T16">
        <v>661</v>
      </c>
      <c r="U16">
        <v>33</v>
      </c>
      <c r="V16" s="7">
        <v>28716</v>
      </c>
      <c r="W16" t="s">
        <v>121</v>
      </c>
      <c r="X16" t="s">
        <v>121</v>
      </c>
      <c r="Y16" t="s">
        <v>121</v>
      </c>
      <c r="Z16" t="s">
        <v>121</v>
      </c>
      <c r="AA16" t="s">
        <v>121</v>
      </c>
      <c r="AB16" t="s">
        <v>121</v>
      </c>
      <c r="AC16" t="s">
        <v>121</v>
      </c>
      <c r="AD16" t="s">
        <v>121</v>
      </c>
      <c r="AE16" t="s">
        <v>121</v>
      </c>
      <c r="AF16" t="s">
        <v>121</v>
      </c>
    </row>
    <row r="17" spans="1:32">
      <c r="A17" t="s">
        <v>134</v>
      </c>
      <c r="B17" t="s">
        <v>449</v>
      </c>
      <c r="C17" t="s">
        <v>207</v>
      </c>
      <c r="D17" t="s">
        <v>206</v>
      </c>
      <c r="E17" s="3">
        <v>30030000</v>
      </c>
      <c r="F17" s="5">
        <f t="shared" si="1"/>
        <v>115677.00000000003</v>
      </c>
      <c r="G17" s="5">
        <f t="shared" si="2"/>
        <v>12853</v>
      </c>
      <c r="H17" s="3">
        <f t="shared" si="3"/>
        <v>26114</v>
      </c>
      <c r="I17" s="3">
        <f t="shared" si="4"/>
        <v>19052</v>
      </c>
      <c r="J17" s="3">
        <f t="shared" si="5"/>
        <v>522171.00000000012</v>
      </c>
      <c r="K17" s="3">
        <f t="shared" si="6"/>
        <v>58019</v>
      </c>
      <c r="L17" s="9">
        <f t="shared" si="0"/>
        <v>9.9999999999999978E-2</v>
      </c>
      <c r="M17" s="6">
        <v>0.9</v>
      </c>
      <c r="N17">
        <v>300</v>
      </c>
      <c r="O17" s="7">
        <v>12553</v>
      </c>
      <c r="P17" t="s">
        <v>121</v>
      </c>
      <c r="Q17" s="7">
        <v>6006</v>
      </c>
      <c r="R17" s="7">
        <v>1778</v>
      </c>
      <c r="S17" s="7">
        <v>10667</v>
      </c>
      <c r="T17">
        <v>601</v>
      </c>
      <c r="U17">
        <v>30</v>
      </c>
      <c r="V17" s="7">
        <v>26084</v>
      </c>
      <c r="W17" t="s">
        <v>121</v>
      </c>
      <c r="X17" t="s">
        <v>121</v>
      </c>
      <c r="Y17" t="s">
        <v>121</v>
      </c>
      <c r="Z17" t="s">
        <v>121</v>
      </c>
      <c r="AA17" t="s">
        <v>121</v>
      </c>
      <c r="AB17" t="s">
        <v>121</v>
      </c>
      <c r="AC17" t="s">
        <v>121</v>
      </c>
      <c r="AD17" t="s">
        <v>121</v>
      </c>
      <c r="AE17" t="s">
        <v>121</v>
      </c>
      <c r="AF17" t="s">
        <v>121</v>
      </c>
    </row>
    <row r="18" spans="1:32">
      <c r="A18" t="s">
        <v>135</v>
      </c>
      <c r="B18" t="s">
        <v>450</v>
      </c>
      <c r="C18" t="s">
        <v>208</v>
      </c>
      <c r="D18" t="s">
        <v>206</v>
      </c>
      <c r="E18" s="3">
        <v>1600000</v>
      </c>
      <c r="F18" s="5">
        <f t="shared" si="1"/>
        <v>6165.0000000000018</v>
      </c>
      <c r="G18" s="5">
        <f t="shared" si="2"/>
        <v>685</v>
      </c>
      <c r="H18" s="3">
        <f t="shared" si="3"/>
        <v>1392</v>
      </c>
      <c r="I18" s="3">
        <f t="shared" si="4"/>
        <v>1015</v>
      </c>
      <c r="J18" s="3">
        <f t="shared" si="5"/>
        <v>27828.000000000007</v>
      </c>
      <c r="K18" s="3">
        <f t="shared" si="6"/>
        <v>3092</v>
      </c>
      <c r="L18" s="9">
        <f t="shared" si="0"/>
        <v>9.9999999999999978E-2</v>
      </c>
      <c r="M18" s="6">
        <v>0.9</v>
      </c>
      <c r="N18">
        <v>16</v>
      </c>
      <c r="O18">
        <v>669</v>
      </c>
      <c r="P18" t="s">
        <v>121</v>
      </c>
      <c r="Q18">
        <v>320</v>
      </c>
      <c r="R18">
        <v>95</v>
      </c>
      <c r="S18">
        <v>568</v>
      </c>
      <c r="T18">
        <v>32</v>
      </c>
      <c r="U18">
        <v>2</v>
      </c>
      <c r="V18" s="7">
        <v>1390</v>
      </c>
      <c r="W18" t="s">
        <v>121</v>
      </c>
      <c r="X18" t="s">
        <v>121</v>
      </c>
      <c r="Y18" t="s">
        <v>121</v>
      </c>
      <c r="Z18" t="s">
        <v>121</v>
      </c>
      <c r="AA18" t="s">
        <v>121</v>
      </c>
      <c r="AB18" t="s">
        <v>121</v>
      </c>
      <c r="AC18" t="s">
        <v>121</v>
      </c>
      <c r="AD18" t="s">
        <v>121</v>
      </c>
      <c r="AE18" t="s">
        <v>121</v>
      </c>
      <c r="AF18" t="s">
        <v>121</v>
      </c>
    </row>
    <row r="19" spans="1:32">
      <c r="A19" t="s">
        <v>136</v>
      </c>
      <c r="B19" t="s">
        <v>451</v>
      </c>
      <c r="C19" t="s">
        <v>459</v>
      </c>
      <c r="D19" t="s">
        <v>206</v>
      </c>
      <c r="E19" s="3">
        <v>4150000</v>
      </c>
      <c r="F19" s="5">
        <f t="shared" si="1"/>
        <v>15993.000000000004</v>
      </c>
      <c r="G19" s="5">
        <f t="shared" si="2"/>
        <v>1777</v>
      </c>
      <c r="H19" s="3">
        <f t="shared" si="3"/>
        <v>3609</v>
      </c>
      <c r="I19" s="3">
        <f t="shared" si="4"/>
        <v>2633</v>
      </c>
      <c r="J19" s="3">
        <f t="shared" si="5"/>
        <v>72171.000000000015</v>
      </c>
      <c r="K19" s="3">
        <f t="shared" si="6"/>
        <v>8019</v>
      </c>
      <c r="L19" s="9">
        <f t="shared" si="0"/>
        <v>9.9999999999999978E-2</v>
      </c>
      <c r="M19" s="6">
        <v>0.9</v>
      </c>
      <c r="N19">
        <v>42</v>
      </c>
      <c r="O19" s="7">
        <v>1735</v>
      </c>
      <c r="P19" t="s">
        <v>121</v>
      </c>
      <c r="Q19">
        <v>830</v>
      </c>
      <c r="R19">
        <v>246</v>
      </c>
      <c r="S19" s="7">
        <v>1474</v>
      </c>
      <c r="T19">
        <v>83</v>
      </c>
      <c r="U19">
        <v>4</v>
      </c>
      <c r="V19" s="7">
        <v>3605</v>
      </c>
      <c r="W19" t="s">
        <v>121</v>
      </c>
      <c r="X19" t="s">
        <v>121</v>
      </c>
      <c r="Y19" t="s">
        <v>121</v>
      </c>
      <c r="Z19" t="s">
        <v>121</v>
      </c>
      <c r="AA19" t="s">
        <v>121</v>
      </c>
      <c r="AB19" t="s">
        <v>121</v>
      </c>
      <c r="AC19" t="s">
        <v>121</v>
      </c>
      <c r="AD19" t="s">
        <v>121</v>
      </c>
      <c r="AE19" t="s">
        <v>121</v>
      </c>
      <c r="AF19" t="s">
        <v>121</v>
      </c>
    </row>
    <row r="20" spans="1:32">
      <c r="A20" t="s">
        <v>137</v>
      </c>
      <c r="B20" t="s">
        <v>452</v>
      </c>
      <c r="C20" t="s">
        <v>210</v>
      </c>
      <c r="D20" t="s">
        <v>206</v>
      </c>
      <c r="E20" s="3">
        <v>12300200</v>
      </c>
      <c r="F20" s="5">
        <f t="shared" si="1"/>
        <v>47376.000000000015</v>
      </c>
      <c r="G20" s="5">
        <f t="shared" si="2"/>
        <v>5264</v>
      </c>
      <c r="H20" s="3">
        <f t="shared" si="3"/>
        <v>10696</v>
      </c>
      <c r="I20" s="3">
        <f t="shared" si="4"/>
        <v>7803</v>
      </c>
      <c r="J20" s="3">
        <f t="shared" si="5"/>
        <v>213867.00000000006</v>
      </c>
      <c r="K20" s="3">
        <f t="shared" si="6"/>
        <v>23763</v>
      </c>
      <c r="L20" s="9">
        <f t="shared" si="0"/>
        <v>9.9999999999999978E-2</v>
      </c>
      <c r="M20" s="6">
        <v>0.9</v>
      </c>
      <c r="N20">
        <v>123</v>
      </c>
      <c r="O20" s="7">
        <v>5141</v>
      </c>
      <c r="P20" t="s">
        <v>121</v>
      </c>
      <c r="Q20" s="7">
        <v>2460</v>
      </c>
      <c r="R20">
        <v>728</v>
      </c>
      <c r="S20" s="7">
        <v>4369</v>
      </c>
      <c r="T20">
        <v>246</v>
      </c>
      <c r="U20">
        <v>12</v>
      </c>
      <c r="V20" s="7">
        <v>10684</v>
      </c>
      <c r="W20" t="s">
        <v>121</v>
      </c>
      <c r="X20" t="s">
        <v>121</v>
      </c>
      <c r="Y20" t="s">
        <v>121</v>
      </c>
      <c r="Z20" t="s">
        <v>121</v>
      </c>
      <c r="AA20" t="s">
        <v>121</v>
      </c>
      <c r="AB20" t="s">
        <v>121</v>
      </c>
      <c r="AC20" t="s">
        <v>121</v>
      </c>
      <c r="AD20" t="s">
        <v>121</v>
      </c>
      <c r="AE20" t="s">
        <v>121</v>
      </c>
      <c r="AF20" t="s">
        <v>121</v>
      </c>
    </row>
    <row r="21" spans="1:32">
      <c r="A21" t="s">
        <v>138</v>
      </c>
      <c r="B21" t="s">
        <v>453</v>
      </c>
      <c r="C21" t="s">
        <v>211</v>
      </c>
      <c r="D21" t="s">
        <v>206</v>
      </c>
      <c r="E21" s="3">
        <v>12460300</v>
      </c>
      <c r="F21" s="5">
        <f t="shared" si="1"/>
        <v>47997.000000000007</v>
      </c>
      <c r="G21" s="5">
        <f t="shared" si="2"/>
        <v>5333</v>
      </c>
      <c r="H21" s="3">
        <f t="shared" si="3"/>
        <v>10835</v>
      </c>
      <c r="I21" s="3">
        <f t="shared" si="4"/>
        <v>7905</v>
      </c>
      <c r="J21" s="3">
        <f t="shared" si="5"/>
        <v>216657.00000000006</v>
      </c>
      <c r="K21" s="3">
        <f t="shared" si="6"/>
        <v>24073</v>
      </c>
      <c r="L21" s="9">
        <f t="shared" si="0"/>
        <v>9.9999999999999978E-2</v>
      </c>
      <c r="M21" s="6">
        <v>0.9</v>
      </c>
      <c r="N21">
        <v>125</v>
      </c>
      <c r="O21" s="7">
        <v>5208</v>
      </c>
      <c r="P21" t="s">
        <v>121</v>
      </c>
      <c r="Q21" s="7">
        <v>2492</v>
      </c>
      <c r="R21">
        <v>738</v>
      </c>
      <c r="S21" s="7">
        <v>4426</v>
      </c>
      <c r="T21">
        <v>249</v>
      </c>
      <c r="U21">
        <v>12</v>
      </c>
      <c r="V21" s="7">
        <v>10823</v>
      </c>
      <c r="W21" t="s">
        <v>121</v>
      </c>
      <c r="X21" t="s">
        <v>121</v>
      </c>
      <c r="Y21" t="s">
        <v>121</v>
      </c>
      <c r="Z21" t="s">
        <v>121</v>
      </c>
      <c r="AA21" t="s">
        <v>121</v>
      </c>
      <c r="AB21" t="s">
        <v>121</v>
      </c>
      <c r="AC21" t="s">
        <v>121</v>
      </c>
      <c r="AD21" t="s">
        <v>121</v>
      </c>
      <c r="AE21" t="s">
        <v>121</v>
      </c>
      <c r="AF21" t="s">
        <v>121</v>
      </c>
    </row>
    <row r="22" spans="1:32">
      <c r="A22" t="s">
        <v>139</v>
      </c>
      <c r="B22" t="s">
        <v>454</v>
      </c>
      <c r="C22" t="s">
        <v>209</v>
      </c>
      <c r="D22" t="s">
        <v>206</v>
      </c>
      <c r="E22" s="3">
        <v>19310000</v>
      </c>
      <c r="F22" s="5">
        <f t="shared" si="1"/>
        <v>74385.000000000015</v>
      </c>
      <c r="G22" s="5">
        <f t="shared" si="2"/>
        <v>8265</v>
      </c>
      <c r="H22" s="3">
        <f t="shared" si="3"/>
        <v>16792</v>
      </c>
      <c r="I22" s="3">
        <f t="shared" si="4"/>
        <v>12250</v>
      </c>
      <c r="J22" s="3">
        <f t="shared" si="5"/>
        <v>335763.00000000006</v>
      </c>
      <c r="K22" s="3">
        <f t="shared" si="6"/>
        <v>37307</v>
      </c>
      <c r="L22" s="9">
        <f t="shared" si="0"/>
        <v>9.9999999999999978E-2</v>
      </c>
      <c r="M22" s="6">
        <v>0.9</v>
      </c>
      <c r="N22">
        <v>193</v>
      </c>
      <c r="O22" s="7">
        <v>8072</v>
      </c>
      <c r="P22" t="s">
        <v>121</v>
      </c>
      <c r="Q22" s="7">
        <v>3862</v>
      </c>
      <c r="R22" s="7">
        <v>1143</v>
      </c>
      <c r="S22" s="7">
        <v>6859</v>
      </c>
      <c r="T22">
        <v>386</v>
      </c>
      <c r="U22">
        <v>19</v>
      </c>
      <c r="V22" s="7">
        <v>16773</v>
      </c>
      <c r="W22" t="s">
        <v>121</v>
      </c>
      <c r="X22" t="s">
        <v>121</v>
      </c>
      <c r="Y22" t="s">
        <v>121</v>
      </c>
      <c r="Z22" t="s">
        <v>121</v>
      </c>
      <c r="AA22" t="s">
        <v>121</v>
      </c>
      <c r="AB22" t="s">
        <v>121</v>
      </c>
      <c r="AC22" t="s">
        <v>121</v>
      </c>
      <c r="AD22" t="s">
        <v>121</v>
      </c>
      <c r="AE22" t="s">
        <v>121</v>
      </c>
      <c r="AF22" t="s">
        <v>121</v>
      </c>
    </row>
    <row r="23" spans="1:32">
      <c r="A23" t="s">
        <v>140</v>
      </c>
      <c r="B23" t="s">
        <v>455</v>
      </c>
      <c r="C23" t="s">
        <v>462</v>
      </c>
      <c r="D23" t="s">
        <v>206</v>
      </c>
      <c r="E23" s="3">
        <v>6300600</v>
      </c>
      <c r="F23" s="5">
        <f t="shared" si="1"/>
        <v>24273.000000000007</v>
      </c>
      <c r="G23" s="5">
        <f t="shared" si="2"/>
        <v>2697</v>
      </c>
      <c r="H23" s="3">
        <f t="shared" si="3"/>
        <v>5479</v>
      </c>
      <c r="I23" s="3">
        <f t="shared" si="4"/>
        <v>3997</v>
      </c>
      <c r="J23" s="3">
        <f t="shared" si="5"/>
        <v>109557.00000000003</v>
      </c>
      <c r="K23" s="3">
        <f t="shared" si="6"/>
        <v>12173</v>
      </c>
      <c r="L23" s="9">
        <f t="shared" si="0"/>
        <v>9.9999999999999978E-2</v>
      </c>
      <c r="M23" s="6">
        <v>0.9</v>
      </c>
      <c r="N23">
        <v>63</v>
      </c>
      <c r="O23" s="7">
        <v>2634</v>
      </c>
      <c r="P23" t="s">
        <v>121</v>
      </c>
      <c r="Q23" s="7">
        <v>1260</v>
      </c>
      <c r="R23">
        <v>373</v>
      </c>
      <c r="S23" s="7">
        <v>2238</v>
      </c>
      <c r="T23">
        <v>126</v>
      </c>
      <c r="U23">
        <v>6</v>
      </c>
      <c r="V23" s="7">
        <v>5473</v>
      </c>
      <c r="W23" t="s">
        <v>121</v>
      </c>
      <c r="X23" t="s">
        <v>121</v>
      </c>
      <c r="Y23" t="s">
        <v>121</v>
      </c>
      <c r="Z23" t="s">
        <v>121</v>
      </c>
      <c r="AA23" t="s">
        <v>121</v>
      </c>
      <c r="AB23" t="s">
        <v>121</v>
      </c>
      <c r="AC23" t="s">
        <v>121</v>
      </c>
      <c r="AD23" t="s">
        <v>121</v>
      </c>
      <c r="AE23" t="s">
        <v>121</v>
      </c>
      <c r="AF23" t="s">
        <v>121</v>
      </c>
    </row>
    <row r="24" spans="1:32">
      <c r="A24" t="s">
        <v>141</v>
      </c>
      <c r="B24" t="s">
        <v>456</v>
      </c>
      <c r="C24" t="s">
        <v>214</v>
      </c>
      <c r="D24" t="s">
        <v>206</v>
      </c>
      <c r="E24" s="3">
        <v>15800000</v>
      </c>
      <c r="F24" s="5">
        <f t="shared" si="1"/>
        <v>60858.000000000015</v>
      </c>
      <c r="G24" s="5">
        <f t="shared" si="2"/>
        <v>6762</v>
      </c>
      <c r="H24" s="3">
        <f t="shared" si="3"/>
        <v>13740</v>
      </c>
      <c r="I24" s="3">
        <f t="shared" si="4"/>
        <v>10023</v>
      </c>
      <c r="J24" s="3">
        <f t="shared" si="5"/>
        <v>274725.00000000006</v>
      </c>
      <c r="K24" s="3">
        <f t="shared" si="6"/>
        <v>30525</v>
      </c>
      <c r="L24" s="9">
        <f t="shared" si="0"/>
        <v>9.9999999999999978E-2</v>
      </c>
      <c r="M24" s="6">
        <v>0.9</v>
      </c>
      <c r="N24">
        <v>158</v>
      </c>
      <c r="O24" s="7">
        <v>6604</v>
      </c>
      <c r="P24" t="s">
        <v>121</v>
      </c>
      <c r="Q24" s="7">
        <v>3160</v>
      </c>
      <c r="R24">
        <v>935</v>
      </c>
      <c r="S24" s="7">
        <v>5612</v>
      </c>
      <c r="T24">
        <v>316</v>
      </c>
      <c r="U24">
        <v>16</v>
      </c>
      <c r="V24" s="7">
        <v>13724</v>
      </c>
      <c r="W24" t="s">
        <v>121</v>
      </c>
      <c r="X24" t="s">
        <v>121</v>
      </c>
      <c r="Y24" t="s">
        <v>121</v>
      </c>
      <c r="Z24" t="s">
        <v>121</v>
      </c>
      <c r="AA24" t="s">
        <v>121</v>
      </c>
      <c r="AB24" t="s">
        <v>121</v>
      </c>
      <c r="AC24" t="s">
        <v>121</v>
      </c>
      <c r="AD24" t="s">
        <v>121</v>
      </c>
      <c r="AE24" t="s">
        <v>121</v>
      </c>
      <c r="AF24" t="s">
        <v>121</v>
      </c>
    </row>
    <row r="25" spans="1:32">
      <c r="A25" t="s">
        <v>142</v>
      </c>
      <c r="B25" t="s">
        <v>458</v>
      </c>
      <c r="C25" t="s">
        <v>212</v>
      </c>
      <c r="D25" t="s">
        <v>206</v>
      </c>
      <c r="E25" s="3">
        <v>4440900</v>
      </c>
      <c r="F25" s="5">
        <f t="shared" si="1"/>
        <v>18049.999999999985</v>
      </c>
      <c r="G25" s="5">
        <f t="shared" si="2"/>
        <v>950</v>
      </c>
      <c r="H25" s="3">
        <f t="shared" si="3"/>
        <v>1931</v>
      </c>
      <c r="I25" s="3">
        <f t="shared" si="4"/>
        <v>1408</v>
      </c>
      <c r="J25" s="3">
        <f t="shared" si="5"/>
        <v>81490.999999999927</v>
      </c>
      <c r="K25" s="3">
        <f t="shared" si="6"/>
        <v>4289</v>
      </c>
      <c r="L25" s="9">
        <f t="shared" si="0"/>
        <v>5.0000000000000044E-2</v>
      </c>
      <c r="M25" s="6">
        <v>0.95</v>
      </c>
      <c r="N25">
        <v>22</v>
      </c>
      <c r="O25">
        <v>928</v>
      </c>
      <c r="P25" t="s">
        <v>121</v>
      </c>
      <c r="Q25">
        <v>444</v>
      </c>
      <c r="R25">
        <v>131</v>
      </c>
      <c r="S25">
        <v>789</v>
      </c>
      <c r="T25">
        <v>44</v>
      </c>
      <c r="U25">
        <v>2</v>
      </c>
      <c r="V25" s="7">
        <v>1929</v>
      </c>
      <c r="W25" t="s">
        <v>121</v>
      </c>
      <c r="X25" t="s">
        <v>121</v>
      </c>
      <c r="Y25" t="s">
        <v>121</v>
      </c>
      <c r="Z25" t="s">
        <v>121</v>
      </c>
      <c r="AA25" t="s">
        <v>121</v>
      </c>
      <c r="AB25" t="s">
        <v>121</v>
      </c>
      <c r="AC25" t="s">
        <v>121</v>
      </c>
      <c r="AD25" t="s">
        <v>121</v>
      </c>
      <c r="AE25" t="s">
        <v>121</v>
      </c>
      <c r="AF25" t="s">
        <v>121</v>
      </c>
    </row>
    <row r="26" spans="1:32">
      <c r="A26" t="s">
        <v>143</v>
      </c>
      <c r="B26" t="s">
        <v>458</v>
      </c>
      <c r="C26" t="s">
        <v>212</v>
      </c>
      <c r="D26" t="s">
        <v>206</v>
      </c>
      <c r="E26" s="3">
        <v>187000000</v>
      </c>
      <c r="F26" s="5">
        <f t="shared" si="1"/>
        <v>760341.9999999993</v>
      </c>
      <c r="G26" s="5">
        <f t="shared" si="2"/>
        <v>40018</v>
      </c>
      <c r="H26" s="3">
        <f t="shared" si="3"/>
        <v>81308</v>
      </c>
      <c r="I26" s="3">
        <f t="shared" si="4"/>
        <v>59316</v>
      </c>
      <c r="J26" s="3">
        <f t="shared" si="5"/>
        <v>3432197.9999999967</v>
      </c>
      <c r="K26" s="3">
        <f t="shared" si="6"/>
        <v>180642</v>
      </c>
      <c r="L26" s="9">
        <f t="shared" si="0"/>
        <v>5.0000000000000044E-2</v>
      </c>
      <c r="M26" s="6">
        <v>0.95</v>
      </c>
      <c r="N26">
        <v>935</v>
      </c>
      <c r="O26" s="7">
        <v>39083</v>
      </c>
      <c r="P26" t="s">
        <v>121</v>
      </c>
      <c r="Q26" s="7">
        <v>18700</v>
      </c>
      <c r="R26" s="7">
        <v>5535</v>
      </c>
      <c r="S26" s="7">
        <v>33211</v>
      </c>
      <c r="T26" s="7">
        <v>1870</v>
      </c>
      <c r="U26">
        <v>94</v>
      </c>
      <c r="V26" s="7">
        <v>81214</v>
      </c>
      <c r="W26" t="s">
        <v>121</v>
      </c>
      <c r="X26" t="s">
        <v>121</v>
      </c>
      <c r="Y26" t="s">
        <v>121</v>
      </c>
      <c r="Z26" t="s">
        <v>121</v>
      </c>
      <c r="AA26" t="s">
        <v>121</v>
      </c>
      <c r="AB26" t="s">
        <v>121</v>
      </c>
      <c r="AC26" t="s">
        <v>121</v>
      </c>
      <c r="AD26" t="s">
        <v>121</v>
      </c>
      <c r="AE26" t="s">
        <v>121</v>
      </c>
      <c r="AF26" t="s">
        <v>121</v>
      </c>
    </row>
    <row r="27" spans="1:32">
      <c r="A27" t="s">
        <v>144</v>
      </c>
      <c r="B27" t="s">
        <v>458</v>
      </c>
      <c r="C27" t="s">
        <v>212</v>
      </c>
      <c r="D27" t="s">
        <v>206</v>
      </c>
      <c r="E27" s="3">
        <v>337500</v>
      </c>
      <c r="F27" s="5">
        <f t="shared" si="1"/>
        <v>1296.0000000000002</v>
      </c>
      <c r="G27" s="5">
        <f t="shared" si="2"/>
        <v>144</v>
      </c>
      <c r="H27" s="3">
        <f t="shared" si="3"/>
        <v>293</v>
      </c>
      <c r="I27" s="3">
        <f t="shared" si="4"/>
        <v>215</v>
      </c>
      <c r="J27" s="3">
        <f t="shared" si="5"/>
        <v>5868.0000000000018</v>
      </c>
      <c r="K27" s="3">
        <f t="shared" si="6"/>
        <v>652</v>
      </c>
      <c r="L27" s="9">
        <f t="shared" si="0"/>
        <v>9.9999999999999978E-2</v>
      </c>
      <c r="M27" s="6">
        <v>0.9</v>
      </c>
      <c r="N27">
        <v>3</v>
      </c>
      <c r="O27">
        <v>141</v>
      </c>
      <c r="P27" t="s">
        <v>121</v>
      </c>
      <c r="Q27">
        <v>68</v>
      </c>
      <c r="R27">
        <v>20</v>
      </c>
      <c r="S27">
        <v>120</v>
      </c>
      <c r="T27">
        <v>7</v>
      </c>
      <c r="U27">
        <v>0</v>
      </c>
      <c r="V27">
        <v>293</v>
      </c>
      <c r="W27" t="s">
        <v>121</v>
      </c>
      <c r="X27" t="s">
        <v>121</v>
      </c>
      <c r="Y27" t="s">
        <v>121</v>
      </c>
      <c r="Z27" t="s">
        <v>121</v>
      </c>
      <c r="AA27" t="s">
        <v>121</v>
      </c>
      <c r="AB27" t="s">
        <v>121</v>
      </c>
      <c r="AC27" t="s">
        <v>121</v>
      </c>
      <c r="AD27" t="s">
        <v>121</v>
      </c>
      <c r="AE27" t="s">
        <v>121</v>
      </c>
      <c r="AF27" t="s">
        <v>121</v>
      </c>
    </row>
    <row r="28" spans="1:32">
      <c r="A28" t="s">
        <v>145</v>
      </c>
      <c r="B28" t="s">
        <v>458</v>
      </c>
      <c r="C28" t="s">
        <v>212</v>
      </c>
      <c r="D28" t="s">
        <v>206</v>
      </c>
      <c r="E28" s="3">
        <v>8343000</v>
      </c>
      <c r="F28" s="5">
        <f t="shared" si="1"/>
        <v>32130.000000000007</v>
      </c>
      <c r="G28" s="5">
        <f t="shared" si="2"/>
        <v>3570</v>
      </c>
      <c r="H28" s="3">
        <f t="shared" si="3"/>
        <v>7255</v>
      </c>
      <c r="I28" s="3">
        <f t="shared" si="4"/>
        <v>5293</v>
      </c>
      <c r="J28" s="3">
        <f t="shared" si="5"/>
        <v>145062.00000000003</v>
      </c>
      <c r="K28" s="3">
        <f t="shared" si="6"/>
        <v>16118</v>
      </c>
      <c r="L28" s="9">
        <f t="shared" si="0"/>
        <v>9.9999999999999978E-2</v>
      </c>
      <c r="M28" s="6">
        <v>0.9</v>
      </c>
      <c r="N28">
        <v>83</v>
      </c>
      <c r="O28" s="7">
        <v>3487</v>
      </c>
      <c r="P28" t="s">
        <v>121</v>
      </c>
      <c r="Q28" s="7">
        <v>1669</v>
      </c>
      <c r="R28">
        <v>494</v>
      </c>
      <c r="S28" s="7">
        <v>2963</v>
      </c>
      <c r="T28">
        <v>167</v>
      </c>
      <c r="U28">
        <v>8</v>
      </c>
      <c r="V28" s="7">
        <v>7247</v>
      </c>
      <c r="W28" t="s">
        <v>121</v>
      </c>
      <c r="X28" t="s">
        <v>121</v>
      </c>
      <c r="Y28" t="s">
        <v>121</v>
      </c>
      <c r="Z28" t="s">
        <v>121</v>
      </c>
      <c r="AA28" t="s">
        <v>121</v>
      </c>
      <c r="AB28" t="s">
        <v>121</v>
      </c>
      <c r="AC28" t="s">
        <v>121</v>
      </c>
      <c r="AD28" t="s">
        <v>121</v>
      </c>
      <c r="AE28" t="s">
        <v>121</v>
      </c>
      <c r="AF28" t="s">
        <v>121</v>
      </c>
    </row>
    <row r="29" spans="1:32">
      <c r="A29" t="s">
        <v>146</v>
      </c>
      <c r="B29" t="s">
        <v>461</v>
      </c>
      <c r="C29" t="s">
        <v>460</v>
      </c>
      <c r="D29" t="s">
        <v>206</v>
      </c>
      <c r="E29" s="3">
        <v>16270000</v>
      </c>
      <c r="F29" s="5">
        <f t="shared" si="1"/>
        <v>62676.000000000015</v>
      </c>
      <c r="G29" s="5">
        <f t="shared" si="2"/>
        <v>6964</v>
      </c>
      <c r="H29" s="3">
        <f t="shared" si="3"/>
        <v>14148</v>
      </c>
      <c r="I29" s="3">
        <f t="shared" si="4"/>
        <v>10321</v>
      </c>
      <c r="J29" s="3">
        <f t="shared" si="5"/>
        <v>282897.00000000006</v>
      </c>
      <c r="K29" s="3">
        <f t="shared" si="6"/>
        <v>31433</v>
      </c>
      <c r="L29" s="9">
        <f t="shared" si="0"/>
        <v>9.9999999999999978E-2</v>
      </c>
      <c r="M29" s="6">
        <v>0.9</v>
      </c>
      <c r="N29">
        <v>163</v>
      </c>
      <c r="O29" s="7">
        <v>6801</v>
      </c>
      <c r="P29" t="s">
        <v>121</v>
      </c>
      <c r="Q29" s="7">
        <v>3254</v>
      </c>
      <c r="R29">
        <v>963</v>
      </c>
      <c r="S29" s="7">
        <v>5779</v>
      </c>
      <c r="T29">
        <v>325</v>
      </c>
      <c r="U29">
        <v>16</v>
      </c>
      <c r="V29" s="7">
        <v>14132</v>
      </c>
      <c r="W29" t="s">
        <v>121</v>
      </c>
      <c r="X29" t="s">
        <v>121</v>
      </c>
      <c r="Y29" t="s">
        <v>121</v>
      </c>
      <c r="Z29" t="s">
        <v>121</v>
      </c>
      <c r="AA29" t="s">
        <v>121</v>
      </c>
      <c r="AB29" t="s">
        <v>121</v>
      </c>
      <c r="AC29" t="s">
        <v>121</v>
      </c>
      <c r="AD29" t="s">
        <v>121</v>
      </c>
      <c r="AE29" t="s">
        <v>121</v>
      </c>
      <c r="AF29" t="s">
        <v>121</v>
      </c>
    </row>
    <row r="30" spans="1:32">
      <c r="A30" t="s">
        <v>147</v>
      </c>
      <c r="B30" t="s">
        <v>229</v>
      </c>
      <c r="C30" t="s">
        <v>229</v>
      </c>
      <c r="D30" t="s">
        <v>206</v>
      </c>
      <c r="E30" s="3">
        <v>100000</v>
      </c>
      <c r="F30" s="5">
        <f t="shared" si="1"/>
        <v>387.00000000000011</v>
      </c>
      <c r="G30" s="5">
        <f t="shared" si="2"/>
        <v>43</v>
      </c>
      <c r="H30" s="3">
        <f t="shared" si="3"/>
        <v>87</v>
      </c>
      <c r="I30" s="3">
        <f t="shared" si="4"/>
        <v>64</v>
      </c>
      <c r="J30" s="3">
        <f t="shared" si="5"/>
        <v>1746.0000000000005</v>
      </c>
      <c r="K30" s="3">
        <f t="shared" si="6"/>
        <v>194</v>
      </c>
      <c r="L30" s="9">
        <f t="shared" si="0"/>
        <v>9.9999999999999978E-2</v>
      </c>
      <c r="M30" s="6">
        <v>0.9</v>
      </c>
      <c r="N30">
        <v>1</v>
      </c>
      <c r="O30">
        <v>42</v>
      </c>
      <c r="P30" t="s">
        <v>121</v>
      </c>
      <c r="Q30">
        <v>20</v>
      </c>
      <c r="R30">
        <v>6</v>
      </c>
      <c r="S30">
        <v>36</v>
      </c>
      <c r="T30">
        <v>2</v>
      </c>
      <c r="U30">
        <v>0</v>
      </c>
      <c r="V30">
        <v>87</v>
      </c>
      <c r="W30" t="s">
        <v>121</v>
      </c>
      <c r="X30" t="s">
        <v>121</v>
      </c>
      <c r="Y30" t="s">
        <v>121</v>
      </c>
      <c r="Z30" t="s">
        <v>121</v>
      </c>
      <c r="AA30" t="s">
        <v>121</v>
      </c>
      <c r="AB30" t="s">
        <v>121</v>
      </c>
      <c r="AC30" t="s">
        <v>121</v>
      </c>
      <c r="AD30" t="s">
        <v>121</v>
      </c>
      <c r="AE30" t="s">
        <v>121</v>
      </c>
      <c r="AF30" t="s">
        <v>121</v>
      </c>
    </row>
    <row r="31" spans="1:32">
      <c r="A31" t="s">
        <v>148</v>
      </c>
      <c r="B31" t="s">
        <v>463</v>
      </c>
      <c r="C31" t="s">
        <v>230</v>
      </c>
      <c r="D31" t="s">
        <v>206</v>
      </c>
      <c r="E31" s="3">
        <v>7900000</v>
      </c>
      <c r="F31" s="5">
        <f t="shared" si="1"/>
        <v>30429.000000000007</v>
      </c>
      <c r="G31" s="5">
        <f t="shared" si="2"/>
        <v>3381</v>
      </c>
      <c r="H31" s="3">
        <f t="shared" si="3"/>
        <v>6870</v>
      </c>
      <c r="I31" s="3">
        <f t="shared" si="4"/>
        <v>5012</v>
      </c>
      <c r="J31" s="3">
        <f t="shared" si="5"/>
        <v>137367.00000000003</v>
      </c>
      <c r="K31" s="3">
        <f t="shared" si="6"/>
        <v>15263</v>
      </c>
      <c r="L31" s="9">
        <f t="shared" si="0"/>
        <v>9.9999999999999978E-2</v>
      </c>
      <c r="M31" s="6">
        <v>0.9</v>
      </c>
      <c r="N31">
        <v>79</v>
      </c>
      <c r="O31" s="7">
        <v>3302</v>
      </c>
      <c r="P31" t="s">
        <v>121</v>
      </c>
      <c r="Q31" s="7">
        <v>1580</v>
      </c>
      <c r="R31">
        <v>468</v>
      </c>
      <c r="S31" s="7">
        <v>2806</v>
      </c>
      <c r="T31">
        <v>158</v>
      </c>
      <c r="U31">
        <v>8</v>
      </c>
      <c r="V31" s="7">
        <v>6862</v>
      </c>
      <c r="W31" t="s">
        <v>121</v>
      </c>
      <c r="X31" t="s">
        <v>121</v>
      </c>
      <c r="Y31" t="s">
        <v>121</v>
      </c>
      <c r="Z31" t="s">
        <v>121</v>
      </c>
      <c r="AA31" t="s">
        <v>121</v>
      </c>
      <c r="AB31" t="s">
        <v>121</v>
      </c>
      <c r="AC31" t="s">
        <v>121</v>
      </c>
      <c r="AD31" t="s">
        <v>121</v>
      </c>
      <c r="AE31" t="s">
        <v>121</v>
      </c>
      <c r="AF31" t="s">
        <v>121</v>
      </c>
    </row>
    <row r="32" spans="1:32">
      <c r="A32" t="s">
        <v>149</v>
      </c>
      <c r="B32" t="s">
        <v>464</v>
      </c>
      <c r="C32" t="s">
        <v>465</v>
      </c>
      <c r="D32" t="s">
        <v>206</v>
      </c>
      <c r="E32" s="3">
        <v>13275800</v>
      </c>
      <c r="F32" s="5">
        <f t="shared" si="1"/>
        <v>45460.000000000007</v>
      </c>
      <c r="G32" s="5">
        <f t="shared" si="2"/>
        <v>11365</v>
      </c>
      <c r="H32" s="3">
        <f t="shared" si="3"/>
        <v>23090</v>
      </c>
      <c r="I32" s="3">
        <f t="shared" si="4"/>
        <v>20434</v>
      </c>
      <c r="J32" s="3">
        <f t="shared" si="5"/>
        <v>219556.00000000006</v>
      </c>
      <c r="K32" s="3">
        <f t="shared" si="6"/>
        <v>54889</v>
      </c>
      <c r="L32" s="9">
        <f t="shared" si="0"/>
        <v>0.19999999999999996</v>
      </c>
      <c r="M32" s="6">
        <v>0.8</v>
      </c>
      <c r="N32">
        <v>266</v>
      </c>
      <c r="O32" s="7">
        <v>11099</v>
      </c>
      <c r="P32" t="s">
        <v>121</v>
      </c>
      <c r="Q32" t="s">
        <v>121</v>
      </c>
      <c r="R32" s="7">
        <v>1572</v>
      </c>
      <c r="S32" s="7">
        <v>9431</v>
      </c>
      <c r="T32" s="7">
        <v>9431</v>
      </c>
      <c r="U32">
        <v>27</v>
      </c>
      <c r="V32" s="7">
        <v>23063</v>
      </c>
      <c r="W32" t="s">
        <v>121</v>
      </c>
      <c r="X32" t="s">
        <v>121</v>
      </c>
      <c r="Y32" t="s">
        <v>121</v>
      </c>
      <c r="Z32" t="s">
        <v>121</v>
      </c>
      <c r="AA32" t="s">
        <v>121</v>
      </c>
      <c r="AB32" t="s">
        <v>121</v>
      </c>
      <c r="AC32" t="s">
        <v>121</v>
      </c>
      <c r="AD32" t="s">
        <v>121</v>
      </c>
      <c r="AE32" t="s">
        <v>121</v>
      </c>
      <c r="AF32" t="s">
        <v>121</v>
      </c>
    </row>
    <row r="33" spans="1:35">
      <c r="A33" t="s">
        <v>150</v>
      </c>
      <c r="B33" t="s">
        <v>466</v>
      </c>
      <c r="C33" t="s">
        <v>232</v>
      </c>
      <c r="D33" t="s">
        <v>206</v>
      </c>
      <c r="E33" s="3">
        <v>68000000</v>
      </c>
      <c r="F33" s="5">
        <f t="shared" si="1"/>
        <v>232832.00000000006</v>
      </c>
      <c r="G33" s="5">
        <f t="shared" si="2"/>
        <v>58208</v>
      </c>
      <c r="H33" s="3">
        <f t="shared" si="3"/>
        <v>118266</v>
      </c>
      <c r="I33" s="3">
        <f t="shared" si="4"/>
        <v>86278</v>
      </c>
      <c r="J33" s="3">
        <f t="shared" si="5"/>
        <v>1051008.0000000002</v>
      </c>
      <c r="K33" s="3">
        <f t="shared" si="6"/>
        <v>262752</v>
      </c>
      <c r="L33" s="9">
        <f t="shared" si="0"/>
        <v>0.19999999999999996</v>
      </c>
      <c r="M33" s="6">
        <v>0.8</v>
      </c>
      <c r="N33" s="7">
        <v>1360</v>
      </c>
      <c r="O33" s="7">
        <v>56848</v>
      </c>
      <c r="P33" t="s">
        <v>121</v>
      </c>
      <c r="Q33" s="7">
        <v>27200</v>
      </c>
      <c r="R33" s="7">
        <v>8051</v>
      </c>
      <c r="S33" s="7">
        <v>48307</v>
      </c>
      <c r="T33" s="7">
        <v>2720</v>
      </c>
      <c r="U33">
        <v>136</v>
      </c>
      <c r="V33" s="7">
        <v>118130</v>
      </c>
      <c r="W33" t="s">
        <v>121</v>
      </c>
      <c r="X33" t="s">
        <v>121</v>
      </c>
      <c r="Y33" t="s">
        <v>121</v>
      </c>
      <c r="Z33" t="s">
        <v>121</v>
      </c>
      <c r="AA33" t="s">
        <v>121</v>
      </c>
      <c r="AB33" t="s">
        <v>121</v>
      </c>
      <c r="AC33" t="s">
        <v>121</v>
      </c>
      <c r="AD33" t="s">
        <v>121</v>
      </c>
      <c r="AE33" t="s">
        <v>121</v>
      </c>
      <c r="AF33" t="s">
        <v>121</v>
      </c>
    </row>
    <row r="34" spans="1:35">
      <c r="A34" t="s">
        <v>151</v>
      </c>
      <c r="B34" t="s">
        <v>467</v>
      </c>
      <c r="C34" t="s">
        <v>233</v>
      </c>
      <c r="D34" t="s">
        <v>206</v>
      </c>
      <c r="E34" s="3">
        <v>4521000</v>
      </c>
      <c r="F34" s="5">
        <f t="shared" si="1"/>
        <v>17415.000000000004</v>
      </c>
      <c r="G34" s="5">
        <f t="shared" si="2"/>
        <v>1935</v>
      </c>
      <c r="H34" s="3">
        <f t="shared" si="3"/>
        <v>3932</v>
      </c>
      <c r="I34" s="3">
        <f t="shared" si="4"/>
        <v>2868</v>
      </c>
      <c r="J34" s="3">
        <f t="shared" si="5"/>
        <v>78615.000000000015</v>
      </c>
      <c r="K34" s="3">
        <f t="shared" si="6"/>
        <v>8735</v>
      </c>
      <c r="L34" s="9">
        <f t="shared" ref="L34:L65" si="7">SUM(1-M34)</f>
        <v>9.9999999999999978E-2</v>
      </c>
      <c r="M34" s="6">
        <v>0.9</v>
      </c>
      <c r="N34">
        <v>45</v>
      </c>
      <c r="O34" s="7">
        <v>1890</v>
      </c>
      <c r="P34" t="s">
        <v>121</v>
      </c>
      <c r="Q34" t="s">
        <v>121</v>
      </c>
      <c r="R34">
        <v>268</v>
      </c>
      <c r="S34" s="7">
        <v>1606</v>
      </c>
      <c r="T34">
        <v>90</v>
      </c>
      <c r="U34">
        <v>5</v>
      </c>
      <c r="V34" s="7">
        <v>3927</v>
      </c>
      <c r="W34" t="s">
        <v>121</v>
      </c>
      <c r="X34" t="s">
        <v>121</v>
      </c>
      <c r="Y34" t="s">
        <v>121</v>
      </c>
      <c r="Z34">
        <v>904</v>
      </c>
      <c r="AA34" t="s">
        <v>121</v>
      </c>
      <c r="AB34" t="s">
        <v>121</v>
      </c>
      <c r="AC34" t="s">
        <v>121</v>
      </c>
      <c r="AD34" t="s">
        <v>121</v>
      </c>
      <c r="AE34" t="s">
        <v>121</v>
      </c>
      <c r="AF34" t="s">
        <v>121</v>
      </c>
    </row>
    <row r="35" spans="1:35">
      <c r="A35" t="s">
        <v>152</v>
      </c>
      <c r="B35" t="s">
        <v>468</v>
      </c>
      <c r="C35" t="s">
        <v>233</v>
      </c>
      <c r="D35" t="s">
        <v>206</v>
      </c>
      <c r="E35" s="3">
        <v>31187800</v>
      </c>
      <c r="F35" s="5">
        <f t="shared" si="1"/>
        <v>120141.00000000003</v>
      </c>
      <c r="G35" s="5">
        <f t="shared" si="2"/>
        <v>13349</v>
      </c>
      <c r="H35" s="3">
        <f t="shared" si="3"/>
        <v>27121</v>
      </c>
      <c r="I35" s="3">
        <f t="shared" si="4"/>
        <v>19786</v>
      </c>
      <c r="J35" s="3">
        <f t="shared" si="5"/>
        <v>542304.00000000012</v>
      </c>
      <c r="K35" s="3">
        <f t="shared" si="6"/>
        <v>60256</v>
      </c>
      <c r="L35" s="9">
        <f t="shared" si="7"/>
        <v>9.9999999999999978E-2</v>
      </c>
      <c r="M35" s="6">
        <v>0.9</v>
      </c>
      <c r="N35">
        <v>312</v>
      </c>
      <c r="O35" s="7">
        <v>13037</v>
      </c>
      <c r="P35" t="s">
        <v>121</v>
      </c>
      <c r="Q35" t="s">
        <v>121</v>
      </c>
      <c r="R35" s="7">
        <v>1846</v>
      </c>
      <c r="S35" s="7">
        <v>11078</v>
      </c>
      <c r="T35">
        <v>624</v>
      </c>
      <c r="U35">
        <v>31</v>
      </c>
      <c r="V35" s="7">
        <v>27090</v>
      </c>
      <c r="W35" t="s">
        <v>121</v>
      </c>
      <c r="X35" t="s">
        <v>121</v>
      </c>
      <c r="Y35" t="s">
        <v>121</v>
      </c>
      <c r="Z35" s="7">
        <v>6238</v>
      </c>
      <c r="AA35" t="s">
        <v>121</v>
      </c>
      <c r="AB35" t="s">
        <v>121</v>
      </c>
      <c r="AC35" t="s">
        <v>121</v>
      </c>
      <c r="AD35" t="s">
        <v>121</v>
      </c>
      <c r="AE35" t="s">
        <v>121</v>
      </c>
      <c r="AF35" t="s">
        <v>121</v>
      </c>
    </row>
    <row r="36" spans="1:35">
      <c r="A36" t="s">
        <v>236</v>
      </c>
      <c r="B36" t="s">
        <v>469</v>
      </c>
      <c r="C36" t="s">
        <v>234</v>
      </c>
      <c r="D36" t="s">
        <v>206</v>
      </c>
      <c r="E36" s="3">
        <v>57000000</v>
      </c>
      <c r="F36" s="5">
        <f t="shared" si="1"/>
        <v>219564.00000000006</v>
      </c>
      <c r="G36" s="5">
        <f t="shared" si="2"/>
        <v>24396</v>
      </c>
      <c r="H36" s="3">
        <f t="shared" si="3"/>
        <v>49567</v>
      </c>
      <c r="I36" s="3">
        <f t="shared" si="4"/>
        <v>36160</v>
      </c>
      <c r="J36" s="3">
        <f t="shared" si="5"/>
        <v>991107.00000000023</v>
      </c>
      <c r="K36" s="3">
        <f t="shared" si="6"/>
        <v>110123</v>
      </c>
      <c r="L36" s="9">
        <f t="shared" si="7"/>
        <v>9.9999999999999978E-2</v>
      </c>
      <c r="M36" s="6">
        <v>0.9</v>
      </c>
      <c r="N36">
        <v>570</v>
      </c>
      <c r="O36" s="7">
        <v>23826</v>
      </c>
      <c r="P36" t="s">
        <v>121</v>
      </c>
      <c r="Q36" s="7">
        <v>11400</v>
      </c>
      <c r="R36" s="7">
        <v>3374</v>
      </c>
      <c r="S36" s="7">
        <v>20246</v>
      </c>
      <c r="T36" s="7">
        <v>1140</v>
      </c>
      <c r="U36">
        <v>57</v>
      </c>
      <c r="V36" s="7">
        <v>49510</v>
      </c>
      <c r="W36" t="s">
        <v>121</v>
      </c>
      <c r="X36" t="s">
        <v>121</v>
      </c>
      <c r="Y36" t="s">
        <v>121</v>
      </c>
      <c r="Z36" t="s">
        <v>121</v>
      </c>
      <c r="AA36" t="s">
        <v>121</v>
      </c>
      <c r="AB36" t="s">
        <v>121</v>
      </c>
      <c r="AC36" t="s">
        <v>121</v>
      </c>
      <c r="AD36" t="s">
        <v>121</v>
      </c>
      <c r="AE36" t="s">
        <v>121</v>
      </c>
      <c r="AF36" t="s">
        <v>121</v>
      </c>
    </row>
    <row r="37" spans="1:35">
      <c r="A37" t="s">
        <v>235</v>
      </c>
      <c r="B37" t="s">
        <v>470</v>
      </c>
      <c r="C37" t="s">
        <v>237</v>
      </c>
      <c r="D37" t="s">
        <v>206</v>
      </c>
      <c r="E37" s="3">
        <v>41952000</v>
      </c>
      <c r="F37" s="5">
        <f t="shared" si="1"/>
        <v>143644.00000000006</v>
      </c>
      <c r="G37" s="5">
        <f t="shared" si="2"/>
        <v>35911</v>
      </c>
      <c r="H37" s="3">
        <f t="shared" si="3"/>
        <v>72963</v>
      </c>
      <c r="I37" s="3">
        <f t="shared" si="4"/>
        <v>53229</v>
      </c>
      <c r="J37" s="3">
        <f t="shared" si="5"/>
        <v>648412.00000000023</v>
      </c>
      <c r="K37" s="3">
        <f t="shared" si="6"/>
        <v>162103</v>
      </c>
      <c r="L37" s="9">
        <f t="shared" si="7"/>
        <v>0.19999999999999996</v>
      </c>
      <c r="M37" s="6">
        <v>0.8</v>
      </c>
      <c r="N37">
        <v>839</v>
      </c>
      <c r="O37" s="7">
        <v>35072</v>
      </c>
      <c r="P37" t="s">
        <v>121</v>
      </c>
      <c r="Q37" t="s">
        <v>121</v>
      </c>
      <c r="R37" s="7">
        <v>4967</v>
      </c>
      <c r="S37" s="7">
        <v>29803</v>
      </c>
      <c r="T37" s="7">
        <v>1678</v>
      </c>
      <c r="U37">
        <v>84</v>
      </c>
      <c r="V37" s="7">
        <v>72879</v>
      </c>
      <c r="W37" t="s">
        <v>121</v>
      </c>
      <c r="X37" t="s">
        <v>121</v>
      </c>
      <c r="Y37" t="s">
        <v>121</v>
      </c>
      <c r="Z37" s="7">
        <v>16781</v>
      </c>
      <c r="AA37" t="s">
        <v>121</v>
      </c>
      <c r="AB37" t="s">
        <v>121</v>
      </c>
      <c r="AC37" t="s">
        <v>121</v>
      </c>
      <c r="AD37" t="s">
        <v>121</v>
      </c>
      <c r="AE37" t="s">
        <v>121</v>
      </c>
      <c r="AF37" t="s">
        <v>121</v>
      </c>
    </row>
    <row r="38" spans="1:35">
      <c r="A38" t="s">
        <v>153</v>
      </c>
      <c r="B38" t="s">
        <v>471</v>
      </c>
      <c r="C38" t="s">
        <v>472</v>
      </c>
      <c r="D38" t="s">
        <v>206</v>
      </c>
      <c r="E38" s="3">
        <v>32163700</v>
      </c>
      <c r="F38" s="5">
        <f t="shared" si="1"/>
        <v>130776.99999999987</v>
      </c>
      <c r="G38" s="5">
        <f t="shared" si="2"/>
        <v>6883</v>
      </c>
      <c r="H38" s="3">
        <f t="shared" si="3"/>
        <v>13985</v>
      </c>
      <c r="I38" s="3">
        <f t="shared" si="4"/>
        <v>6986</v>
      </c>
      <c r="J38" s="3">
        <f t="shared" si="5"/>
        <v>529225.99999999953</v>
      </c>
      <c r="K38" s="3">
        <f t="shared" si="6"/>
        <v>27854</v>
      </c>
      <c r="L38" s="9">
        <f t="shared" si="7"/>
        <v>5.0000000000000044E-2</v>
      </c>
      <c r="M38" s="6">
        <v>0.95</v>
      </c>
      <c r="N38">
        <v>161</v>
      </c>
      <c r="O38" s="7">
        <v>6722</v>
      </c>
      <c r="P38" t="s">
        <v>121</v>
      </c>
      <c r="Q38" t="s">
        <v>121</v>
      </c>
      <c r="R38">
        <v>952</v>
      </c>
      <c r="S38" s="7">
        <v>5712</v>
      </c>
      <c r="T38">
        <v>322</v>
      </c>
      <c r="U38">
        <v>16</v>
      </c>
      <c r="V38" s="7">
        <v>13969</v>
      </c>
      <c r="W38" t="s">
        <v>121</v>
      </c>
      <c r="X38" t="s">
        <v>121</v>
      </c>
      <c r="Y38" t="s">
        <v>121</v>
      </c>
      <c r="Z38" t="s">
        <v>121</v>
      </c>
      <c r="AA38" t="s">
        <v>121</v>
      </c>
      <c r="AB38" t="s">
        <v>121</v>
      </c>
      <c r="AC38" t="s">
        <v>121</v>
      </c>
      <c r="AD38" t="s">
        <v>121</v>
      </c>
      <c r="AE38" t="s">
        <v>121</v>
      </c>
      <c r="AF38" t="s">
        <v>121</v>
      </c>
    </row>
    <row r="39" spans="1:35">
      <c r="A39" t="s">
        <v>154</v>
      </c>
      <c r="B39" t="s">
        <v>473</v>
      </c>
      <c r="C39" t="s">
        <v>239</v>
      </c>
      <c r="D39" t="s">
        <v>247</v>
      </c>
      <c r="E39" s="3">
        <v>8796900</v>
      </c>
      <c r="F39" s="5">
        <f t="shared" si="1"/>
        <v>32005.333333333328</v>
      </c>
      <c r="G39" s="5">
        <f t="shared" si="2"/>
        <v>5648</v>
      </c>
      <c r="H39" s="3">
        <f t="shared" si="3"/>
        <v>9756</v>
      </c>
      <c r="I39" s="3">
        <f t="shared" si="4"/>
        <v>10556</v>
      </c>
      <c r="J39" s="3">
        <f t="shared" si="5"/>
        <v>147106.66666666663</v>
      </c>
      <c r="K39" s="3">
        <f t="shared" si="6"/>
        <v>25960</v>
      </c>
      <c r="L39" s="9">
        <f t="shared" si="7"/>
        <v>0.15000000000000002</v>
      </c>
      <c r="M39" s="6">
        <v>0.85</v>
      </c>
      <c r="N39">
        <v>132</v>
      </c>
      <c r="O39" s="7">
        <v>5516</v>
      </c>
      <c r="P39" t="s">
        <v>121</v>
      </c>
      <c r="Q39" t="s">
        <v>121</v>
      </c>
      <c r="R39" t="s">
        <v>121</v>
      </c>
      <c r="S39" t="s">
        <v>121</v>
      </c>
      <c r="T39" t="s">
        <v>121</v>
      </c>
      <c r="U39" t="s">
        <v>121</v>
      </c>
      <c r="V39" t="s">
        <v>121</v>
      </c>
      <c r="W39" s="7">
        <v>9756</v>
      </c>
      <c r="X39" t="s">
        <v>121</v>
      </c>
      <c r="Y39" t="s">
        <v>121</v>
      </c>
      <c r="Z39" t="s">
        <v>121</v>
      </c>
      <c r="AA39" s="7">
        <v>2639</v>
      </c>
      <c r="AB39" t="s">
        <v>121</v>
      </c>
      <c r="AC39" t="s">
        <v>121</v>
      </c>
      <c r="AD39" t="s">
        <v>121</v>
      </c>
      <c r="AE39" t="s">
        <v>121</v>
      </c>
      <c r="AF39" t="s">
        <v>121</v>
      </c>
      <c r="AI39" s="7">
        <v>7917</v>
      </c>
    </row>
    <row r="40" spans="1:35">
      <c r="A40" t="s">
        <v>155</v>
      </c>
      <c r="B40" t="s">
        <v>474</v>
      </c>
      <c r="C40" t="s">
        <v>240</v>
      </c>
      <c r="D40" t="s">
        <v>247</v>
      </c>
      <c r="E40" s="3">
        <v>8813900</v>
      </c>
      <c r="F40" s="5">
        <f t="shared" si="1"/>
        <v>32061.999999999996</v>
      </c>
      <c r="G40" s="5">
        <f t="shared" si="2"/>
        <v>5658</v>
      </c>
      <c r="H40" s="3">
        <f t="shared" si="3"/>
        <v>9774</v>
      </c>
      <c r="I40" s="3">
        <f t="shared" si="4"/>
        <v>10577</v>
      </c>
      <c r="J40" s="3">
        <f t="shared" si="5"/>
        <v>147384.33333333331</v>
      </c>
      <c r="K40" s="3">
        <f t="shared" si="6"/>
        <v>26009</v>
      </c>
      <c r="L40" s="9">
        <f t="shared" si="7"/>
        <v>0.15000000000000002</v>
      </c>
      <c r="M40" s="6">
        <v>0.85</v>
      </c>
      <c r="N40">
        <v>132</v>
      </c>
      <c r="O40" s="7">
        <v>5526</v>
      </c>
      <c r="P40" t="s">
        <v>121</v>
      </c>
      <c r="Q40" t="s">
        <v>121</v>
      </c>
      <c r="R40" t="s">
        <v>121</v>
      </c>
      <c r="S40" t="s">
        <v>121</v>
      </c>
      <c r="T40" t="s">
        <v>121</v>
      </c>
      <c r="U40" t="s">
        <v>121</v>
      </c>
      <c r="V40" t="s">
        <v>121</v>
      </c>
      <c r="W40" s="7">
        <v>9774</v>
      </c>
      <c r="X40" t="s">
        <v>121</v>
      </c>
      <c r="Y40" t="s">
        <v>121</v>
      </c>
      <c r="Z40" t="s">
        <v>121</v>
      </c>
      <c r="AA40" s="7">
        <v>2644</v>
      </c>
      <c r="AB40" t="s">
        <v>121</v>
      </c>
      <c r="AC40" t="s">
        <v>121</v>
      </c>
      <c r="AD40" t="s">
        <v>121</v>
      </c>
      <c r="AE40" t="s">
        <v>121</v>
      </c>
      <c r="AF40" t="s">
        <v>121</v>
      </c>
      <c r="AI40" s="7">
        <v>7933</v>
      </c>
    </row>
    <row r="41" spans="1:35">
      <c r="A41" t="s">
        <v>241</v>
      </c>
      <c r="B41" t="s">
        <v>475</v>
      </c>
      <c r="C41" t="s">
        <v>244</v>
      </c>
      <c r="D41" t="s">
        <v>206</v>
      </c>
      <c r="E41" s="3">
        <v>226915000</v>
      </c>
      <c r="F41" s="5">
        <f t="shared" si="1"/>
        <v>582718.5</v>
      </c>
      <c r="G41" s="5">
        <f t="shared" si="2"/>
        <v>388479</v>
      </c>
      <c r="H41" s="3">
        <f t="shared" si="3"/>
        <v>789301</v>
      </c>
      <c r="I41" s="3">
        <f t="shared" si="4"/>
        <v>575819</v>
      </c>
      <c r="J41" s="3">
        <f t="shared" si="5"/>
        <v>2630398.5</v>
      </c>
      <c r="K41" s="3">
        <f t="shared" si="6"/>
        <v>1753599</v>
      </c>
      <c r="L41" s="9">
        <f t="shared" si="7"/>
        <v>0.4</v>
      </c>
      <c r="M41" s="6">
        <v>0.6</v>
      </c>
      <c r="N41" s="7">
        <v>9077</v>
      </c>
      <c r="O41" s="7">
        <v>379402</v>
      </c>
      <c r="P41" t="s">
        <v>121</v>
      </c>
      <c r="Q41" t="s">
        <v>121</v>
      </c>
      <c r="R41" s="7">
        <v>53733</v>
      </c>
      <c r="S41" s="7">
        <v>322401</v>
      </c>
      <c r="T41" s="7">
        <v>18153</v>
      </c>
      <c r="U41">
        <v>908</v>
      </c>
      <c r="V41" s="7">
        <v>788393</v>
      </c>
      <c r="W41" t="s">
        <v>121</v>
      </c>
      <c r="X41" t="s">
        <v>121</v>
      </c>
      <c r="Y41" t="s">
        <v>121</v>
      </c>
      <c r="Z41" s="7">
        <v>181532</v>
      </c>
      <c r="AA41" t="s">
        <v>121</v>
      </c>
      <c r="AB41" t="s">
        <v>121</v>
      </c>
      <c r="AC41" t="s">
        <v>121</v>
      </c>
      <c r="AD41" t="s">
        <v>121</v>
      </c>
      <c r="AE41" t="s">
        <v>121</v>
      </c>
      <c r="AF41" t="s">
        <v>121</v>
      </c>
    </row>
    <row r="42" spans="1:35">
      <c r="A42" t="s">
        <v>242</v>
      </c>
      <c r="B42" t="s">
        <v>476</v>
      </c>
      <c r="C42" t="s">
        <v>535</v>
      </c>
      <c r="D42" t="s">
        <v>206</v>
      </c>
      <c r="E42" s="3">
        <v>61517000</v>
      </c>
      <c r="F42" s="5">
        <f t="shared" si="1"/>
        <v>144810.11111111112</v>
      </c>
      <c r="G42" s="5">
        <f t="shared" si="2"/>
        <v>118481</v>
      </c>
      <c r="H42" s="3">
        <f t="shared" si="3"/>
        <v>240728</v>
      </c>
      <c r="I42" s="3">
        <f t="shared" si="4"/>
        <v>175619</v>
      </c>
      <c r="J42" s="3">
        <f t="shared" si="5"/>
        <v>653678.66666666674</v>
      </c>
      <c r="K42" s="3">
        <f t="shared" si="6"/>
        <v>534828</v>
      </c>
      <c r="L42" s="9">
        <f t="shared" si="7"/>
        <v>0.44999999999999996</v>
      </c>
      <c r="M42" s="6">
        <v>0.55000000000000004</v>
      </c>
      <c r="N42" s="7">
        <v>2768</v>
      </c>
      <c r="O42" s="7">
        <v>115713</v>
      </c>
      <c r="P42" t="s">
        <v>121</v>
      </c>
      <c r="Q42" s="7">
        <v>55365</v>
      </c>
      <c r="R42" s="7">
        <v>16388</v>
      </c>
      <c r="S42" s="7">
        <v>98329</v>
      </c>
      <c r="T42" s="7">
        <v>5537</v>
      </c>
      <c r="U42">
        <v>277</v>
      </c>
      <c r="V42" s="7">
        <v>240451</v>
      </c>
      <c r="W42" t="s">
        <v>121</v>
      </c>
      <c r="X42" t="s">
        <v>121</v>
      </c>
      <c r="Y42" t="s">
        <v>121</v>
      </c>
      <c r="Z42" t="s">
        <v>121</v>
      </c>
      <c r="AA42" t="s">
        <v>121</v>
      </c>
      <c r="AB42" t="s">
        <v>121</v>
      </c>
      <c r="AC42" t="s">
        <v>121</v>
      </c>
      <c r="AD42" t="s">
        <v>121</v>
      </c>
      <c r="AE42" t="s">
        <v>121</v>
      </c>
      <c r="AF42" t="s">
        <v>121</v>
      </c>
    </row>
    <row r="43" spans="1:35">
      <c r="A43" t="s">
        <v>243</v>
      </c>
      <c r="B43" t="s">
        <v>477</v>
      </c>
      <c r="C43" t="s">
        <v>246</v>
      </c>
      <c r="D43" t="s">
        <v>247</v>
      </c>
      <c r="E43" s="3">
        <v>11100237</v>
      </c>
      <c r="F43" s="5">
        <f t="shared" si="1"/>
        <v>26131.111111111117</v>
      </c>
      <c r="G43" s="5">
        <f t="shared" si="2"/>
        <v>21380</v>
      </c>
      <c r="H43" s="3">
        <f t="shared" si="3"/>
        <v>36930</v>
      </c>
      <c r="I43" s="3">
        <f t="shared" si="4"/>
        <v>39961</v>
      </c>
      <c r="J43" s="3">
        <f t="shared" si="5"/>
        <v>120109.00000000003</v>
      </c>
      <c r="K43" s="3">
        <f t="shared" si="6"/>
        <v>98271</v>
      </c>
      <c r="L43" s="9">
        <f t="shared" si="7"/>
        <v>0.44999999999999996</v>
      </c>
      <c r="M43" s="6">
        <v>0.55000000000000004</v>
      </c>
      <c r="N43">
        <v>500</v>
      </c>
      <c r="O43" s="7">
        <v>20880</v>
      </c>
      <c r="P43" t="s">
        <v>121</v>
      </c>
      <c r="Q43" t="s">
        <v>121</v>
      </c>
      <c r="R43" t="s">
        <v>121</v>
      </c>
      <c r="S43" t="s">
        <v>121</v>
      </c>
      <c r="T43" t="s">
        <v>121</v>
      </c>
      <c r="U43" t="s">
        <v>121</v>
      </c>
      <c r="V43" t="s">
        <v>121</v>
      </c>
      <c r="W43" s="7">
        <v>36930</v>
      </c>
      <c r="X43" t="s">
        <v>121</v>
      </c>
      <c r="Y43" t="s">
        <v>121</v>
      </c>
      <c r="Z43" t="s">
        <v>121</v>
      </c>
      <c r="AA43" s="7">
        <v>9990</v>
      </c>
      <c r="AB43" t="s">
        <v>121</v>
      </c>
      <c r="AC43" t="s">
        <v>121</v>
      </c>
      <c r="AD43" t="s">
        <v>121</v>
      </c>
      <c r="AE43" t="s">
        <v>121</v>
      </c>
      <c r="AF43" t="s">
        <v>121</v>
      </c>
      <c r="AI43" s="7">
        <v>29971</v>
      </c>
    </row>
    <row r="44" spans="1:35">
      <c r="A44" t="s">
        <v>156</v>
      </c>
      <c r="B44" t="s">
        <v>478</v>
      </c>
      <c r="C44" t="s">
        <v>249</v>
      </c>
      <c r="D44" t="s">
        <v>248</v>
      </c>
      <c r="E44" s="3">
        <v>52026400</v>
      </c>
      <c r="F44" s="5">
        <f t="shared" si="1"/>
        <v>200403.00000000003</v>
      </c>
      <c r="G44" s="5">
        <f t="shared" si="2"/>
        <v>22267</v>
      </c>
      <c r="H44" s="3">
        <f t="shared" si="3"/>
        <v>38464</v>
      </c>
      <c r="I44" s="3">
        <f t="shared" si="4"/>
        <v>18169</v>
      </c>
      <c r="J44" s="3">
        <f t="shared" si="5"/>
        <v>710100.00000000023</v>
      </c>
      <c r="K44" s="3">
        <f t="shared" si="6"/>
        <v>78900</v>
      </c>
      <c r="L44" s="9">
        <f t="shared" si="7"/>
        <v>9.9999999999999978E-2</v>
      </c>
      <c r="M44" s="6">
        <v>0.9</v>
      </c>
      <c r="N44">
        <v>520</v>
      </c>
      <c r="O44" s="7">
        <v>21747</v>
      </c>
      <c r="P44" t="s">
        <v>121</v>
      </c>
      <c r="Q44" t="s">
        <v>121</v>
      </c>
      <c r="R44" t="s">
        <v>121</v>
      </c>
      <c r="S44" t="s">
        <v>121</v>
      </c>
      <c r="T44" t="s">
        <v>121</v>
      </c>
      <c r="U44" t="s">
        <v>121</v>
      </c>
      <c r="V44" t="s">
        <v>121</v>
      </c>
      <c r="W44" s="7">
        <v>38464</v>
      </c>
      <c r="X44" t="s">
        <v>121</v>
      </c>
      <c r="Y44" t="s">
        <v>121</v>
      </c>
      <c r="Z44" t="s">
        <v>121</v>
      </c>
      <c r="AA44" t="s">
        <v>121</v>
      </c>
      <c r="AB44" s="7">
        <v>8324</v>
      </c>
      <c r="AC44" t="s">
        <v>121</v>
      </c>
      <c r="AD44" t="s">
        <v>121</v>
      </c>
      <c r="AE44" t="s">
        <v>121</v>
      </c>
      <c r="AF44" s="7">
        <v>9845</v>
      </c>
    </row>
    <row r="45" spans="1:35">
      <c r="A45" t="s">
        <v>157</v>
      </c>
      <c r="B45" t="s">
        <v>479</v>
      </c>
      <c r="C45" t="s">
        <v>249</v>
      </c>
      <c r="D45" t="s">
        <v>248</v>
      </c>
      <c r="E45" s="3">
        <v>36559400</v>
      </c>
      <c r="F45" s="5">
        <f t="shared" si="1"/>
        <v>140832.00000000003</v>
      </c>
      <c r="G45" s="5">
        <f t="shared" si="2"/>
        <v>15648</v>
      </c>
      <c r="H45" s="3">
        <f t="shared" si="3"/>
        <v>27029</v>
      </c>
      <c r="I45" s="3">
        <f t="shared" si="4"/>
        <v>12769</v>
      </c>
      <c r="J45" s="3">
        <f t="shared" si="5"/>
        <v>499014.00000000012</v>
      </c>
      <c r="K45" s="3">
        <f t="shared" si="6"/>
        <v>55446</v>
      </c>
      <c r="L45" s="9">
        <f t="shared" si="7"/>
        <v>9.9999999999999978E-2</v>
      </c>
      <c r="M45" s="6">
        <v>0.9</v>
      </c>
      <c r="N45">
        <v>366</v>
      </c>
      <c r="O45" s="7">
        <v>15282</v>
      </c>
      <c r="P45" t="s">
        <v>121</v>
      </c>
      <c r="Q45" t="s">
        <v>121</v>
      </c>
      <c r="R45" t="s">
        <v>121</v>
      </c>
      <c r="S45" t="s">
        <v>121</v>
      </c>
      <c r="T45" t="s">
        <v>121</v>
      </c>
      <c r="U45" t="s">
        <v>121</v>
      </c>
      <c r="V45" t="s">
        <v>121</v>
      </c>
      <c r="W45" s="7">
        <v>27029</v>
      </c>
      <c r="X45" t="s">
        <v>121</v>
      </c>
      <c r="Y45" t="s">
        <v>121</v>
      </c>
      <c r="Z45" t="s">
        <v>121</v>
      </c>
      <c r="AA45" t="s">
        <v>121</v>
      </c>
      <c r="AB45" s="7">
        <v>5850</v>
      </c>
      <c r="AC45" t="s">
        <v>121</v>
      </c>
      <c r="AD45" t="s">
        <v>121</v>
      </c>
      <c r="AE45" t="s">
        <v>121</v>
      </c>
      <c r="AF45" s="7">
        <v>6919</v>
      </c>
    </row>
    <row r="46" spans="1:35">
      <c r="A46" t="s">
        <v>158</v>
      </c>
      <c r="B46" t="s">
        <v>480</v>
      </c>
      <c r="C46" t="s">
        <v>250</v>
      </c>
      <c r="D46" t="s">
        <v>248</v>
      </c>
      <c r="E46" s="3">
        <v>73484000</v>
      </c>
      <c r="F46" s="5">
        <f t="shared" si="1"/>
        <v>267330.66666666663</v>
      </c>
      <c r="G46" s="5">
        <f t="shared" si="2"/>
        <v>47176</v>
      </c>
      <c r="H46" s="3">
        <f t="shared" si="3"/>
        <v>81492</v>
      </c>
      <c r="I46" s="3">
        <f t="shared" si="4"/>
        <v>38495</v>
      </c>
      <c r="J46" s="3">
        <f t="shared" si="5"/>
        <v>947256.99999999977</v>
      </c>
      <c r="K46" s="3">
        <f t="shared" si="6"/>
        <v>167163</v>
      </c>
      <c r="L46" s="9">
        <f t="shared" si="7"/>
        <v>0.15000000000000002</v>
      </c>
      <c r="M46" s="6">
        <v>0.85</v>
      </c>
      <c r="N46" s="7">
        <v>1102</v>
      </c>
      <c r="O46" s="7">
        <v>46074</v>
      </c>
      <c r="P46" t="s">
        <v>121</v>
      </c>
      <c r="Q46" t="s">
        <v>121</v>
      </c>
      <c r="R46" t="s">
        <v>121</v>
      </c>
      <c r="S46" t="s">
        <v>121</v>
      </c>
      <c r="T46" t="s">
        <v>121</v>
      </c>
      <c r="U46" t="s">
        <v>121</v>
      </c>
      <c r="V46" t="s">
        <v>121</v>
      </c>
      <c r="W46" s="7">
        <v>81492</v>
      </c>
      <c r="X46" t="s">
        <v>121</v>
      </c>
      <c r="Y46" t="s">
        <v>121</v>
      </c>
      <c r="Z46" t="s">
        <v>121</v>
      </c>
      <c r="AA46" t="s">
        <v>121</v>
      </c>
      <c r="AB46" s="7">
        <v>17636</v>
      </c>
      <c r="AC46" t="s">
        <v>121</v>
      </c>
      <c r="AD46" t="s">
        <v>121</v>
      </c>
      <c r="AE46" t="s">
        <v>121</v>
      </c>
      <c r="AF46" s="7">
        <v>20859</v>
      </c>
    </row>
    <row r="47" spans="1:35">
      <c r="A47" t="s">
        <v>159</v>
      </c>
      <c r="B47" t="s">
        <v>481</v>
      </c>
      <c r="C47" t="s">
        <v>251</v>
      </c>
      <c r="D47" t="s">
        <v>206</v>
      </c>
      <c r="E47" s="3">
        <v>111927000</v>
      </c>
      <c r="F47" s="5">
        <f t="shared" si="1"/>
        <v>359286</v>
      </c>
      <c r="G47" s="5">
        <f t="shared" si="2"/>
        <v>119762</v>
      </c>
      <c r="H47" s="3">
        <f t="shared" si="3"/>
        <v>243329</v>
      </c>
      <c r="I47" s="3">
        <f t="shared" si="4"/>
        <v>155130</v>
      </c>
      <c r="J47" s="3">
        <f t="shared" si="5"/>
        <v>1554663</v>
      </c>
      <c r="K47" s="3">
        <f t="shared" si="6"/>
        <v>518221</v>
      </c>
      <c r="L47" s="9">
        <f t="shared" si="7"/>
        <v>0.25</v>
      </c>
      <c r="M47" s="6">
        <v>0.75</v>
      </c>
      <c r="N47" s="7">
        <v>2798</v>
      </c>
      <c r="O47" s="7">
        <v>116964</v>
      </c>
      <c r="P47" t="s">
        <v>121</v>
      </c>
      <c r="Q47" t="s">
        <v>121</v>
      </c>
      <c r="R47" s="7">
        <v>16565</v>
      </c>
      <c r="S47" s="7">
        <v>99391</v>
      </c>
      <c r="T47" s="7">
        <v>5596</v>
      </c>
      <c r="U47">
        <v>280</v>
      </c>
      <c r="V47" s="7">
        <v>243049</v>
      </c>
      <c r="W47" t="s">
        <v>121</v>
      </c>
      <c r="X47" s="7">
        <v>33578</v>
      </c>
      <c r="Y47" t="s">
        <v>121</v>
      </c>
      <c r="Z47" t="s">
        <v>121</v>
      </c>
      <c r="AA47" t="s">
        <v>121</v>
      </c>
      <c r="AB47" t="s">
        <v>121</v>
      </c>
      <c r="AC47" t="s">
        <v>121</v>
      </c>
      <c r="AD47" t="s">
        <v>121</v>
      </c>
      <c r="AE47" t="s">
        <v>121</v>
      </c>
      <c r="AF47" t="s">
        <v>121</v>
      </c>
    </row>
    <row r="48" spans="1:35">
      <c r="A48" t="s">
        <v>160</v>
      </c>
      <c r="B48" t="s">
        <v>481</v>
      </c>
      <c r="C48" t="s">
        <v>251</v>
      </c>
      <c r="D48" t="s">
        <v>206</v>
      </c>
      <c r="E48" s="3">
        <v>2880200</v>
      </c>
      <c r="F48" s="5">
        <f t="shared" si="1"/>
        <v>9246</v>
      </c>
      <c r="G48" s="5">
        <f t="shared" si="2"/>
        <v>3082</v>
      </c>
      <c r="H48" s="3">
        <f t="shared" si="3"/>
        <v>6261</v>
      </c>
      <c r="I48" s="3">
        <f t="shared" si="4"/>
        <v>3992</v>
      </c>
      <c r="J48" s="3">
        <f t="shared" si="5"/>
        <v>40005</v>
      </c>
      <c r="K48" s="3">
        <f t="shared" si="6"/>
        <v>13335</v>
      </c>
      <c r="L48" s="9">
        <f t="shared" si="7"/>
        <v>0.25</v>
      </c>
      <c r="M48" s="6">
        <v>0.75</v>
      </c>
      <c r="N48">
        <v>72</v>
      </c>
      <c r="O48" s="7">
        <v>3010</v>
      </c>
      <c r="P48" t="s">
        <v>121</v>
      </c>
      <c r="Q48" t="s">
        <v>121</v>
      </c>
      <c r="R48">
        <v>426</v>
      </c>
      <c r="S48" s="7">
        <v>2558</v>
      </c>
      <c r="T48">
        <v>144</v>
      </c>
      <c r="U48">
        <v>7</v>
      </c>
      <c r="V48" s="7">
        <v>6254</v>
      </c>
      <c r="W48" t="s">
        <v>121</v>
      </c>
      <c r="X48">
        <v>864</v>
      </c>
      <c r="Y48" t="s">
        <v>121</v>
      </c>
      <c r="Z48" t="s">
        <v>121</v>
      </c>
      <c r="AA48" t="s">
        <v>121</v>
      </c>
      <c r="AB48" t="s">
        <v>121</v>
      </c>
      <c r="AC48" t="s">
        <v>121</v>
      </c>
      <c r="AD48" t="s">
        <v>121</v>
      </c>
      <c r="AE48" t="s">
        <v>121</v>
      </c>
      <c r="AF48" t="s">
        <v>121</v>
      </c>
    </row>
    <row r="49" spans="1:32">
      <c r="A49" t="s">
        <v>161</v>
      </c>
      <c r="B49" t="s">
        <v>482</v>
      </c>
      <c r="C49" t="s">
        <v>252</v>
      </c>
      <c r="D49" t="s">
        <v>206</v>
      </c>
      <c r="E49" s="3">
        <v>135494500</v>
      </c>
      <c r="F49" s="5">
        <f t="shared" si="1"/>
        <v>434937</v>
      </c>
      <c r="G49" s="5">
        <f t="shared" si="2"/>
        <v>144979</v>
      </c>
      <c r="H49" s="3">
        <f t="shared" si="3"/>
        <v>294565</v>
      </c>
      <c r="I49" s="3">
        <f t="shared" si="4"/>
        <v>187795</v>
      </c>
      <c r="J49" s="3">
        <f t="shared" si="5"/>
        <v>1882017</v>
      </c>
      <c r="K49" s="3">
        <f t="shared" si="6"/>
        <v>627339</v>
      </c>
      <c r="L49" s="9">
        <f t="shared" si="7"/>
        <v>0.25</v>
      </c>
      <c r="M49" s="6">
        <v>0.75</v>
      </c>
      <c r="N49" s="7">
        <v>3387</v>
      </c>
      <c r="O49" s="7">
        <v>141592</v>
      </c>
      <c r="P49" t="s">
        <v>121</v>
      </c>
      <c r="Q49" t="s">
        <v>121</v>
      </c>
      <c r="R49" s="7">
        <v>20053</v>
      </c>
      <c r="S49" s="7">
        <v>120319</v>
      </c>
      <c r="T49" s="7">
        <v>6775</v>
      </c>
      <c r="U49">
        <v>339</v>
      </c>
      <c r="V49" s="7">
        <v>294226</v>
      </c>
      <c r="W49" t="s">
        <v>121</v>
      </c>
      <c r="X49" s="7">
        <v>40648</v>
      </c>
      <c r="Y49" t="s">
        <v>121</v>
      </c>
      <c r="Z49" t="s">
        <v>121</v>
      </c>
      <c r="AA49" t="s">
        <v>121</v>
      </c>
      <c r="AB49" t="s">
        <v>121</v>
      </c>
      <c r="AC49" t="s">
        <v>121</v>
      </c>
      <c r="AD49" t="s">
        <v>121</v>
      </c>
      <c r="AE49" t="s">
        <v>121</v>
      </c>
      <c r="AF49" t="s">
        <v>121</v>
      </c>
    </row>
    <row r="50" spans="1:32">
      <c r="A50" t="s">
        <v>162</v>
      </c>
      <c r="B50" t="s">
        <v>483</v>
      </c>
      <c r="C50" t="s">
        <v>536</v>
      </c>
      <c r="D50" t="s">
        <v>206</v>
      </c>
      <c r="E50" s="3">
        <v>93350900</v>
      </c>
      <c r="F50" s="5">
        <f t="shared" si="1"/>
        <v>199771</v>
      </c>
      <c r="G50" s="5">
        <f t="shared" si="2"/>
        <v>199771</v>
      </c>
      <c r="H50" s="3">
        <f t="shared" si="3"/>
        <v>405890</v>
      </c>
      <c r="I50" s="3">
        <f t="shared" si="4"/>
        <v>258769</v>
      </c>
      <c r="J50" s="3">
        <f t="shared" si="5"/>
        <v>864430</v>
      </c>
      <c r="K50" s="3">
        <f t="shared" si="6"/>
        <v>864430</v>
      </c>
      <c r="L50" s="9">
        <f t="shared" si="7"/>
        <v>0.5</v>
      </c>
      <c r="M50" s="6">
        <v>0.5</v>
      </c>
      <c r="N50" s="7">
        <v>4668</v>
      </c>
      <c r="O50" s="7">
        <v>195103</v>
      </c>
      <c r="P50" t="s">
        <v>121</v>
      </c>
      <c r="Q50" t="s">
        <v>121</v>
      </c>
      <c r="R50" s="7">
        <v>27632</v>
      </c>
      <c r="S50" s="7">
        <v>165791</v>
      </c>
      <c r="T50" s="7">
        <v>9335</v>
      </c>
      <c r="U50">
        <v>467</v>
      </c>
      <c r="V50" s="7">
        <v>405423</v>
      </c>
      <c r="W50" t="s">
        <v>121</v>
      </c>
      <c r="X50" s="7">
        <v>56011</v>
      </c>
      <c r="Y50" t="s">
        <v>121</v>
      </c>
      <c r="Z50" t="s">
        <v>121</v>
      </c>
      <c r="AA50" t="s">
        <v>121</v>
      </c>
      <c r="AB50" t="s">
        <v>121</v>
      </c>
      <c r="AC50" t="s">
        <v>121</v>
      </c>
      <c r="AD50" t="s">
        <v>121</v>
      </c>
      <c r="AE50" t="s">
        <v>121</v>
      </c>
      <c r="AF50" t="s">
        <v>121</v>
      </c>
    </row>
    <row r="51" spans="1:32">
      <c r="A51" t="s">
        <v>163</v>
      </c>
      <c r="B51" t="s">
        <v>484</v>
      </c>
      <c r="C51" t="s">
        <v>254</v>
      </c>
      <c r="D51" t="s">
        <v>206</v>
      </c>
      <c r="E51" s="3">
        <v>133368000</v>
      </c>
      <c r="F51" s="5">
        <f t="shared" si="1"/>
        <v>428112</v>
      </c>
      <c r="G51" s="5">
        <f t="shared" si="2"/>
        <v>142704</v>
      </c>
      <c r="H51" s="3">
        <f t="shared" si="3"/>
        <v>289942</v>
      </c>
      <c r="I51" s="3">
        <f t="shared" si="4"/>
        <v>184847</v>
      </c>
      <c r="J51" s="3">
        <f t="shared" si="5"/>
        <v>1852479</v>
      </c>
      <c r="K51" s="3">
        <f t="shared" si="6"/>
        <v>617493</v>
      </c>
      <c r="L51" s="9">
        <f t="shared" si="7"/>
        <v>0.25</v>
      </c>
      <c r="M51" s="6">
        <v>0.75</v>
      </c>
      <c r="N51" s="7">
        <v>3334</v>
      </c>
      <c r="O51" s="7">
        <v>139370</v>
      </c>
      <c r="P51" t="s">
        <v>121</v>
      </c>
      <c r="Q51" t="s">
        <v>121</v>
      </c>
      <c r="R51" s="7">
        <v>19738</v>
      </c>
      <c r="S51" s="7">
        <v>118431</v>
      </c>
      <c r="T51" s="7">
        <v>6668</v>
      </c>
      <c r="U51">
        <v>333</v>
      </c>
      <c r="V51" s="7">
        <v>289609</v>
      </c>
      <c r="W51" t="s">
        <v>121</v>
      </c>
      <c r="X51" s="7">
        <v>40010</v>
      </c>
      <c r="Y51" t="s">
        <v>121</v>
      </c>
      <c r="Z51" t="s">
        <v>121</v>
      </c>
      <c r="AA51" t="s">
        <v>121</v>
      </c>
      <c r="AB51" t="s">
        <v>121</v>
      </c>
      <c r="AC51" t="s">
        <v>121</v>
      </c>
      <c r="AD51" t="s">
        <v>121</v>
      </c>
      <c r="AE51" t="s">
        <v>121</v>
      </c>
      <c r="AF51" t="s">
        <v>121</v>
      </c>
    </row>
    <row r="52" spans="1:32">
      <c r="A52" t="s">
        <v>164</v>
      </c>
      <c r="B52" t="s">
        <v>485</v>
      </c>
      <c r="C52" t="s">
        <v>537</v>
      </c>
      <c r="D52" t="s">
        <v>206</v>
      </c>
      <c r="E52" s="3">
        <v>64666200</v>
      </c>
      <c r="F52" s="5">
        <f t="shared" si="1"/>
        <v>207579</v>
      </c>
      <c r="G52" s="5">
        <f t="shared" si="2"/>
        <v>69193</v>
      </c>
      <c r="H52" s="3">
        <f t="shared" si="3"/>
        <v>140585</v>
      </c>
      <c r="I52" s="3">
        <f t="shared" si="4"/>
        <v>70228</v>
      </c>
      <c r="J52" s="3">
        <f t="shared" si="5"/>
        <v>840018</v>
      </c>
      <c r="K52" s="3">
        <f t="shared" si="6"/>
        <v>280006</v>
      </c>
      <c r="L52" s="9">
        <f t="shared" si="7"/>
        <v>0.25</v>
      </c>
      <c r="M52" s="6">
        <v>0.75</v>
      </c>
      <c r="N52" s="7">
        <v>1617</v>
      </c>
      <c r="O52" s="7">
        <v>67576</v>
      </c>
      <c r="P52" t="s">
        <v>121</v>
      </c>
      <c r="Q52" t="s">
        <v>121</v>
      </c>
      <c r="R52" s="7">
        <v>9571</v>
      </c>
      <c r="S52" s="7">
        <v>57424</v>
      </c>
      <c r="T52" s="7">
        <v>3233</v>
      </c>
      <c r="U52">
        <v>162</v>
      </c>
      <c r="V52" s="7">
        <v>140423</v>
      </c>
      <c r="W52" t="s">
        <v>121</v>
      </c>
      <c r="X52" t="s">
        <v>121</v>
      </c>
      <c r="Y52" t="s">
        <v>121</v>
      </c>
      <c r="Z52" t="s">
        <v>121</v>
      </c>
      <c r="AA52" t="s">
        <v>121</v>
      </c>
      <c r="AB52" t="s">
        <v>121</v>
      </c>
      <c r="AC52" t="s">
        <v>121</v>
      </c>
      <c r="AD52" t="s">
        <v>121</v>
      </c>
      <c r="AE52" t="s">
        <v>121</v>
      </c>
      <c r="AF52" t="s">
        <v>121</v>
      </c>
    </row>
    <row r="53" spans="1:32">
      <c r="A53" t="s">
        <v>165</v>
      </c>
      <c r="B53" t="s">
        <v>486</v>
      </c>
      <c r="C53" t="s">
        <v>538</v>
      </c>
      <c r="D53" t="s">
        <v>206</v>
      </c>
      <c r="E53" s="3">
        <v>54356900</v>
      </c>
      <c r="F53" s="5">
        <f t="shared" si="1"/>
        <v>174486</v>
      </c>
      <c r="G53" s="5">
        <f t="shared" si="2"/>
        <v>58162</v>
      </c>
      <c r="H53" s="3">
        <f t="shared" si="3"/>
        <v>118172</v>
      </c>
      <c r="I53" s="3">
        <f t="shared" si="4"/>
        <v>59032</v>
      </c>
      <c r="J53" s="3">
        <f t="shared" si="5"/>
        <v>706098</v>
      </c>
      <c r="K53" s="3">
        <f t="shared" si="6"/>
        <v>235366</v>
      </c>
      <c r="L53" s="9">
        <f t="shared" si="7"/>
        <v>0.25</v>
      </c>
      <c r="M53" s="6">
        <v>0.75</v>
      </c>
      <c r="N53" s="7">
        <v>1359</v>
      </c>
      <c r="O53" s="7">
        <v>56803</v>
      </c>
      <c r="P53" t="s">
        <v>121</v>
      </c>
      <c r="Q53" t="s">
        <v>121</v>
      </c>
      <c r="R53" s="7">
        <v>8045</v>
      </c>
      <c r="S53" s="7">
        <v>48269</v>
      </c>
      <c r="T53" s="7">
        <v>2718</v>
      </c>
      <c r="U53">
        <v>136</v>
      </c>
      <c r="V53" s="7">
        <v>118036</v>
      </c>
      <c r="W53" t="s">
        <v>121</v>
      </c>
      <c r="X53" t="s">
        <v>121</v>
      </c>
      <c r="Y53" t="s">
        <v>121</v>
      </c>
      <c r="Z53" t="s">
        <v>121</v>
      </c>
      <c r="AA53" t="s">
        <v>121</v>
      </c>
      <c r="AB53" t="s">
        <v>121</v>
      </c>
      <c r="AC53" t="s">
        <v>121</v>
      </c>
      <c r="AD53" t="s">
        <v>121</v>
      </c>
      <c r="AE53" t="s">
        <v>121</v>
      </c>
      <c r="AF53" t="s">
        <v>121</v>
      </c>
    </row>
    <row r="54" spans="1:32">
      <c r="A54" t="s">
        <v>166</v>
      </c>
      <c r="B54" t="s">
        <v>487</v>
      </c>
      <c r="C54" t="s">
        <v>539</v>
      </c>
      <c r="D54" t="s">
        <v>206</v>
      </c>
      <c r="E54" s="3">
        <v>63265600</v>
      </c>
      <c r="F54" s="5">
        <f t="shared" si="1"/>
        <v>203085</v>
      </c>
      <c r="G54" s="5">
        <f t="shared" si="2"/>
        <v>67695</v>
      </c>
      <c r="H54" s="3">
        <f t="shared" si="3"/>
        <v>137539</v>
      </c>
      <c r="I54" s="3">
        <f t="shared" si="4"/>
        <v>68706</v>
      </c>
      <c r="J54" s="3">
        <f t="shared" si="5"/>
        <v>821820</v>
      </c>
      <c r="K54" s="3">
        <f t="shared" si="6"/>
        <v>273940</v>
      </c>
      <c r="L54" s="9">
        <f t="shared" si="7"/>
        <v>0.25</v>
      </c>
      <c r="M54" s="6">
        <v>0.75</v>
      </c>
      <c r="N54" s="7">
        <v>1582</v>
      </c>
      <c r="O54" s="7">
        <v>66113</v>
      </c>
      <c r="P54" t="s">
        <v>121</v>
      </c>
      <c r="Q54" t="s">
        <v>121</v>
      </c>
      <c r="R54" s="7">
        <v>9363</v>
      </c>
      <c r="S54" s="7">
        <v>56180</v>
      </c>
      <c r="T54" s="7">
        <v>3163</v>
      </c>
      <c r="U54">
        <v>158</v>
      </c>
      <c r="V54" s="7">
        <v>137381</v>
      </c>
      <c r="W54" t="s">
        <v>121</v>
      </c>
      <c r="X54" t="s">
        <v>121</v>
      </c>
      <c r="Y54" t="s">
        <v>121</v>
      </c>
      <c r="Z54" t="s">
        <v>121</v>
      </c>
      <c r="AA54" t="s">
        <v>121</v>
      </c>
      <c r="AB54" t="s">
        <v>121</v>
      </c>
      <c r="AC54" t="s">
        <v>121</v>
      </c>
      <c r="AD54" t="s">
        <v>121</v>
      </c>
      <c r="AE54" t="s">
        <v>121</v>
      </c>
      <c r="AF54" t="s">
        <v>121</v>
      </c>
    </row>
    <row r="55" spans="1:32">
      <c r="A55" t="s">
        <v>167</v>
      </c>
      <c r="B55" t="s">
        <v>488</v>
      </c>
      <c r="C55" t="s">
        <v>540</v>
      </c>
      <c r="D55" t="s">
        <v>206</v>
      </c>
      <c r="E55" s="3">
        <v>40339000</v>
      </c>
      <c r="F55" s="5">
        <f t="shared" si="1"/>
        <v>129486</v>
      </c>
      <c r="G55" s="5">
        <f t="shared" si="2"/>
        <v>43162</v>
      </c>
      <c r="H55" s="3">
        <f t="shared" si="3"/>
        <v>87697</v>
      </c>
      <c r="I55" s="3">
        <f t="shared" si="4"/>
        <v>43808</v>
      </c>
      <c r="J55" s="3">
        <f t="shared" si="5"/>
        <v>524001</v>
      </c>
      <c r="K55" s="3">
        <f t="shared" si="6"/>
        <v>174667</v>
      </c>
      <c r="L55" s="9">
        <f t="shared" si="7"/>
        <v>0.25</v>
      </c>
      <c r="M55" s="6">
        <v>0.75</v>
      </c>
      <c r="N55" s="7">
        <v>1008</v>
      </c>
      <c r="O55" s="7">
        <v>42154</v>
      </c>
      <c r="P55" t="s">
        <v>121</v>
      </c>
      <c r="Q55" t="s">
        <v>121</v>
      </c>
      <c r="R55" s="7">
        <v>5970</v>
      </c>
      <c r="S55" s="7">
        <v>35821</v>
      </c>
      <c r="T55" s="7">
        <v>2017</v>
      </c>
      <c r="U55">
        <v>101</v>
      </c>
      <c r="V55" s="7">
        <v>87596</v>
      </c>
      <c r="W55" t="s">
        <v>121</v>
      </c>
      <c r="X55" t="s">
        <v>121</v>
      </c>
      <c r="Y55" t="s">
        <v>121</v>
      </c>
      <c r="Z55" t="s">
        <v>121</v>
      </c>
      <c r="AA55" t="s">
        <v>121</v>
      </c>
      <c r="AB55" t="s">
        <v>121</v>
      </c>
      <c r="AC55" t="s">
        <v>121</v>
      </c>
      <c r="AD55" t="s">
        <v>121</v>
      </c>
      <c r="AE55" t="s">
        <v>121</v>
      </c>
      <c r="AF55" t="s">
        <v>121</v>
      </c>
    </row>
    <row r="56" spans="1:32">
      <c r="A56" t="s">
        <v>168</v>
      </c>
      <c r="B56" t="s">
        <v>489</v>
      </c>
      <c r="C56" t="s">
        <v>490</v>
      </c>
      <c r="D56" t="s">
        <v>206</v>
      </c>
      <c r="E56" s="3">
        <v>135680000</v>
      </c>
      <c r="F56" s="5">
        <f t="shared" si="1"/>
        <v>493600.66666666651</v>
      </c>
      <c r="G56" s="5">
        <f t="shared" si="2"/>
        <v>87106</v>
      </c>
      <c r="H56" s="3">
        <f t="shared" si="3"/>
        <v>176981</v>
      </c>
      <c r="I56" s="3">
        <f t="shared" si="4"/>
        <v>112830</v>
      </c>
      <c r="J56" s="3">
        <f t="shared" si="5"/>
        <v>2135862.9999999995</v>
      </c>
      <c r="K56" s="3">
        <f t="shared" si="6"/>
        <v>376917</v>
      </c>
      <c r="L56" s="9">
        <f t="shared" si="7"/>
        <v>0.15000000000000002</v>
      </c>
      <c r="M56" s="6">
        <v>0.85</v>
      </c>
      <c r="N56" s="7">
        <v>2035</v>
      </c>
      <c r="O56" s="7">
        <v>85071</v>
      </c>
      <c r="P56" t="s">
        <v>121</v>
      </c>
      <c r="Q56" t="s">
        <v>121</v>
      </c>
      <c r="R56" s="7">
        <v>12048</v>
      </c>
      <c r="S56" s="7">
        <v>72290</v>
      </c>
      <c r="T56" s="7">
        <v>4070</v>
      </c>
      <c r="U56">
        <v>204</v>
      </c>
      <c r="V56" s="7">
        <v>176777</v>
      </c>
      <c r="W56" t="s">
        <v>121</v>
      </c>
      <c r="X56" s="7">
        <v>24422</v>
      </c>
      <c r="Y56" t="s">
        <v>121</v>
      </c>
      <c r="Z56" t="s">
        <v>121</v>
      </c>
      <c r="AA56" t="s">
        <v>121</v>
      </c>
      <c r="AB56" t="s">
        <v>121</v>
      </c>
      <c r="AC56" t="s">
        <v>121</v>
      </c>
      <c r="AD56" t="s">
        <v>121</v>
      </c>
      <c r="AE56" t="s">
        <v>121</v>
      </c>
      <c r="AF56" t="s">
        <v>121</v>
      </c>
    </row>
    <row r="57" spans="1:32">
      <c r="A57" t="s">
        <v>169</v>
      </c>
      <c r="B57" t="s">
        <v>491</v>
      </c>
      <c r="C57" t="s">
        <v>260</v>
      </c>
      <c r="D57" t="s">
        <v>206</v>
      </c>
      <c r="E57" s="3">
        <v>117520000</v>
      </c>
      <c r="F57" s="5">
        <f t="shared" si="1"/>
        <v>402388.00000000012</v>
      </c>
      <c r="G57" s="5">
        <f t="shared" si="2"/>
        <v>100597</v>
      </c>
      <c r="H57" s="3">
        <f t="shared" si="3"/>
        <v>204391</v>
      </c>
      <c r="I57" s="3">
        <f t="shared" si="4"/>
        <v>130306</v>
      </c>
      <c r="J57" s="3">
        <f t="shared" si="5"/>
        <v>1741176.0000000005</v>
      </c>
      <c r="K57" s="3">
        <f t="shared" si="6"/>
        <v>435294</v>
      </c>
      <c r="L57" s="9">
        <f t="shared" si="7"/>
        <v>0.19999999999999996</v>
      </c>
      <c r="M57" s="6">
        <v>0.8</v>
      </c>
      <c r="N57" s="7">
        <v>2350</v>
      </c>
      <c r="O57" s="7">
        <v>98247</v>
      </c>
      <c r="P57" t="s">
        <v>121</v>
      </c>
      <c r="Q57" t="s">
        <v>121</v>
      </c>
      <c r="R57" s="7">
        <v>13914</v>
      </c>
      <c r="S57" s="7">
        <v>83486</v>
      </c>
      <c r="T57" s="7">
        <v>4701</v>
      </c>
      <c r="U57">
        <v>235</v>
      </c>
      <c r="V57" s="7">
        <v>204156</v>
      </c>
      <c r="W57" t="s">
        <v>121</v>
      </c>
      <c r="X57" s="7">
        <v>28205</v>
      </c>
      <c r="Y57" t="s">
        <v>121</v>
      </c>
      <c r="Z57" t="s">
        <v>121</v>
      </c>
      <c r="AA57" t="s">
        <v>121</v>
      </c>
      <c r="AB57" t="s">
        <v>121</v>
      </c>
      <c r="AC57" t="s">
        <v>121</v>
      </c>
      <c r="AD57" t="s">
        <v>121</v>
      </c>
      <c r="AE57" t="s">
        <v>121</v>
      </c>
      <c r="AF57" t="s">
        <v>121</v>
      </c>
    </row>
    <row r="58" spans="1:32">
      <c r="A58" t="s">
        <v>170</v>
      </c>
      <c r="B58" t="s">
        <v>492</v>
      </c>
      <c r="C58" t="s">
        <v>261</v>
      </c>
      <c r="D58" t="s">
        <v>206</v>
      </c>
      <c r="E58" s="3">
        <v>127801800</v>
      </c>
      <c r="F58" s="5">
        <f t="shared" si="1"/>
        <v>464944.3333333332</v>
      </c>
      <c r="G58" s="5">
        <f t="shared" si="2"/>
        <v>82049</v>
      </c>
      <c r="H58" s="3">
        <f t="shared" si="3"/>
        <v>166705</v>
      </c>
      <c r="I58" s="3">
        <f t="shared" si="4"/>
        <v>106280</v>
      </c>
      <c r="J58" s="3">
        <f t="shared" si="5"/>
        <v>2011859.333333333</v>
      </c>
      <c r="K58" s="3">
        <f t="shared" si="6"/>
        <v>355034</v>
      </c>
      <c r="L58" s="9">
        <f t="shared" si="7"/>
        <v>0.15000000000000002</v>
      </c>
      <c r="M58" s="6">
        <v>0.85</v>
      </c>
      <c r="N58" s="7">
        <v>1917</v>
      </c>
      <c r="O58" s="7">
        <v>80132</v>
      </c>
      <c r="P58" t="s">
        <v>121</v>
      </c>
      <c r="Q58" t="s">
        <v>121</v>
      </c>
      <c r="R58" s="7">
        <v>11349</v>
      </c>
      <c r="S58" s="7">
        <v>68093</v>
      </c>
      <c r="T58" s="7">
        <v>3834</v>
      </c>
      <c r="U58">
        <v>192</v>
      </c>
      <c r="V58" s="7">
        <v>166513</v>
      </c>
      <c r="W58" t="s">
        <v>121</v>
      </c>
      <c r="X58" s="7">
        <v>23004</v>
      </c>
      <c r="Y58" t="s">
        <v>121</v>
      </c>
      <c r="Z58" t="s">
        <v>121</v>
      </c>
      <c r="AA58" t="s">
        <v>121</v>
      </c>
      <c r="AB58" t="s">
        <v>121</v>
      </c>
      <c r="AC58" t="s">
        <v>121</v>
      </c>
      <c r="AD58" t="s">
        <v>121</v>
      </c>
      <c r="AE58" t="s">
        <v>121</v>
      </c>
      <c r="AF58" t="s">
        <v>121</v>
      </c>
    </row>
    <row r="59" spans="1:32">
      <c r="A59" t="s">
        <v>171</v>
      </c>
      <c r="B59" t="s">
        <v>493</v>
      </c>
      <c r="C59" t="s">
        <v>262</v>
      </c>
      <c r="D59" t="s">
        <v>206</v>
      </c>
      <c r="E59" s="3">
        <v>15075700</v>
      </c>
      <c r="F59" s="5">
        <f t="shared" si="1"/>
        <v>54841.999999999985</v>
      </c>
      <c r="G59" s="5">
        <f t="shared" si="2"/>
        <v>9678</v>
      </c>
      <c r="H59" s="3">
        <f t="shared" si="3"/>
        <v>19665</v>
      </c>
      <c r="I59" s="3">
        <f t="shared" si="4"/>
        <v>12537</v>
      </c>
      <c r="J59" s="3">
        <f t="shared" si="5"/>
        <v>237319.99999999994</v>
      </c>
      <c r="K59" s="3">
        <f t="shared" si="6"/>
        <v>41880</v>
      </c>
      <c r="L59" s="9">
        <f t="shared" si="7"/>
        <v>0.15000000000000002</v>
      </c>
      <c r="M59" s="6">
        <v>0.85</v>
      </c>
      <c r="N59">
        <v>226</v>
      </c>
      <c r="O59" s="7">
        <v>9452</v>
      </c>
      <c r="P59" t="s">
        <v>121</v>
      </c>
      <c r="Q59" t="s">
        <v>121</v>
      </c>
      <c r="R59" s="7">
        <v>1339</v>
      </c>
      <c r="S59" s="7">
        <v>8032</v>
      </c>
      <c r="T59">
        <v>452</v>
      </c>
      <c r="U59">
        <v>23</v>
      </c>
      <c r="V59" s="7">
        <v>19642</v>
      </c>
      <c r="W59" t="s">
        <v>121</v>
      </c>
      <c r="X59" s="7">
        <v>2714</v>
      </c>
      <c r="Y59" t="s">
        <v>121</v>
      </c>
      <c r="Z59" t="s">
        <v>121</v>
      </c>
      <c r="AA59" t="s">
        <v>121</v>
      </c>
      <c r="AB59" t="s">
        <v>121</v>
      </c>
      <c r="AC59" t="s">
        <v>121</v>
      </c>
      <c r="AD59" t="s">
        <v>121</v>
      </c>
      <c r="AE59" t="s">
        <v>121</v>
      </c>
      <c r="AF59" t="s">
        <v>121</v>
      </c>
    </row>
    <row r="60" spans="1:32">
      <c r="A60" t="s">
        <v>172</v>
      </c>
      <c r="B60" t="s">
        <v>494</v>
      </c>
      <c r="C60" t="s">
        <v>264</v>
      </c>
      <c r="D60" t="s">
        <v>248</v>
      </c>
      <c r="E60" s="3">
        <v>36300000</v>
      </c>
      <c r="F60" s="5">
        <f t="shared" si="1"/>
        <v>132061.66666666666</v>
      </c>
      <c r="G60" s="5">
        <f t="shared" si="2"/>
        <v>23305</v>
      </c>
      <c r="H60" s="3">
        <f t="shared" si="3"/>
        <v>40256</v>
      </c>
      <c r="I60" s="3">
        <f t="shared" si="4"/>
        <v>10304</v>
      </c>
      <c r="J60" s="3">
        <f t="shared" si="5"/>
        <v>418568.33333333326</v>
      </c>
      <c r="K60" s="3">
        <f t="shared" si="6"/>
        <v>73865</v>
      </c>
      <c r="L60" s="9">
        <f t="shared" si="7"/>
        <v>0.15000000000000002</v>
      </c>
      <c r="M60" s="6">
        <v>0.85</v>
      </c>
      <c r="N60">
        <v>545</v>
      </c>
      <c r="O60" s="7">
        <v>22760</v>
      </c>
      <c r="P60" t="s">
        <v>121</v>
      </c>
      <c r="Q60" t="s">
        <v>121</v>
      </c>
      <c r="R60" t="s">
        <v>121</v>
      </c>
      <c r="S60" t="s">
        <v>121</v>
      </c>
      <c r="T60" t="s">
        <v>121</v>
      </c>
      <c r="U60" t="s">
        <v>121</v>
      </c>
      <c r="V60" t="s">
        <v>121</v>
      </c>
      <c r="W60" s="7">
        <v>40256</v>
      </c>
      <c r="X60" t="s">
        <v>121</v>
      </c>
      <c r="Y60" t="s">
        <v>121</v>
      </c>
      <c r="Z60" t="s">
        <v>121</v>
      </c>
      <c r="AA60" t="s">
        <v>121</v>
      </c>
      <c r="AB60" t="s">
        <v>121</v>
      </c>
      <c r="AC60" t="s">
        <v>121</v>
      </c>
      <c r="AD60" t="s">
        <v>121</v>
      </c>
      <c r="AE60" t="s">
        <v>121</v>
      </c>
      <c r="AF60" s="7">
        <v>10304</v>
      </c>
    </row>
    <row r="61" spans="1:32">
      <c r="A61" t="s">
        <v>173</v>
      </c>
      <c r="B61" t="s">
        <v>495</v>
      </c>
      <c r="C61" t="s">
        <v>263</v>
      </c>
      <c r="D61" t="s">
        <v>248</v>
      </c>
      <c r="E61" s="3">
        <v>14569500</v>
      </c>
      <c r="F61" s="5">
        <f t="shared" si="1"/>
        <v>53005.999999999993</v>
      </c>
      <c r="G61" s="5">
        <f t="shared" si="2"/>
        <v>9354</v>
      </c>
      <c r="H61" s="3">
        <f t="shared" si="3"/>
        <v>16157</v>
      </c>
      <c r="I61" s="3">
        <f t="shared" si="4"/>
        <v>4136</v>
      </c>
      <c r="J61" s="3">
        <f t="shared" si="5"/>
        <v>167999.66666666663</v>
      </c>
      <c r="K61" s="3">
        <f t="shared" si="6"/>
        <v>29647</v>
      </c>
      <c r="L61" s="9">
        <f t="shared" si="7"/>
        <v>0.15000000000000002</v>
      </c>
      <c r="M61" s="6">
        <v>0.85</v>
      </c>
      <c r="N61">
        <v>219</v>
      </c>
      <c r="O61" s="7">
        <v>9135</v>
      </c>
      <c r="P61" t="s">
        <v>121</v>
      </c>
      <c r="Q61" t="s">
        <v>121</v>
      </c>
      <c r="R61" t="s">
        <v>121</v>
      </c>
      <c r="S61" t="s">
        <v>121</v>
      </c>
      <c r="T61" t="s">
        <v>121</v>
      </c>
      <c r="U61" t="s">
        <v>121</v>
      </c>
      <c r="V61" t="s">
        <v>121</v>
      </c>
      <c r="W61" s="7">
        <v>16157</v>
      </c>
      <c r="X61" t="s">
        <v>121</v>
      </c>
      <c r="Y61" t="s">
        <v>121</v>
      </c>
      <c r="Z61" t="s">
        <v>121</v>
      </c>
      <c r="AA61" t="s">
        <v>121</v>
      </c>
      <c r="AB61" t="s">
        <v>121</v>
      </c>
      <c r="AC61" t="s">
        <v>121</v>
      </c>
      <c r="AD61" t="s">
        <v>121</v>
      </c>
      <c r="AE61" t="s">
        <v>121</v>
      </c>
      <c r="AF61" s="7">
        <v>4136</v>
      </c>
    </row>
    <row r="62" spans="1:32">
      <c r="A62" t="s">
        <v>174</v>
      </c>
      <c r="B62" t="s">
        <v>494</v>
      </c>
      <c r="C62" t="s">
        <v>264</v>
      </c>
      <c r="D62" t="s">
        <v>248</v>
      </c>
      <c r="E62" s="3">
        <v>11000000</v>
      </c>
      <c r="F62" s="5">
        <f t="shared" si="1"/>
        <v>40017.999999999993</v>
      </c>
      <c r="G62" s="5">
        <f t="shared" si="2"/>
        <v>7062</v>
      </c>
      <c r="H62" s="3">
        <f t="shared" si="3"/>
        <v>12199</v>
      </c>
      <c r="I62" s="3">
        <f t="shared" si="4"/>
        <v>3122</v>
      </c>
      <c r="J62" s="3">
        <f t="shared" si="5"/>
        <v>126836.99999999997</v>
      </c>
      <c r="K62" s="3">
        <f t="shared" si="6"/>
        <v>22383</v>
      </c>
      <c r="L62" s="9">
        <f t="shared" si="7"/>
        <v>0.15000000000000002</v>
      </c>
      <c r="M62" s="6">
        <v>0.85</v>
      </c>
      <c r="N62">
        <v>165</v>
      </c>
      <c r="O62" s="7">
        <v>6897</v>
      </c>
      <c r="P62" t="s">
        <v>121</v>
      </c>
      <c r="Q62" t="s">
        <v>121</v>
      </c>
      <c r="R62" t="s">
        <v>121</v>
      </c>
      <c r="S62" t="s">
        <v>121</v>
      </c>
      <c r="T62" t="s">
        <v>121</v>
      </c>
      <c r="U62" t="s">
        <v>121</v>
      </c>
      <c r="V62" t="s">
        <v>121</v>
      </c>
      <c r="W62" s="7">
        <v>12199</v>
      </c>
      <c r="X62" t="s">
        <v>121</v>
      </c>
      <c r="Y62" t="s">
        <v>121</v>
      </c>
      <c r="Z62" t="s">
        <v>121</v>
      </c>
      <c r="AA62" t="s">
        <v>121</v>
      </c>
      <c r="AB62" t="s">
        <v>121</v>
      </c>
      <c r="AC62" t="s">
        <v>121</v>
      </c>
      <c r="AD62" t="s">
        <v>121</v>
      </c>
      <c r="AE62" t="s">
        <v>121</v>
      </c>
      <c r="AF62" s="7">
        <v>3122</v>
      </c>
    </row>
    <row r="63" spans="1:32">
      <c r="A63" t="s">
        <v>175</v>
      </c>
      <c r="B63" t="s">
        <v>500</v>
      </c>
      <c r="C63" t="s">
        <v>265</v>
      </c>
      <c r="D63" t="s">
        <v>206</v>
      </c>
      <c r="E63" s="3">
        <v>30258000</v>
      </c>
      <c r="F63" s="5">
        <f t="shared" si="1"/>
        <v>103604.00000000004</v>
      </c>
      <c r="G63" s="5">
        <f t="shared" si="2"/>
        <v>25901</v>
      </c>
      <c r="H63" s="3">
        <f t="shared" si="3"/>
        <v>52625</v>
      </c>
      <c r="I63" s="3">
        <f t="shared" si="4"/>
        <v>26288</v>
      </c>
      <c r="J63" s="3">
        <f t="shared" si="5"/>
        <v>419256.00000000012</v>
      </c>
      <c r="K63" s="3">
        <f t="shared" si="6"/>
        <v>104814</v>
      </c>
      <c r="L63" s="9">
        <f t="shared" si="7"/>
        <v>0.19999999999999996</v>
      </c>
      <c r="M63" s="6">
        <v>0.8</v>
      </c>
      <c r="N63">
        <v>605</v>
      </c>
      <c r="O63" s="7">
        <v>25296</v>
      </c>
      <c r="P63" t="s">
        <v>121</v>
      </c>
      <c r="Q63" t="s">
        <v>121</v>
      </c>
      <c r="R63" s="7">
        <v>3583</v>
      </c>
      <c r="S63" s="7">
        <v>21495</v>
      </c>
      <c r="T63" s="7">
        <v>1210</v>
      </c>
      <c r="U63">
        <v>61</v>
      </c>
      <c r="V63" s="7">
        <v>52564</v>
      </c>
      <c r="W63" t="s">
        <v>121</v>
      </c>
      <c r="X63" t="s">
        <v>121</v>
      </c>
      <c r="Y63" t="s">
        <v>121</v>
      </c>
      <c r="Z63" t="s">
        <v>121</v>
      </c>
      <c r="AA63" t="s">
        <v>121</v>
      </c>
      <c r="AB63" t="s">
        <v>121</v>
      </c>
      <c r="AC63" t="s">
        <v>121</v>
      </c>
      <c r="AD63" t="s">
        <v>121</v>
      </c>
      <c r="AE63" t="s">
        <v>121</v>
      </c>
      <c r="AF63" t="s">
        <v>121</v>
      </c>
    </row>
    <row r="64" spans="1:32">
      <c r="A64" t="s">
        <v>176</v>
      </c>
      <c r="B64" t="s">
        <v>496</v>
      </c>
      <c r="C64" t="s">
        <v>266</v>
      </c>
      <c r="D64" t="s">
        <v>206</v>
      </c>
      <c r="E64" s="3">
        <v>171139600</v>
      </c>
      <c r="F64" s="5">
        <f t="shared" si="1"/>
        <v>695855.9999999993</v>
      </c>
      <c r="G64" s="5">
        <f t="shared" si="2"/>
        <v>36624</v>
      </c>
      <c r="H64" s="3">
        <f t="shared" si="3"/>
        <v>74412</v>
      </c>
      <c r="I64" s="3">
        <f t="shared" si="4"/>
        <v>54285</v>
      </c>
      <c r="J64" s="3">
        <f t="shared" si="5"/>
        <v>3141098.9999999972</v>
      </c>
      <c r="K64" s="3">
        <f t="shared" si="6"/>
        <v>165321</v>
      </c>
      <c r="L64" s="9">
        <f t="shared" si="7"/>
        <v>5.0000000000000044E-2</v>
      </c>
      <c r="M64" s="6">
        <v>0.95</v>
      </c>
      <c r="N64">
        <v>856</v>
      </c>
      <c r="O64" s="7">
        <v>35768</v>
      </c>
      <c r="P64" t="s">
        <v>121</v>
      </c>
      <c r="Q64" t="s">
        <v>121</v>
      </c>
      <c r="R64" s="7">
        <v>5066</v>
      </c>
      <c r="S64" s="7">
        <v>30394</v>
      </c>
      <c r="T64" s="7">
        <v>1711</v>
      </c>
      <c r="U64">
        <v>86</v>
      </c>
      <c r="V64" s="7">
        <v>74326</v>
      </c>
      <c r="W64" t="s">
        <v>121</v>
      </c>
      <c r="X64" t="s">
        <v>121</v>
      </c>
      <c r="Y64" t="s">
        <v>121</v>
      </c>
      <c r="Z64" s="7">
        <v>17114</v>
      </c>
      <c r="AA64" t="s">
        <v>121</v>
      </c>
      <c r="AB64" t="s">
        <v>121</v>
      </c>
      <c r="AC64" t="s">
        <v>121</v>
      </c>
      <c r="AD64" t="s">
        <v>121</v>
      </c>
      <c r="AE64" t="s">
        <v>121</v>
      </c>
      <c r="AF64" t="s">
        <v>121</v>
      </c>
    </row>
    <row r="65" spans="1:37">
      <c r="A65" t="s">
        <v>177</v>
      </c>
      <c r="B65" t="s">
        <v>497</v>
      </c>
      <c r="C65" t="s">
        <v>267</v>
      </c>
      <c r="D65" t="s">
        <v>206</v>
      </c>
      <c r="E65" s="3">
        <v>32081300</v>
      </c>
      <c r="F65" s="5">
        <f t="shared" si="1"/>
        <v>82384.499999999985</v>
      </c>
      <c r="G65" s="5">
        <f t="shared" si="2"/>
        <v>54923</v>
      </c>
      <c r="H65" s="3">
        <f t="shared" si="3"/>
        <v>111591</v>
      </c>
      <c r="I65" s="3">
        <f t="shared" si="4"/>
        <v>81410</v>
      </c>
      <c r="J65" s="3">
        <f t="shared" si="5"/>
        <v>371886</v>
      </c>
      <c r="K65" s="3">
        <f t="shared" si="6"/>
        <v>247924</v>
      </c>
      <c r="L65" s="9">
        <f t="shared" si="7"/>
        <v>0.4</v>
      </c>
      <c r="M65" s="6">
        <v>0.6</v>
      </c>
      <c r="N65" s="7">
        <v>1283</v>
      </c>
      <c r="O65" s="7">
        <v>53640</v>
      </c>
      <c r="P65" t="s">
        <v>121</v>
      </c>
      <c r="Q65" t="s">
        <v>121</v>
      </c>
      <c r="R65" s="7">
        <v>7597</v>
      </c>
      <c r="S65" s="7">
        <v>45581</v>
      </c>
      <c r="T65" s="7">
        <v>2567</v>
      </c>
      <c r="U65">
        <v>128</v>
      </c>
      <c r="V65" s="7">
        <v>111463</v>
      </c>
      <c r="W65" t="s">
        <v>121</v>
      </c>
      <c r="X65" t="s">
        <v>121</v>
      </c>
      <c r="Y65" t="s">
        <v>121</v>
      </c>
      <c r="Z65" s="7">
        <v>25665</v>
      </c>
      <c r="AA65" t="s">
        <v>121</v>
      </c>
      <c r="AB65" t="s">
        <v>121</v>
      </c>
      <c r="AC65" t="s">
        <v>121</v>
      </c>
      <c r="AD65" t="s">
        <v>121</v>
      </c>
      <c r="AE65" t="s">
        <v>121</v>
      </c>
      <c r="AF65" t="s">
        <v>121</v>
      </c>
    </row>
    <row r="66" spans="1:37">
      <c r="A66" t="s">
        <v>178</v>
      </c>
      <c r="B66" t="s">
        <v>498</v>
      </c>
      <c r="C66" t="s">
        <v>541</v>
      </c>
      <c r="D66" t="s">
        <v>206</v>
      </c>
      <c r="E66" s="3">
        <v>116166200</v>
      </c>
      <c r="F66" s="5">
        <f t="shared" si="1"/>
        <v>298315.5</v>
      </c>
      <c r="G66" s="5">
        <f t="shared" si="2"/>
        <v>198877</v>
      </c>
      <c r="H66" s="3">
        <f t="shared" si="3"/>
        <v>404073</v>
      </c>
      <c r="I66" s="3">
        <f t="shared" si="4"/>
        <v>201850</v>
      </c>
      <c r="J66" s="3">
        <f t="shared" si="5"/>
        <v>1207200</v>
      </c>
      <c r="K66" s="3">
        <f t="shared" si="6"/>
        <v>804800</v>
      </c>
      <c r="L66" s="9">
        <f t="shared" ref="L66:L79" si="8">SUM(1-M66)</f>
        <v>0.4</v>
      </c>
      <c r="M66" s="6">
        <v>0.6</v>
      </c>
      <c r="N66" s="7">
        <v>4647</v>
      </c>
      <c r="O66" s="7">
        <v>194230</v>
      </c>
      <c r="P66" t="s">
        <v>121</v>
      </c>
      <c r="Q66" t="s">
        <v>121</v>
      </c>
      <c r="R66" s="7">
        <v>27508</v>
      </c>
      <c r="S66" s="7">
        <v>165049</v>
      </c>
      <c r="T66" s="7">
        <v>9293</v>
      </c>
      <c r="U66">
        <v>465</v>
      </c>
      <c r="V66" s="7">
        <v>403608</v>
      </c>
      <c r="W66" t="s">
        <v>121</v>
      </c>
      <c r="X66" t="s">
        <v>121</v>
      </c>
      <c r="Y66" t="s">
        <v>121</v>
      </c>
      <c r="Z66" t="s">
        <v>121</v>
      </c>
      <c r="AA66" t="s">
        <v>121</v>
      </c>
      <c r="AB66" t="s">
        <v>121</v>
      </c>
      <c r="AC66" t="s">
        <v>121</v>
      </c>
      <c r="AD66" t="s">
        <v>121</v>
      </c>
      <c r="AE66" t="s">
        <v>121</v>
      </c>
      <c r="AF66" t="s">
        <v>121</v>
      </c>
    </row>
    <row r="67" spans="1:37">
      <c r="A67" t="s">
        <v>179</v>
      </c>
      <c r="B67" t="s">
        <v>499</v>
      </c>
      <c r="C67" t="s">
        <v>269</v>
      </c>
      <c r="D67" t="s">
        <v>206</v>
      </c>
      <c r="E67" s="3">
        <v>5525000</v>
      </c>
      <c r="F67" s="5">
        <f t="shared" ref="F67:F115" si="9">SUM((1-L67)*G67)/L67</f>
        <v>17736</v>
      </c>
      <c r="G67" s="5">
        <f t="shared" ref="G67:G98" si="10">SUM(N67+O67)</f>
        <v>5912</v>
      </c>
      <c r="H67" s="3">
        <f t="shared" ref="H67:H115" si="11">SUM(U67:W67)</f>
        <v>12012</v>
      </c>
      <c r="I67" s="3">
        <f t="shared" ref="I67:I98" si="12">SUM(P67:T67,X67:AK67)</f>
        <v>8763</v>
      </c>
      <c r="J67" s="3">
        <f t="shared" ref="J67:J98" si="13">SUM(M67)*((G67+H67+I67)/L67)</f>
        <v>80061</v>
      </c>
      <c r="K67" s="3">
        <f t="shared" ref="K67:K115" si="14">SUM(G67:I67)</f>
        <v>26687</v>
      </c>
      <c r="L67" s="9">
        <f t="shared" si="8"/>
        <v>0.25</v>
      </c>
      <c r="M67" s="6">
        <v>0.75</v>
      </c>
      <c r="N67">
        <v>138</v>
      </c>
      <c r="O67" s="7">
        <v>5774</v>
      </c>
      <c r="P67" t="s">
        <v>121</v>
      </c>
      <c r="Q67" t="s">
        <v>121</v>
      </c>
      <c r="R67">
        <v>818</v>
      </c>
      <c r="S67" s="7">
        <v>4906</v>
      </c>
      <c r="T67">
        <v>276</v>
      </c>
      <c r="U67">
        <v>14</v>
      </c>
      <c r="V67" s="7">
        <v>11998</v>
      </c>
      <c r="W67" t="s">
        <v>121</v>
      </c>
      <c r="X67" t="s">
        <v>121</v>
      </c>
      <c r="Y67" t="s">
        <v>121</v>
      </c>
      <c r="Z67" s="7">
        <v>2763</v>
      </c>
      <c r="AA67" t="s">
        <v>121</v>
      </c>
      <c r="AB67" t="s">
        <v>121</v>
      </c>
      <c r="AC67" t="s">
        <v>121</v>
      </c>
      <c r="AD67" t="s">
        <v>121</v>
      </c>
      <c r="AE67" t="s">
        <v>121</v>
      </c>
      <c r="AF67" t="s">
        <v>121</v>
      </c>
    </row>
    <row r="68" spans="1:37">
      <c r="A68" t="s">
        <v>180</v>
      </c>
      <c r="B68" t="s">
        <v>499</v>
      </c>
      <c r="C68" t="s">
        <v>269</v>
      </c>
      <c r="D68" t="s">
        <v>206</v>
      </c>
      <c r="E68" s="3">
        <v>161959000</v>
      </c>
      <c r="F68" s="5">
        <f t="shared" si="9"/>
        <v>519888</v>
      </c>
      <c r="G68" s="5">
        <f t="shared" si="10"/>
        <v>173296</v>
      </c>
      <c r="H68" s="3">
        <f t="shared" si="11"/>
        <v>352099</v>
      </c>
      <c r="I68" s="3">
        <f t="shared" si="12"/>
        <v>256868</v>
      </c>
      <c r="J68" s="3">
        <f t="shared" si="13"/>
        <v>2346789</v>
      </c>
      <c r="K68" s="3">
        <f t="shared" si="14"/>
        <v>782263</v>
      </c>
      <c r="L68" s="9">
        <f t="shared" si="8"/>
        <v>0.25</v>
      </c>
      <c r="M68" s="6">
        <v>0.75</v>
      </c>
      <c r="N68" s="7">
        <v>4049</v>
      </c>
      <c r="O68" s="7">
        <v>169247</v>
      </c>
      <c r="P68" t="s">
        <v>121</v>
      </c>
      <c r="Q68" t="s">
        <v>121</v>
      </c>
      <c r="R68" s="7">
        <v>23970</v>
      </c>
      <c r="S68" s="7">
        <v>143820</v>
      </c>
      <c r="T68" s="7">
        <v>8098</v>
      </c>
      <c r="U68">
        <v>405</v>
      </c>
      <c r="V68" s="7">
        <v>351694</v>
      </c>
      <c r="W68" t="s">
        <v>121</v>
      </c>
      <c r="X68" t="s">
        <v>121</v>
      </c>
      <c r="Y68" t="s">
        <v>121</v>
      </c>
      <c r="Z68" s="7">
        <v>80980</v>
      </c>
      <c r="AA68" t="s">
        <v>121</v>
      </c>
      <c r="AB68" t="s">
        <v>121</v>
      </c>
      <c r="AC68" t="s">
        <v>121</v>
      </c>
      <c r="AD68" t="s">
        <v>121</v>
      </c>
      <c r="AE68" t="s">
        <v>121</v>
      </c>
      <c r="AF68" t="s">
        <v>121</v>
      </c>
    </row>
    <row r="69" spans="1:37">
      <c r="A69" t="s">
        <v>181</v>
      </c>
      <c r="B69" t="s">
        <v>499</v>
      </c>
      <c r="C69" t="s">
        <v>269</v>
      </c>
      <c r="D69" t="s">
        <v>206</v>
      </c>
      <c r="E69" s="3">
        <v>75000000</v>
      </c>
      <c r="F69" s="5">
        <f t="shared" si="9"/>
        <v>240750</v>
      </c>
      <c r="G69" s="5">
        <f t="shared" si="10"/>
        <v>80250</v>
      </c>
      <c r="H69" s="3">
        <f t="shared" si="11"/>
        <v>163051</v>
      </c>
      <c r="I69" s="3">
        <f t="shared" si="12"/>
        <v>118950</v>
      </c>
      <c r="J69" s="3">
        <f t="shared" si="13"/>
        <v>1086753</v>
      </c>
      <c r="K69" s="3">
        <f t="shared" si="14"/>
        <v>362251</v>
      </c>
      <c r="L69" s="9">
        <f t="shared" si="8"/>
        <v>0.25</v>
      </c>
      <c r="M69" s="6">
        <v>0.75</v>
      </c>
      <c r="N69" s="7">
        <v>1875</v>
      </c>
      <c r="O69" s="7">
        <v>78375</v>
      </c>
      <c r="P69" t="s">
        <v>121</v>
      </c>
      <c r="Q69" t="s">
        <v>121</v>
      </c>
      <c r="R69" s="7">
        <v>11100</v>
      </c>
      <c r="S69" s="7">
        <v>66600</v>
      </c>
      <c r="T69" s="7">
        <v>3750</v>
      </c>
      <c r="U69">
        <v>188</v>
      </c>
      <c r="V69" s="7">
        <v>162863</v>
      </c>
      <c r="W69" t="s">
        <v>121</v>
      </c>
      <c r="X69" t="s">
        <v>121</v>
      </c>
      <c r="Y69" t="s">
        <v>121</v>
      </c>
      <c r="Z69" s="7">
        <v>37500</v>
      </c>
      <c r="AA69" t="s">
        <v>121</v>
      </c>
      <c r="AB69" t="s">
        <v>121</v>
      </c>
      <c r="AC69" t="s">
        <v>121</v>
      </c>
      <c r="AD69" t="s">
        <v>121</v>
      </c>
      <c r="AE69" t="s">
        <v>121</v>
      </c>
      <c r="AF69" t="s">
        <v>121</v>
      </c>
    </row>
    <row r="70" spans="1:37">
      <c r="A70" t="s">
        <v>182</v>
      </c>
      <c r="B70" t="s">
        <v>501</v>
      </c>
      <c r="C70" t="s">
        <v>270</v>
      </c>
      <c r="D70" t="s">
        <v>206</v>
      </c>
      <c r="E70" s="3">
        <v>3952700</v>
      </c>
      <c r="F70" s="5">
        <f t="shared" si="9"/>
        <v>10150.499999999998</v>
      </c>
      <c r="G70" s="5">
        <f t="shared" si="10"/>
        <v>6767</v>
      </c>
      <c r="H70" s="3">
        <f t="shared" si="11"/>
        <v>13749</v>
      </c>
      <c r="I70" s="3">
        <f t="shared" si="12"/>
        <v>10030</v>
      </c>
      <c r="J70" s="3">
        <f t="shared" si="13"/>
        <v>45819</v>
      </c>
      <c r="K70" s="3">
        <f t="shared" si="14"/>
        <v>30546</v>
      </c>
      <c r="L70" s="9">
        <f t="shared" si="8"/>
        <v>0.4</v>
      </c>
      <c r="M70" s="6">
        <v>0.6</v>
      </c>
      <c r="N70">
        <v>158</v>
      </c>
      <c r="O70" s="7">
        <v>6609</v>
      </c>
      <c r="P70" t="s">
        <v>121</v>
      </c>
      <c r="Q70" t="s">
        <v>121</v>
      </c>
      <c r="R70">
        <v>936</v>
      </c>
      <c r="S70" s="7">
        <v>5616</v>
      </c>
      <c r="T70">
        <v>316</v>
      </c>
      <c r="U70">
        <v>16</v>
      </c>
      <c r="V70" s="7">
        <v>13733</v>
      </c>
      <c r="W70" t="s">
        <v>121</v>
      </c>
      <c r="X70" t="s">
        <v>121</v>
      </c>
      <c r="Y70" t="s">
        <v>121</v>
      </c>
      <c r="Z70" s="7">
        <v>3162</v>
      </c>
      <c r="AA70" t="s">
        <v>121</v>
      </c>
      <c r="AB70" t="s">
        <v>121</v>
      </c>
      <c r="AC70" t="s">
        <v>121</v>
      </c>
      <c r="AD70" t="s">
        <v>121</v>
      </c>
      <c r="AE70" t="s">
        <v>121</v>
      </c>
      <c r="AF70" t="s">
        <v>121</v>
      </c>
    </row>
    <row r="71" spans="1:37">
      <c r="A71" t="s">
        <v>183</v>
      </c>
      <c r="B71" t="s">
        <v>502</v>
      </c>
      <c r="C71" t="s">
        <v>271</v>
      </c>
      <c r="D71" t="s">
        <v>206</v>
      </c>
      <c r="E71" s="3">
        <v>29687000</v>
      </c>
      <c r="F71" s="5">
        <f t="shared" si="9"/>
        <v>117536.66666666673</v>
      </c>
      <c r="G71" s="5">
        <f t="shared" si="10"/>
        <v>9530</v>
      </c>
      <c r="H71" s="3">
        <f t="shared" si="11"/>
        <v>19362</v>
      </c>
      <c r="I71" s="3">
        <f t="shared" si="12"/>
        <v>14125</v>
      </c>
      <c r="J71" s="3">
        <f t="shared" si="13"/>
        <v>530543.00000000035</v>
      </c>
      <c r="K71" s="3">
        <f t="shared" si="14"/>
        <v>43017</v>
      </c>
      <c r="L71" s="9">
        <f t="shared" si="8"/>
        <v>7.4999999999999956E-2</v>
      </c>
      <c r="M71" s="8">
        <v>0.92500000000000004</v>
      </c>
      <c r="N71">
        <v>223</v>
      </c>
      <c r="O71" s="7">
        <v>9307</v>
      </c>
      <c r="P71" t="s">
        <v>121</v>
      </c>
      <c r="Q71" t="s">
        <v>121</v>
      </c>
      <c r="R71" s="7">
        <v>1318</v>
      </c>
      <c r="S71" s="7">
        <v>7909</v>
      </c>
      <c r="T71">
        <v>445</v>
      </c>
      <c r="U71">
        <v>22</v>
      </c>
      <c r="V71" s="7">
        <v>19340</v>
      </c>
      <c r="W71" t="s">
        <v>121</v>
      </c>
      <c r="X71" t="s">
        <v>121</v>
      </c>
      <c r="Y71" t="s">
        <v>121</v>
      </c>
      <c r="Z71" s="7">
        <v>4453</v>
      </c>
      <c r="AA71" t="s">
        <v>121</v>
      </c>
      <c r="AB71" t="s">
        <v>121</v>
      </c>
      <c r="AC71" t="s">
        <v>121</v>
      </c>
      <c r="AD71" t="s">
        <v>121</v>
      </c>
      <c r="AE71" t="s">
        <v>121</v>
      </c>
      <c r="AF71" t="s">
        <v>121</v>
      </c>
    </row>
    <row r="72" spans="1:37">
      <c r="A72" t="s">
        <v>184</v>
      </c>
      <c r="B72" t="s">
        <v>503</v>
      </c>
      <c r="C72" t="s">
        <v>273</v>
      </c>
      <c r="D72" t="s">
        <v>206</v>
      </c>
      <c r="E72" s="3">
        <v>42500000</v>
      </c>
      <c r="F72" s="5">
        <f t="shared" si="9"/>
        <v>154620.66666666663</v>
      </c>
      <c r="G72" s="5">
        <f t="shared" si="10"/>
        <v>27286</v>
      </c>
      <c r="H72" s="3">
        <f t="shared" si="11"/>
        <v>55437</v>
      </c>
      <c r="I72" s="3">
        <f t="shared" si="12"/>
        <v>40443</v>
      </c>
      <c r="J72" s="3">
        <f t="shared" si="13"/>
        <v>697940.66666666651</v>
      </c>
      <c r="K72" s="3">
        <f t="shared" si="14"/>
        <v>123166</v>
      </c>
      <c r="L72" s="9">
        <f t="shared" si="8"/>
        <v>0.15000000000000002</v>
      </c>
      <c r="M72" s="6">
        <v>0.85</v>
      </c>
      <c r="N72">
        <v>638</v>
      </c>
      <c r="O72" s="7">
        <v>26648</v>
      </c>
      <c r="P72" t="s">
        <v>121</v>
      </c>
      <c r="Q72" t="s">
        <v>121</v>
      </c>
      <c r="R72" s="7">
        <v>3774</v>
      </c>
      <c r="S72" s="7">
        <v>22644</v>
      </c>
      <c r="T72" s="7">
        <v>1275</v>
      </c>
      <c r="U72">
        <v>64</v>
      </c>
      <c r="V72" s="7">
        <v>55373</v>
      </c>
      <c r="W72" t="s">
        <v>121</v>
      </c>
      <c r="X72" t="s">
        <v>121</v>
      </c>
      <c r="Y72" t="s">
        <v>121</v>
      </c>
      <c r="Z72" s="7">
        <v>12750</v>
      </c>
      <c r="AA72" t="s">
        <v>121</v>
      </c>
      <c r="AB72" t="s">
        <v>121</v>
      </c>
      <c r="AC72" t="s">
        <v>121</v>
      </c>
      <c r="AD72" t="s">
        <v>121</v>
      </c>
      <c r="AE72" t="s">
        <v>121</v>
      </c>
      <c r="AF72" t="s">
        <v>121</v>
      </c>
    </row>
    <row r="73" spans="1:37">
      <c r="A73" t="s">
        <v>185</v>
      </c>
      <c r="B73" t="s">
        <v>504</v>
      </c>
      <c r="C73" t="s">
        <v>272</v>
      </c>
      <c r="D73" t="s">
        <v>206</v>
      </c>
      <c r="E73" s="3">
        <v>1600000</v>
      </c>
      <c r="F73" s="5">
        <f t="shared" si="9"/>
        <v>5819.6666666666652</v>
      </c>
      <c r="G73" s="5">
        <f t="shared" si="10"/>
        <v>1027</v>
      </c>
      <c r="H73" s="3">
        <f t="shared" si="11"/>
        <v>2087</v>
      </c>
      <c r="I73" s="3">
        <f t="shared" si="12"/>
        <v>1522</v>
      </c>
      <c r="J73" s="3">
        <f t="shared" si="13"/>
        <v>26270.666666666661</v>
      </c>
      <c r="K73" s="3">
        <f t="shared" si="14"/>
        <v>4636</v>
      </c>
      <c r="L73" s="9">
        <f t="shared" si="8"/>
        <v>0.15000000000000002</v>
      </c>
      <c r="M73" s="6">
        <v>0.85</v>
      </c>
      <c r="N73">
        <v>24</v>
      </c>
      <c r="O73" s="7">
        <v>1003</v>
      </c>
      <c r="P73" t="s">
        <v>121</v>
      </c>
      <c r="Q73" t="s">
        <v>121</v>
      </c>
      <c r="R73">
        <v>142</v>
      </c>
      <c r="S73">
        <v>852</v>
      </c>
      <c r="T73">
        <v>48</v>
      </c>
      <c r="U73">
        <v>2</v>
      </c>
      <c r="V73" s="7">
        <v>2085</v>
      </c>
      <c r="W73" t="s">
        <v>121</v>
      </c>
      <c r="X73" t="s">
        <v>121</v>
      </c>
      <c r="Y73" t="s">
        <v>121</v>
      </c>
      <c r="Z73">
        <v>480</v>
      </c>
      <c r="AA73" t="s">
        <v>121</v>
      </c>
      <c r="AB73" t="s">
        <v>121</v>
      </c>
      <c r="AC73" t="s">
        <v>121</v>
      </c>
      <c r="AD73" t="s">
        <v>121</v>
      </c>
      <c r="AE73" t="s">
        <v>121</v>
      </c>
      <c r="AF73" t="s">
        <v>121</v>
      </c>
    </row>
    <row r="74" spans="1:37">
      <c r="A74" t="s">
        <v>274</v>
      </c>
      <c r="B74" t="s">
        <v>505</v>
      </c>
      <c r="C74" t="s">
        <v>344</v>
      </c>
      <c r="D74" t="s">
        <v>248</v>
      </c>
      <c r="E74" s="3">
        <v>84240100</v>
      </c>
      <c r="F74" s="5">
        <f t="shared" si="9"/>
        <v>198301.88888888893</v>
      </c>
      <c r="G74" s="5">
        <f t="shared" si="10"/>
        <v>162247</v>
      </c>
      <c r="H74" s="3">
        <f t="shared" si="11"/>
        <v>280262</v>
      </c>
      <c r="I74" s="3">
        <f t="shared" si="12"/>
        <v>132390</v>
      </c>
      <c r="J74" s="3">
        <f t="shared" si="13"/>
        <v>702654.33333333349</v>
      </c>
      <c r="K74" s="3">
        <f t="shared" si="14"/>
        <v>574899</v>
      </c>
      <c r="L74" s="9">
        <f t="shared" si="8"/>
        <v>0.44999999999999996</v>
      </c>
      <c r="M74" s="6">
        <v>0.55000000000000004</v>
      </c>
      <c r="N74" s="7">
        <v>3791</v>
      </c>
      <c r="O74" s="7">
        <v>158456</v>
      </c>
      <c r="P74" t="s">
        <v>121</v>
      </c>
      <c r="Q74" t="s">
        <v>121</v>
      </c>
      <c r="R74" t="s">
        <v>121</v>
      </c>
      <c r="S74" t="s">
        <v>121</v>
      </c>
      <c r="T74" t="s">
        <v>121</v>
      </c>
      <c r="U74" t="s">
        <v>121</v>
      </c>
      <c r="V74" t="s">
        <v>121</v>
      </c>
      <c r="W74" s="7">
        <v>280262</v>
      </c>
      <c r="X74" t="s">
        <v>121</v>
      </c>
      <c r="Y74" t="s">
        <v>121</v>
      </c>
      <c r="Z74" t="s">
        <v>121</v>
      </c>
      <c r="AA74" t="s">
        <v>121</v>
      </c>
      <c r="AB74" s="7">
        <v>60653</v>
      </c>
      <c r="AC74" t="s">
        <v>121</v>
      </c>
      <c r="AD74" t="s">
        <v>121</v>
      </c>
      <c r="AE74" t="s">
        <v>121</v>
      </c>
      <c r="AF74" s="7">
        <v>71737</v>
      </c>
    </row>
    <row r="75" spans="1:37">
      <c r="A75" t="s">
        <v>275</v>
      </c>
      <c r="B75" t="s">
        <v>506</v>
      </c>
      <c r="C75" t="s">
        <v>542</v>
      </c>
      <c r="D75" t="s">
        <v>206</v>
      </c>
      <c r="E75" s="3">
        <v>61260900</v>
      </c>
      <c r="F75" s="5">
        <f t="shared" si="9"/>
        <v>131098</v>
      </c>
      <c r="G75" s="5">
        <f t="shared" si="10"/>
        <v>131098</v>
      </c>
      <c r="H75" s="3">
        <f t="shared" si="11"/>
        <v>266362</v>
      </c>
      <c r="I75" s="3">
        <f t="shared" si="12"/>
        <v>133058</v>
      </c>
      <c r="J75" s="3">
        <f t="shared" si="13"/>
        <v>530518</v>
      </c>
      <c r="K75" s="3">
        <f t="shared" si="14"/>
        <v>530518</v>
      </c>
      <c r="L75" s="9">
        <f t="shared" si="8"/>
        <v>0.5</v>
      </c>
      <c r="M75" s="6">
        <v>0.5</v>
      </c>
      <c r="N75" s="7">
        <v>3063</v>
      </c>
      <c r="O75" s="7">
        <v>128035</v>
      </c>
      <c r="P75" t="s">
        <v>121</v>
      </c>
      <c r="Q75" t="s">
        <v>121</v>
      </c>
      <c r="R75" s="7">
        <v>18133</v>
      </c>
      <c r="S75" s="7">
        <v>108799</v>
      </c>
      <c r="T75" s="7">
        <v>6126</v>
      </c>
      <c r="U75">
        <v>306</v>
      </c>
      <c r="V75" s="7">
        <v>266056</v>
      </c>
      <c r="W75" t="s">
        <v>121</v>
      </c>
      <c r="X75" t="s">
        <v>121</v>
      </c>
      <c r="Y75" t="s">
        <v>121</v>
      </c>
      <c r="Z75" t="s">
        <v>121</v>
      </c>
      <c r="AA75" t="s">
        <v>121</v>
      </c>
      <c r="AB75" t="s">
        <v>121</v>
      </c>
      <c r="AC75" t="s">
        <v>121</v>
      </c>
      <c r="AD75" t="s">
        <v>121</v>
      </c>
      <c r="AE75" t="s">
        <v>121</v>
      </c>
      <c r="AF75" t="s">
        <v>121</v>
      </c>
    </row>
    <row r="76" spans="1:37">
      <c r="A76" t="s">
        <v>186</v>
      </c>
      <c r="B76" t="s">
        <v>507</v>
      </c>
      <c r="C76" t="s">
        <v>277</v>
      </c>
      <c r="D76" t="s">
        <v>119</v>
      </c>
      <c r="E76" s="3">
        <v>19446000</v>
      </c>
      <c r="F76" s="5">
        <f t="shared" si="9"/>
        <v>79058.999999999927</v>
      </c>
      <c r="G76" s="5">
        <f t="shared" si="10"/>
        <v>4161</v>
      </c>
      <c r="H76" s="3">
        <f t="shared" si="11"/>
        <v>7188</v>
      </c>
      <c r="I76" s="3">
        <f t="shared" si="12"/>
        <v>3403</v>
      </c>
      <c r="J76" s="3">
        <f t="shared" si="13"/>
        <v>280287.99999999971</v>
      </c>
      <c r="K76" s="3">
        <f t="shared" si="14"/>
        <v>14752</v>
      </c>
      <c r="L76" s="9">
        <f t="shared" si="8"/>
        <v>5.0000000000000044E-2</v>
      </c>
      <c r="M76" s="6">
        <v>0.95</v>
      </c>
      <c r="N76">
        <v>97</v>
      </c>
      <c r="O76" s="7">
        <v>4064</v>
      </c>
      <c r="P76" t="s">
        <v>121</v>
      </c>
      <c r="Q76" t="s">
        <v>121</v>
      </c>
      <c r="R76" t="s">
        <v>121</v>
      </c>
      <c r="S76" t="s">
        <v>121</v>
      </c>
      <c r="T76" t="s">
        <v>121</v>
      </c>
      <c r="U76" t="s">
        <v>121</v>
      </c>
      <c r="V76" t="s">
        <v>121</v>
      </c>
      <c r="W76" s="7">
        <v>7188</v>
      </c>
      <c r="X76" t="s">
        <v>121</v>
      </c>
      <c r="Y76" t="s">
        <v>121</v>
      </c>
      <c r="Z76" t="s">
        <v>121</v>
      </c>
      <c r="AA76" t="s">
        <v>121</v>
      </c>
      <c r="AB76" t="s">
        <v>121</v>
      </c>
      <c r="AC76" t="s">
        <v>121</v>
      </c>
      <c r="AD76" s="7">
        <v>1167</v>
      </c>
      <c r="AE76" t="s">
        <v>121</v>
      </c>
      <c r="AF76" t="s">
        <v>121</v>
      </c>
      <c r="AK76" s="7">
        <v>2236</v>
      </c>
    </row>
    <row r="77" spans="1:37">
      <c r="A77" t="s">
        <v>187</v>
      </c>
      <c r="B77" t="s">
        <v>508</v>
      </c>
      <c r="C77" t="s">
        <v>278</v>
      </c>
      <c r="D77" t="s">
        <v>119</v>
      </c>
      <c r="E77" s="3">
        <v>41038000</v>
      </c>
      <c r="F77" s="5">
        <f t="shared" si="9"/>
        <v>166857.99999999985</v>
      </c>
      <c r="G77" s="5">
        <f t="shared" si="10"/>
        <v>8782</v>
      </c>
      <c r="H77" s="3">
        <f t="shared" si="11"/>
        <v>15170</v>
      </c>
      <c r="I77" s="3">
        <f t="shared" si="12"/>
        <v>7181</v>
      </c>
      <c r="J77" s="3">
        <f t="shared" si="13"/>
        <v>591526.99999999942</v>
      </c>
      <c r="K77" s="3">
        <f t="shared" si="14"/>
        <v>31133</v>
      </c>
      <c r="L77" s="9">
        <f t="shared" si="8"/>
        <v>5.0000000000000044E-2</v>
      </c>
      <c r="M77" s="6">
        <v>0.95</v>
      </c>
      <c r="N77">
        <v>205</v>
      </c>
      <c r="O77" s="7">
        <v>8577</v>
      </c>
      <c r="P77" t="s">
        <v>121</v>
      </c>
      <c r="Q77" t="s">
        <v>121</v>
      </c>
      <c r="R77" t="s">
        <v>121</v>
      </c>
      <c r="S77" t="s">
        <v>121</v>
      </c>
      <c r="T77" t="s">
        <v>121</v>
      </c>
      <c r="U77" t="s">
        <v>121</v>
      </c>
      <c r="V77" t="s">
        <v>121</v>
      </c>
      <c r="W77" s="7">
        <v>15170</v>
      </c>
      <c r="X77" t="s">
        <v>121</v>
      </c>
      <c r="Y77" t="s">
        <v>121</v>
      </c>
      <c r="Z77" t="s">
        <v>121</v>
      </c>
      <c r="AA77" t="s">
        <v>121</v>
      </c>
      <c r="AB77" t="s">
        <v>121</v>
      </c>
      <c r="AC77" t="s">
        <v>121</v>
      </c>
      <c r="AD77" s="7">
        <v>2462</v>
      </c>
      <c r="AE77" t="s">
        <v>121</v>
      </c>
      <c r="AF77" t="s">
        <v>121</v>
      </c>
      <c r="AK77" s="7">
        <v>4719</v>
      </c>
    </row>
    <row r="78" spans="1:37">
      <c r="A78" t="s">
        <v>188</v>
      </c>
      <c r="B78" t="s">
        <v>509</v>
      </c>
      <c r="C78" t="s">
        <v>543</v>
      </c>
      <c r="D78" t="s">
        <v>206</v>
      </c>
      <c r="E78" s="3">
        <v>106133800</v>
      </c>
      <c r="F78" s="5">
        <f t="shared" si="9"/>
        <v>272551.49999999994</v>
      </c>
      <c r="G78" s="5">
        <f t="shared" si="10"/>
        <v>181701</v>
      </c>
      <c r="H78" s="3">
        <f t="shared" si="11"/>
        <v>369176</v>
      </c>
      <c r="I78" s="3">
        <f t="shared" si="12"/>
        <v>184418</v>
      </c>
      <c r="J78" s="3">
        <f t="shared" si="13"/>
        <v>1102942.5</v>
      </c>
      <c r="K78" s="3">
        <f t="shared" si="14"/>
        <v>735295</v>
      </c>
      <c r="L78" s="9">
        <f t="shared" si="8"/>
        <v>0.4</v>
      </c>
      <c r="M78" s="6">
        <v>0.6</v>
      </c>
      <c r="N78" s="7">
        <v>4245</v>
      </c>
      <c r="O78" s="7">
        <v>177456</v>
      </c>
      <c r="Q78" t="s">
        <v>121</v>
      </c>
      <c r="R78" s="7">
        <v>25132</v>
      </c>
      <c r="S78" s="7">
        <v>150795</v>
      </c>
      <c r="T78" s="7">
        <v>8491</v>
      </c>
      <c r="U78">
        <v>425</v>
      </c>
      <c r="V78" s="7">
        <v>368751</v>
      </c>
      <c r="X78" t="s">
        <v>121</v>
      </c>
      <c r="Y78" t="s">
        <v>121</v>
      </c>
      <c r="Z78" t="s">
        <v>121</v>
      </c>
      <c r="AA78" t="s">
        <v>121</v>
      </c>
      <c r="AB78" t="s">
        <v>121</v>
      </c>
      <c r="AC78" t="s">
        <v>121</v>
      </c>
      <c r="AD78" t="s">
        <v>121</v>
      </c>
      <c r="AE78" t="s">
        <v>121</v>
      </c>
    </row>
    <row r="79" spans="1:37">
      <c r="A79" t="s">
        <v>189</v>
      </c>
      <c r="B79" t="s">
        <v>510</v>
      </c>
      <c r="C79" t="s">
        <v>280</v>
      </c>
      <c r="D79" t="s">
        <v>119</v>
      </c>
      <c r="E79" s="3">
        <v>17516300</v>
      </c>
      <c r="F79" s="5">
        <f t="shared" si="9"/>
        <v>44981.999999999993</v>
      </c>
      <c r="G79" s="5">
        <f t="shared" si="10"/>
        <v>29988</v>
      </c>
      <c r="H79" s="3">
        <f t="shared" si="11"/>
        <v>51801</v>
      </c>
      <c r="I79" s="3">
        <f t="shared" si="12"/>
        <v>16115</v>
      </c>
      <c r="J79" s="3">
        <f t="shared" si="13"/>
        <v>146856</v>
      </c>
      <c r="K79" s="3">
        <f t="shared" si="14"/>
        <v>97904</v>
      </c>
      <c r="L79" s="9">
        <f t="shared" si="8"/>
        <v>0.4</v>
      </c>
      <c r="M79" s="6">
        <v>0.6</v>
      </c>
      <c r="N79">
        <v>701</v>
      </c>
      <c r="O79" s="7">
        <v>29287</v>
      </c>
      <c r="P79" t="s">
        <v>121</v>
      </c>
      <c r="Q79" t="s">
        <v>121</v>
      </c>
      <c r="R79" t="s">
        <v>121</v>
      </c>
      <c r="S79" t="s">
        <v>121</v>
      </c>
      <c r="T79" t="s">
        <v>121</v>
      </c>
      <c r="U79" t="s">
        <v>121</v>
      </c>
      <c r="V79" t="s">
        <v>121</v>
      </c>
      <c r="W79" s="7">
        <v>51801</v>
      </c>
      <c r="X79" t="s">
        <v>121</v>
      </c>
      <c r="Y79" t="s">
        <v>121</v>
      </c>
      <c r="Z79" t="s">
        <v>121</v>
      </c>
      <c r="AA79" t="s">
        <v>121</v>
      </c>
      <c r="AB79" t="s">
        <v>121</v>
      </c>
      <c r="AC79" t="s">
        <v>121</v>
      </c>
      <c r="AD79" t="s">
        <v>121</v>
      </c>
      <c r="AE79" t="s">
        <v>121</v>
      </c>
      <c r="AF79" t="s">
        <v>121</v>
      </c>
      <c r="AK79" s="7">
        <v>16115</v>
      </c>
    </row>
    <row r="80" spans="1:37">
      <c r="A80" t="s">
        <v>290</v>
      </c>
      <c r="B80" t="s">
        <v>511</v>
      </c>
      <c r="C80" t="s">
        <v>329</v>
      </c>
      <c r="D80" t="s">
        <v>119</v>
      </c>
      <c r="E80" s="3">
        <v>31356776</v>
      </c>
      <c r="F80" s="5">
        <f t="shared" si="9"/>
        <v>123683.69259963233</v>
      </c>
      <c r="G80" s="5">
        <f t="shared" si="10"/>
        <v>10523.88</v>
      </c>
      <c r="H80" s="3">
        <f t="shared" si="11"/>
        <v>21382.07</v>
      </c>
      <c r="I80" s="3">
        <f t="shared" si="12"/>
        <v>16336.53</v>
      </c>
      <c r="J80" s="3">
        <f t="shared" si="13"/>
        <v>566977.96502467827</v>
      </c>
      <c r="K80" s="3">
        <f t="shared" si="14"/>
        <v>48242.479999999996</v>
      </c>
      <c r="L80" s="9">
        <v>7.8414949291980784E-2</v>
      </c>
      <c r="M80" s="6">
        <f>SUM(1-L80)</f>
        <v>0.92158505070801922</v>
      </c>
      <c r="N80" s="3">
        <v>245.88</v>
      </c>
      <c r="O80" s="3">
        <v>10278</v>
      </c>
      <c r="P80" s="7"/>
      <c r="Q80" s="7"/>
      <c r="R80" s="10">
        <v>1455.63</v>
      </c>
      <c r="S80" s="10">
        <v>8733.7999999999993</v>
      </c>
      <c r="T80">
        <v>491.77</v>
      </c>
      <c r="U80">
        <v>24.59</v>
      </c>
      <c r="V80" s="10">
        <v>21357.48</v>
      </c>
      <c r="W80" s="3" t="s">
        <v>121</v>
      </c>
      <c r="X80" s="7"/>
      <c r="Y80" t="s">
        <v>121</v>
      </c>
      <c r="Z80" s="7"/>
      <c r="AA80" s="7"/>
      <c r="AB80" s="7"/>
      <c r="AD80" s="7"/>
      <c r="AE80" t="s">
        <v>121</v>
      </c>
      <c r="AF80" t="s">
        <v>121</v>
      </c>
      <c r="AH80" s="7"/>
      <c r="AJ80" s="7"/>
      <c r="AK80" s="10">
        <v>5655.33</v>
      </c>
    </row>
    <row r="81" spans="1:37">
      <c r="A81" t="s">
        <v>291</v>
      </c>
      <c r="B81" t="s">
        <v>512</v>
      </c>
      <c r="C81" t="s">
        <v>330</v>
      </c>
      <c r="D81" t="s">
        <v>331</v>
      </c>
      <c r="E81" s="3">
        <v>10477635</v>
      </c>
      <c r="F81" s="5">
        <f t="shared" si="9"/>
        <v>44026.352887730762</v>
      </c>
      <c r="G81" s="5">
        <f t="shared" si="10"/>
        <v>817.96</v>
      </c>
      <c r="H81" s="3">
        <f t="shared" si="11"/>
        <v>1412.93</v>
      </c>
      <c r="I81" s="3">
        <f t="shared" si="12"/>
        <v>885.15</v>
      </c>
      <c r="J81" s="3">
        <f t="shared" si="13"/>
        <v>167719.54209531585</v>
      </c>
      <c r="K81" s="3">
        <f t="shared" si="14"/>
        <v>3116.0400000000004</v>
      </c>
      <c r="L81" s="9">
        <v>1.8239994044457551E-2</v>
      </c>
      <c r="M81" s="6">
        <f t="shared" ref="M81:M115" si="15">SUM(1-L81)</f>
        <v>0.98176000595554247</v>
      </c>
      <c r="N81" s="3">
        <v>19.11</v>
      </c>
      <c r="O81" s="3">
        <v>798.85</v>
      </c>
      <c r="R81" t="s">
        <v>121</v>
      </c>
      <c r="S81" t="s">
        <v>121</v>
      </c>
      <c r="T81" t="s">
        <v>121</v>
      </c>
      <c r="U81" t="s">
        <v>121</v>
      </c>
      <c r="V81" t="s">
        <v>121</v>
      </c>
      <c r="W81" s="3">
        <v>1412.93</v>
      </c>
      <c r="Y81" t="s">
        <v>121</v>
      </c>
      <c r="AE81">
        <v>885.15</v>
      </c>
      <c r="AF81" t="s">
        <v>121</v>
      </c>
    </row>
    <row r="82" spans="1:37">
      <c r="A82" t="s">
        <v>292</v>
      </c>
      <c r="B82" t="s">
        <v>513</v>
      </c>
      <c r="C82" t="s">
        <v>332</v>
      </c>
      <c r="D82" t="s">
        <v>206</v>
      </c>
      <c r="E82" s="3">
        <v>279553</v>
      </c>
      <c r="F82" s="5">
        <f t="shared" si="9"/>
        <v>644.54184071153304</v>
      </c>
      <c r="G82" s="5">
        <f t="shared" si="10"/>
        <v>551.95999999999992</v>
      </c>
      <c r="H82" s="3">
        <f t="shared" si="11"/>
        <v>1121.44</v>
      </c>
      <c r="I82" s="3">
        <f t="shared" si="12"/>
        <v>560.19999999999993</v>
      </c>
      <c r="J82" s="3">
        <f t="shared" si="13"/>
        <v>2608.2481618473803</v>
      </c>
      <c r="K82" s="3">
        <f t="shared" si="14"/>
        <v>2233.6</v>
      </c>
      <c r="L82" s="9">
        <v>0.46131145078035291</v>
      </c>
      <c r="M82" s="6">
        <f t="shared" si="15"/>
        <v>0.53868854921964715</v>
      </c>
      <c r="N82" s="3">
        <v>12.9</v>
      </c>
      <c r="O82" s="3">
        <v>539.05999999999995</v>
      </c>
      <c r="R82">
        <v>76.34</v>
      </c>
      <c r="S82">
        <v>458.07</v>
      </c>
      <c r="T82">
        <v>25.79</v>
      </c>
      <c r="U82">
        <v>1.29</v>
      </c>
      <c r="V82" s="10">
        <v>1120.1500000000001</v>
      </c>
      <c r="W82" s="3" t="s">
        <v>121</v>
      </c>
      <c r="Y82" t="s">
        <v>121</v>
      </c>
      <c r="AE82" t="s">
        <v>121</v>
      </c>
      <c r="AF82" t="s">
        <v>121</v>
      </c>
    </row>
    <row r="83" spans="1:37">
      <c r="A83" t="s">
        <v>293</v>
      </c>
      <c r="B83" t="s">
        <v>514</v>
      </c>
      <c r="C83" t="s">
        <v>271</v>
      </c>
      <c r="D83" t="s">
        <v>206</v>
      </c>
      <c r="E83" s="3">
        <v>21471390</v>
      </c>
      <c r="F83" s="5">
        <f t="shared" si="9"/>
        <v>71052.547488190219</v>
      </c>
      <c r="G83" s="5">
        <f t="shared" si="10"/>
        <v>20845.009999999998</v>
      </c>
      <c r="H83" s="3">
        <f t="shared" si="11"/>
        <v>42352.38</v>
      </c>
      <c r="I83" s="3">
        <f t="shared" si="12"/>
        <v>21156.71</v>
      </c>
      <c r="J83" s="3">
        <f t="shared" si="13"/>
        <v>287530.38238281239</v>
      </c>
      <c r="K83" s="3">
        <f t="shared" si="14"/>
        <v>84354.1</v>
      </c>
      <c r="L83" s="9">
        <v>0.22682877075028679</v>
      </c>
      <c r="M83" s="6">
        <f t="shared" si="15"/>
        <v>0.77317122924971327</v>
      </c>
      <c r="N83" s="3">
        <v>487.03</v>
      </c>
      <c r="O83" s="3">
        <v>20357.98</v>
      </c>
      <c r="R83" s="10">
        <v>2883.23</v>
      </c>
      <c r="S83" s="10">
        <v>17299.41</v>
      </c>
      <c r="T83">
        <v>974.07</v>
      </c>
      <c r="U83">
        <v>48.7</v>
      </c>
      <c r="V83" s="10">
        <v>42303.68</v>
      </c>
      <c r="W83" s="3" t="s">
        <v>121</v>
      </c>
      <c r="Y83" t="s">
        <v>121</v>
      </c>
      <c r="AE83" t="s">
        <v>121</v>
      </c>
      <c r="AF83" t="s">
        <v>121</v>
      </c>
    </row>
    <row r="84" spans="1:37">
      <c r="A84" t="s">
        <v>294</v>
      </c>
      <c r="B84" t="s">
        <v>515</v>
      </c>
      <c r="C84" t="s">
        <v>334</v>
      </c>
      <c r="D84" t="s">
        <v>247</v>
      </c>
      <c r="E84" s="3">
        <v>13770497</v>
      </c>
      <c r="F84" s="5">
        <f t="shared" si="9"/>
        <v>47504.300459110367</v>
      </c>
      <c r="G84" s="5">
        <f t="shared" si="10"/>
        <v>11433.43</v>
      </c>
      <c r="H84" s="3">
        <f t="shared" si="11"/>
        <v>19749.919999999998</v>
      </c>
      <c r="I84" s="3">
        <f t="shared" si="12"/>
        <v>16028.17</v>
      </c>
      <c r="J84" s="3">
        <f t="shared" si="13"/>
        <v>196157.25387843352</v>
      </c>
      <c r="K84" s="3">
        <f t="shared" si="14"/>
        <v>47211.519999999997</v>
      </c>
      <c r="L84" s="9">
        <v>0.19399169107694517</v>
      </c>
      <c r="M84" s="6">
        <f t="shared" si="15"/>
        <v>0.80600830892305486</v>
      </c>
      <c r="N84" s="3">
        <v>267.14</v>
      </c>
      <c r="O84" s="3">
        <v>11166.29</v>
      </c>
      <c r="R84" t="s">
        <v>121</v>
      </c>
      <c r="S84" t="s">
        <v>121</v>
      </c>
      <c r="T84" t="s">
        <v>121</v>
      </c>
      <c r="U84" t="s">
        <v>121</v>
      </c>
      <c r="V84" t="s">
        <v>121</v>
      </c>
      <c r="W84" s="3">
        <v>19749.919999999998</v>
      </c>
      <c r="Y84" t="s">
        <v>121</v>
      </c>
      <c r="AE84" t="s">
        <v>121</v>
      </c>
      <c r="AF84" t="s">
        <v>121</v>
      </c>
      <c r="AI84" s="10">
        <v>16028.17</v>
      </c>
    </row>
    <row r="85" spans="1:37">
      <c r="A85" t="s">
        <v>295</v>
      </c>
      <c r="B85" t="s">
        <v>508</v>
      </c>
      <c r="C85" t="s">
        <v>278</v>
      </c>
      <c r="D85" t="s">
        <v>119</v>
      </c>
      <c r="E85" s="3">
        <v>9970374</v>
      </c>
      <c r="F85" s="5">
        <f t="shared" si="9"/>
        <v>13189.927535786224</v>
      </c>
      <c r="G85" s="5">
        <f t="shared" si="10"/>
        <v>29483.27</v>
      </c>
      <c r="H85" s="3">
        <f t="shared" si="11"/>
        <v>50928.91</v>
      </c>
      <c r="I85" s="3">
        <f t="shared" si="12"/>
        <v>15843.81</v>
      </c>
      <c r="J85" s="3">
        <f t="shared" si="13"/>
        <v>43062.032569160867</v>
      </c>
      <c r="K85" s="3">
        <f t="shared" si="14"/>
        <v>96255.99</v>
      </c>
      <c r="L85" s="9">
        <v>0.69090838518193998</v>
      </c>
      <c r="M85" s="6">
        <f t="shared" si="15"/>
        <v>0.30909161481806002</v>
      </c>
      <c r="N85" s="3">
        <v>688.86</v>
      </c>
      <c r="O85" s="3">
        <v>28794.41</v>
      </c>
      <c r="R85" t="s">
        <v>121</v>
      </c>
      <c r="S85" t="s">
        <v>121</v>
      </c>
      <c r="T85" t="s">
        <v>121</v>
      </c>
      <c r="U85" t="s">
        <v>121</v>
      </c>
      <c r="V85" t="s">
        <v>121</v>
      </c>
      <c r="W85" s="3">
        <v>50928.91</v>
      </c>
      <c r="Y85" t="s">
        <v>121</v>
      </c>
      <c r="AE85" t="s">
        <v>121</v>
      </c>
      <c r="AF85" t="s">
        <v>121</v>
      </c>
      <c r="AK85" s="10">
        <v>15843.81</v>
      </c>
    </row>
    <row r="86" spans="1:37">
      <c r="A86" t="s">
        <v>296</v>
      </c>
      <c r="B86" t="s">
        <v>442</v>
      </c>
      <c r="C86" t="s">
        <v>335</v>
      </c>
      <c r="D86" t="s">
        <v>115</v>
      </c>
      <c r="E86" s="3">
        <v>6723551</v>
      </c>
      <c r="F86" s="5">
        <f t="shared" si="9"/>
        <v>20175.042367237878</v>
      </c>
      <c r="G86" s="5">
        <f t="shared" si="10"/>
        <v>8601.7799999999988</v>
      </c>
      <c r="H86" s="3">
        <f t="shared" si="11"/>
        <v>14858.55</v>
      </c>
      <c r="I86" s="3">
        <f t="shared" si="12"/>
        <v>12614.86</v>
      </c>
      <c r="J86" s="3">
        <f t="shared" si="13"/>
        <v>84612.54375910059</v>
      </c>
      <c r="K86" s="3">
        <f t="shared" si="14"/>
        <v>36075.19</v>
      </c>
      <c r="L86" s="9">
        <v>0.29891347592960921</v>
      </c>
      <c r="M86" s="6">
        <f t="shared" si="15"/>
        <v>0.70108652407039074</v>
      </c>
      <c r="N86" s="3">
        <v>200.98</v>
      </c>
      <c r="O86" s="3">
        <v>8400.7999999999993</v>
      </c>
      <c r="R86" t="s">
        <v>121</v>
      </c>
      <c r="S86" t="s">
        <v>121</v>
      </c>
      <c r="T86" t="s">
        <v>121</v>
      </c>
      <c r="U86" t="s">
        <v>121</v>
      </c>
      <c r="V86" t="s">
        <v>121</v>
      </c>
      <c r="W86" s="3">
        <v>14858.55</v>
      </c>
      <c r="Y86" t="s">
        <v>121</v>
      </c>
      <c r="AE86" t="s">
        <v>121</v>
      </c>
      <c r="AF86" t="s">
        <v>121</v>
      </c>
      <c r="AG86" s="10">
        <v>12614.86</v>
      </c>
    </row>
    <row r="87" spans="1:37">
      <c r="A87" t="s">
        <v>297</v>
      </c>
      <c r="B87" t="s">
        <v>443</v>
      </c>
      <c r="C87" t="s">
        <v>336</v>
      </c>
      <c r="D87" t="s">
        <v>199</v>
      </c>
      <c r="E87" s="3">
        <v>30430187</v>
      </c>
      <c r="F87" s="5">
        <f t="shared" si="9"/>
        <v>37409.878844773302</v>
      </c>
      <c r="G87" s="5">
        <f t="shared" si="10"/>
        <v>92831.32</v>
      </c>
      <c r="H87" s="3">
        <f t="shared" si="11"/>
        <v>160355.26</v>
      </c>
      <c r="I87" s="3">
        <f t="shared" si="12"/>
        <v>37826.589999999997</v>
      </c>
      <c r="J87" s="3">
        <f t="shared" si="13"/>
        <v>117274.7240040691</v>
      </c>
      <c r="K87" s="3">
        <f t="shared" si="14"/>
        <v>291013.17000000004</v>
      </c>
      <c r="L87" s="9">
        <v>0.71276463072671881</v>
      </c>
      <c r="M87" s="6">
        <f t="shared" si="15"/>
        <v>0.28723536927328119</v>
      </c>
      <c r="N87" s="3">
        <v>2168.96</v>
      </c>
      <c r="O87" s="3">
        <v>90662.36</v>
      </c>
      <c r="R87" t="s">
        <v>121</v>
      </c>
      <c r="S87" t="s">
        <v>121</v>
      </c>
      <c r="T87" t="s">
        <v>121</v>
      </c>
      <c r="U87" t="s">
        <v>121</v>
      </c>
      <c r="V87" t="s">
        <v>121</v>
      </c>
      <c r="W87" s="3">
        <v>160355.26</v>
      </c>
      <c r="Y87" s="10">
        <v>37826.589999999997</v>
      </c>
      <c r="AE87" t="s">
        <v>121</v>
      </c>
      <c r="AF87" t="s">
        <v>121</v>
      </c>
    </row>
    <row r="88" spans="1:37">
      <c r="A88" t="s">
        <v>298</v>
      </c>
      <c r="B88" t="s">
        <v>516</v>
      </c>
      <c r="C88" t="s">
        <v>337</v>
      </c>
      <c r="D88" t="s">
        <v>248</v>
      </c>
      <c r="E88" s="3">
        <v>745799</v>
      </c>
      <c r="F88" s="5">
        <f t="shared" si="9"/>
        <v>2450.3904086496841</v>
      </c>
      <c r="G88" s="5">
        <f t="shared" si="10"/>
        <v>741.63</v>
      </c>
      <c r="H88" s="3">
        <f t="shared" si="11"/>
        <v>1281.08</v>
      </c>
      <c r="I88" s="3">
        <f t="shared" si="12"/>
        <v>327.91</v>
      </c>
      <c r="J88" s="3">
        <f t="shared" si="13"/>
        <v>7766.5907560105725</v>
      </c>
      <c r="K88" s="3">
        <f t="shared" si="14"/>
        <v>2350.62</v>
      </c>
      <c r="L88" s="9">
        <v>0.23233874006267105</v>
      </c>
      <c r="M88" s="6">
        <f t="shared" si="15"/>
        <v>0.76766125993732892</v>
      </c>
      <c r="N88" s="3">
        <v>17.329999999999998</v>
      </c>
      <c r="O88" s="3">
        <v>724.3</v>
      </c>
      <c r="R88" t="s">
        <v>121</v>
      </c>
      <c r="S88" t="s">
        <v>121</v>
      </c>
      <c r="T88" t="s">
        <v>121</v>
      </c>
      <c r="U88" t="s">
        <v>121</v>
      </c>
      <c r="V88" t="s">
        <v>121</v>
      </c>
      <c r="W88" s="3">
        <v>1281.08</v>
      </c>
      <c r="Y88" t="s">
        <v>121</v>
      </c>
      <c r="AE88" t="s">
        <v>121</v>
      </c>
      <c r="AF88">
        <v>327.91</v>
      </c>
    </row>
    <row r="89" spans="1:37">
      <c r="A89" t="s">
        <v>299</v>
      </c>
      <c r="B89" t="s">
        <v>517</v>
      </c>
      <c r="C89" t="s">
        <v>518</v>
      </c>
      <c r="D89" t="s">
        <v>206</v>
      </c>
      <c r="E89" s="3">
        <v>3157774</v>
      </c>
      <c r="F89" s="5">
        <f t="shared" si="9"/>
        <v>11398.482305104279</v>
      </c>
      <c r="G89" s="5">
        <f t="shared" si="10"/>
        <v>2116.83</v>
      </c>
      <c r="H89" s="3">
        <f t="shared" si="11"/>
        <v>4300.92</v>
      </c>
      <c r="I89" s="3">
        <f t="shared" si="12"/>
        <v>2148.48</v>
      </c>
      <c r="J89" s="3">
        <f t="shared" si="13"/>
        <v>46126.529327557444</v>
      </c>
      <c r="K89" s="3">
        <f t="shared" si="14"/>
        <v>8566.23</v>
      </c>
      <c r="L89" s="9">
        <v>0.156624571612788</v>
      </c>
      <c r="M89" s="6">
        <f t="shared" si="15"/>
        <v>0.84337542838721202</v>
      </c>
      <c r="N89" s="3">
        <v>49.46</v>
      </c>
      <c r="O89" s="3">
        <v>2067.37</v>
      </c>
      <c r="R89">
        <v>292.79000000000002</v>
      </c>
      <c r="S89" s="10">
        <v>1756.77</v>
      </c>
      <c r="T89">
        <v>98.92</v>
      </c>
      <c r="U89">
        <v>4.95</v>
      </c>
      <c r="V89" s="10">
        <v>4295.97</v>
      </c>
      <c r="W89" s="3" t="s">
        <v>121</v>
      </c>
      <c r="Y89" t="s">
        <v>121</v>
      </c>
      <c r="AE89" t="s">
        <v>121</v>
      </c>
      <c r="AF89" t="s">
        <v>121</v>
      </c>
    </row>
    <row r="90" spans="1:37">
      <c r="A90" t="s">
        <v>300</v>
      </c>
      <c r="B90" t="s">
        <v>466</v>
      </c>
      <c r="C90" t="s">
        <v>232</v>
      </c>
      <c r="D90" t="s">
        <v>206</v>
      </c>
      <c r="E90" s="3">
        <v>5269618</v>
      </c>
      <c r="F90" s="5">
        <f t="shared" si="9"/>
        <v>19067.27704683075</v>
      </c>
      <c r="G90" s="5">
        <f t="shared" si="10"/>
        <v>3486.74</v>
      </c>
      <c r="H90" s="3">
        <f t="shared" si="11"/>
        <v>7084.2599999999993</v>
      </c>
      <c r="I90" s="3">
        <f t="shared" si="12"/>
        <v>3538.8699999999994</v>
      </c>
      <c r="J90" s="3">
        <f t="shared" si="13"/>
        <v>77159.983361181454</v>
      </c>
      <c r="K90" s="3">
        <f t="shared" si="14"/>
        <v>14109.869999999999</v>
      </c>
      <c r="L90" s="9">
        <v>0.15459507691069826</v>
      </c>
      <c r="M90" s="6">
        <f t="shared" si="15"/>
        <v>0.84540492308930171</v>
      </c>
      <c r="N90" s="3">
        <v>81.47</v>
      </c>
      <c r="O90" s="3">
        <v>3405.27</v>
      </c>
      <c r="R90">
        <v>482.28</v>
      </c>
      <c r="S90" s="10">
        <v>2893.66</v>
      </c>
      <c r="T90">
        <v>162.93</v>
      </c>
      <c r="U90">
        <v>8.15</v>
      </c>
      <c r="V90" s="10">
        <v>7076.11</v>
      </c>
      <c r="W90" s="3" t="s">
        <v>121</v>
      </c>
      <c r="Y90" t="s">
        <v>121</v>
      </c>
      <c r="AE90" t="s">
        <v>121</v>
      </c>
      <c r="AF90" t="s">
        <v>121</v>
      </c>
    </row>
    <row r="91" spans="1:37">
      <c r="A91" t="s">
        <v>301</v>
      </c>
      <c r="B91" t="s">
        <v>480</v>
      </c>
      <c r="C91" t="s">
        <v>250</v>
      </c>
      <c r="D91" t="s">
        <v>248</v>
      </c>
      <c r="E91" s="3">
        <v>2555120</v>
      </c>
      <c r="F91" s="5">
        <f t="shared" si="9"/>
        <v>9082.3714476904734</v>
      </c>
      <c r="G91" s="5">
        <f t="shared" si="10"/>
        <v>1853.57</v>
      </c>
      <c r="H91" s="3">
        <f t="shared" si="11"/>
        <v>3201.82</v>
      </c>
      <c r="I91" s="3">
        <f t="shared" si="12"/>
        <v>819.55</v>
      </c>
      <c r="J91" s="3">
        <f t="shared" si="13"/>
        <v>28786.820736683632</v>
      </c>
      <c r="K91" s="3">
        <f t="shared" si="14"/>
        <v>5874.9400000000005</v>
      </c>
      <c r="L91" s="9">
        <v>0.16949340931150006</v>
      </c>
      <c r="M91" s="6">
        <f t="shared" si="15"/>
        <v>0.83050659068849997</v>
      </c>
      <c r="N91" s="3">
        <v>43.31</v>
      </c>
      <c r="O91" s="3">
        <v>1810.26</v>
      </c>
      <c r="R91" t="s">
        <v>121</v>
      </c>
      <c r="S91" t="s">
        <v>121</v>
      </c>
      <c r="T91" t="s">
        <v>121</v>
      </c>
      <c r="U91" t="s">
        <v>121</v>
      </c>
      <c r="V91" t="s">
        <v>121</v>
      </c>
      <c r="W91" s="3">
        <v>3201.82</v>
      </c>
      <c r="Y91" t="s">
        <v>121</v>
      </c>
      <c r="AE91" t="s">
        <v>121</v>
      </c>
      <c r="AF91">
        <v>819.55</v>
      </c>
    </row>
    <row r="92" spans="1:37">
      <c r="A92" t="s">
        <v>302</v>
      </c>
      <c r="B92" t="s">
        <v>519</v>
      </c>
      <c r="C92" t="s">
        <v>273</v>
      </c>
      <c r="D92" t="s">
        <v>206</v>
      </c>
      <c r="E92" s="3">
        <v>7088909</v>
      </c>
      <c r="F92" s="5">
        <f t="shared" si="9"/>
        <v>17333.670333387516</v>
      </c>
      <c r="G92" s="5">
        <f t="shared" si="10"/>
        <v>13006.859999999999</v>
      </c>
      <c r="H92" s="3">
        <f t="shared" si="11"/>
        <v>26427.02</v>
      </c>
      <c r="I92" s="3">
        <f t="shared" si="12"/>
        <v>13201.359999999999</v>
      </c>
      <c r="J92" s="3">
        <f t="shared" si="13"/>
        <v>70144.669664986941</v>
      </c>
      <c r="K92" s="3">
        <f t="shared" si="14"/>
        <v>52635.24</v>
      </c>
      <c r="L92" s="9">
        <v>0.42869586843335133</v>
      </c>
      <c r="M92" s="6">
        <f t="shared" si="15"/>
        <v>0.57130413156664872</v>
      </c>
      <c r="N92" s="3">
        <v>303.89999999999998</v>
      </c>
      <c r="O92" s="3">
        <v>12702.96</v>
      </c>
      <c r="R92" s="10">
        <v>1799.08</v>
      </c>
      <c r="S92" s="10">
        <v>10794.48</v>
      </c>
      <c r="T92">
        <v>607.79999999999995</v>
      </c>
      <c r="U92">
        <v>30.39</v>
      </c>
      <c r="V92" s="10">
        <v>26396.63</v>
      </c>
      <c r="W92" s="3" t="s">
        <v>121</v>
      </c>
      <c r="Y92" t="s">
        <v>121</v>
      </c>
      <c r="AE92" t="s">
        <v>121</v>
      </c>
      <c r="AF92" t="s">
        <v>121</v>
      </c>
    </row>
    <row r="93" spans="1:37">
      <c r="A93" t="s">
        <v>303</v>
      </c>
      <c r="B93" t="s">
        <v>513</v>
      </c>
      <c r="C93" t="s">
        <v>332</v>
      </c>
      <c r="D93" t="s">
        <v>206</v>
      </c>
      <c r="E93" s="3">
        <v>1622886</v>
      </c>
      <c r="F93" s="5">
        <f t="shared" si="9"/>
        <v>5050.6977134417612</v>
      </c>
      <c r="G93" s="5">
        <f t="shared" si="10"/>
        <v>1895.24</v>
      </c>
      <c r="H93" s="3">
        <f t="shared" si="11"/>
        <v>3850.71</v>
      </c>
      <c r="I93" s="3">
        <f t="shared" si="12"/>
        <v>1923.58</v>
      </c>
      <c r="J93" s="3">
        <f t="shared" si="13"/>
        <v>20438.824441322995</v>
      </c>
      <c r="K93" s="3">
        <f t="shared" si="14"/>
        <v>7669.53</v>
      </c>
      <c r="L93" s="9">
        <v>0.27285588759777335</v>
      </c>
      <c r="M93" s="6">
        <f t="shared" si="15"/>
        <v>0.72714411240222665</v>
      </c>
      <c r="N93" s="3">
        <v>44.28</v>
      </c>
      <c r="O93" s="3">
        <v>1850.96</v>
      </c>
      <c r="R93">
        <v>262.14999999999998</v>
      </c>
      <c r="S93" s="10">
        <v>1572.87</v>
      </c>
      <c r="T93">
        <v>88.56</v>
      </c>
      <c r="U93">
        <v>4.43</v>
      </c>
      <c r="V93" s="10">
        <v>3846.28</v>
      </c>
      <c r="W93" s="3" t="s">
        <v>121</v>
      </c>
      <c r="Y93" t="s">
        <v>121</v>
      </c>
      <c r="AE93" t="s">
        <v>121</v>
      </c>
      <c r="AF93" t="s">
        <v>121</v>
      </c>
    </row>
    <row r="94" spans="1:37">
      <c r="A94" t="s">
        <v>304</v>
      </c>
      <c r="B94" t="s">
        <v>513</v>
      </c>
      <c r="C94" t="s">
        <v>332</v>
      </c>
      <c r="D94" t="s">
        <v>206</v>
      </c>
      <c r="E94" s="3">
        <v>123818</v>
      </c>
      <c r="F94" s="5">
        <f t="shared" si="9"/>
        <v>335.85301819384716</v>
      </c>
      <c r="G94" s="5">
        <f t="shared" si="10"/>
        <v>194.07</v>
      </c>
      <c r="H94" s="3">
        <f t="shared" si="11"/>
        <v>394.31</v>
      </c>
      <c r="I94" s="3">
        <f t="shared" si="12"/>
        <v>196.97</v>
      </c>
      <c r="J94" s="3">
        <f t="shared" si="13"/>
        <v>1359.1084033520783</v>
      </c>
      <c r="K94" s="3">
        <f t="shared" si="14"/>
        <v>785.35</v>
      </c>
      <c r="L94" s="9">
        <v>0.36622300473275293</v>
      </c>
      <c r="M94" s="6">
        <f t="shared" si="15"/>
        <v>0.63377699526724707</v>
      </c>
      <c r="N94" s="3">
        <v>4.53</v>
      </c>
      <c r="O94" s="3">
        <v>189.54</v>
      </c>
      <c r="R94">
        <v>26.84</v>
      </c>
      <c r="S94">
        <v>161.06</v>
      </c>
      <c r="T94">
        <v>9.07</v>
      </c>
      <c r="U94">
        <v>0.45</v>
      </c>
      <c r="V94">
        <v>393.86</v>
      </c>
      <c r="W94" s="3" t="s">
        <v>121</v>
      </c>
      <c r="Y94" t="s">
        <v>121</v>
      </c>
      <c r="AE94" t="s">
        <v>121</v>
      </c>
      <c r="AF94" t="s">
        <v>121</v>
      </c>
    </row>
    <row r="95" spans="1:37">
      <c r="A95" t="s">
        <v>305</v>
      </c>
      <c r="B95" t="s">
        <v>520</v>
      </c>
      <c r="C95" t="s">
        <v>332</v>
      </c>
      <c r="D95" t="s">
        <v>119</v>
      </c>
      <c r="E95" s="3">
        <v>2932413</v>
      </c>
      <c r="F95" s="5">
        <f t="shared" si="9"/>
        <v>8515.6680132503025</v>
      </c>
      <c r="G95" s="5">
        <f t="shared" si="10"/>
        <v>4035.0600000000004</v>
      </c>
      <c r="H95" s="3">
        <f t="shared" si="11"/>
        <v>6970.09</v>
      </c>
      <c r="I95" s="3">
        <f t="shared" si="12"/>
        <v>2168.37</v>
      </c>
      <c r="J95" s="3">
        <f t="shared" si="13"/>
        <v>27801.649265664728</v>
      </c>
      <c r="K95" s="3">
        <f t="shared" si="14"/>
        <v>13173.52</v>
      </c>
      <c r="L95" s="9">
        <v>0.32150007519404666</v>
      </c>
      <c r="M95" s="6">
        <f t="shared" si="15"/>
        <v>0.67849992480595334</v>
      </c>
      <c r="N95" s="3">
        <v>94.28</v>
      </c>
      <c r="O95" s="3">
        <v>3940.78</v>
      </c>
      <c r="R95" t="s">
        <v>121</v>
      </c>
      <c r="S95" t="s">
        <v>121</v>
      </c>
      <c r="T95" t="s">
        <v>121</v>
      </c>
      <c r="U95" t="s">
        <v>121</v>
      </c>
      <c r="V95" t="s">
        <v>121</v>
      </c>
      <c r="W95" s="3">
        <v>6970.09</v>
      </c>
      <c r="Y95" t="s">
        <v>121</v>
      </c>
      <c r="AE95" t="s">
        <v>121</v>
      </c>
      <c r="AF95" t="s">
        <v>121</v>
      </c>
      <c r="AK95" s="10">
        <v>2168.37</v>
      </c>
    </row>
    <row r="96" spans="1:37">
      <c r="A96" t="s">
        <v>306</v>
      </c>
      <c r="B96" t="s">
        <v>520</v>
      </c>
      <c r="C96" t="s">
        <v>332</v>
      </c>
      <c r="D96" t="s">
        <v>119</v>
      </c>
      <c r="E96" s="3">
        <v>6146187</v>
      </c>
      <c r="F96" s="5">
        <f t="shared" si="9"/>
        <v>15640.445687613921</v>
      </c>
      <c r="G96" s="5">
        <f t="shared" si="10"/>
        <v>10665.24</v>
      </c>
      <c r="H96" s="3">
        <f t="shared" si="11"/>
        <v>18422.95</v>
      </c>
      <c r="I96" s="3">
        <f t="shared" si="12"/>
        <v>5731.32</v>
      </c>
      <c r="J96" s="3">
        <f t="shared" si="13"/>
        <v>51062.391003327619</v>
      </c>
      <c r="K96" s="3">
        <f t="shared" si="14"/>
        <v>34819.51</v>
      </c>
      <c r="L96" s="9">
        <v>0.40543478420035056</v>
      </c>
      <c r="M96" s="6">
        <f t="shared" si="15"/>
        <v>0.59456521579964949</v>
      </c>
      <c r="N96" s="3">
        <v>249.19</v>
      </c>
      <c r="O96" s="3">
        <v>10416.049999999999</v>
      </c>
      <c r="R96" t="s">
        <v>121</v>
      </c>
      <c r="S96" t="s">
        <v>121</v>
      </c>
      <c r="T96" t="s">
        <v>121</v>
      </c>
      <c r="U96" t="s">
        <v>121</v>
      </c>
      <c r="V96" t="s">
        <v>121</v>
      </c>
      <c r="W96" s="3">
        <v>18422.95</v>
      </c>
      <c r="Y96" t="s">
        <v>121</v>
      </c>
      <c r="AE96" t="s">
        <v>121</v>
      </c>
      <c r="AF96" t="s">
        <v>121</v>
      </c>
      <c r="AK96" s="10">
        <v>5731.32</v>
      </c>
    </row>
    <row r="97" spans="1:37">
      <c r="A97" t="s">
        <v>307</v>
      </c>
      <c r="B97" t="s">
        <v>521</v>
      </c>
      <c r="C97" t="s">
        <v>332</v>
      </c>
      <c r="D97" t="s">
        <v>248</v>
      </c>
      <c r="E97" s="3">
        <v>67586</v>
      </c>
      <c r="F97" s="5">
        <f t="shared" si="9"/>
        <v>163.24421526339029</v>
      </c>
      <c r="G97" s="5">
        <f t="shared" si="10"/>
        <v>126.00999999999999</v>
      </c>
      <c r="H97" s="3">
        <f t="shared" si="11"/>
        <v>217.68</v>
      </c>
      <c r="I97" s="3">
        <f t="shared" si="12"/>
        <v>55.72</v>
      </c>
      <c r="J97" s="3">
        <f t="shared" si="13"/>
        <v>517.4301406106714</v>
      </c>
      <c r="K97" s="3">
        <f t="shared" si="14"/>
        <v>399.40999999999997</v>
      </c>
      <c r="L97" s="9">
        <v>0.43563755807415738</v>
      </c>
      <c r="M97" s="6">
        <f t="shared" si="15"/>
        <v>0.56436244192584262</v>
      </c>
      <c r="N97" s="3">
        <v>2.94</v>
      </c>
      <c r="O97" s="3">
        <v>123.07</v>
      </c>
      <c r="R97" t="s">
        <v>121</v>
      </c>
      <c r="S97" t="s">
        <v>121</v>
      </c>
      <c r="T97" t="s">
        <v>121</v>
      </c>
      <c r="U97" t="s">
        <v>121</v>
      </c>
      <c r="V97" t="s">
        <v>121</v>
      </c>
      <c r="W97" s="3">
        <v>217.68</v>
      </c>
      <c r="Y97" t="s">
        <v>121</v>
      </c>
      <c r="AE97" t="s">
        <v>121</v>
      </c>
      <c r="AF97">
        <v>55.72</v>
      </c>
    </row>
    <row r="98" spans="1:37">
      <c r="A98" t="s">
        <v>308</v>
      </c>
      <c r="B98" t="s">
        <v>522</v>
      </c>
      <c r="C98" t="s">
        <v>339</v>
      </c>
      <c r="D98" t="s">
        <v>206</v>
      </c>
      <c r="E98" s="3">
        <v>102613778</v>
      </c>
      <c r="F98" s="5">
        <f t="shared" si="9"/>
        <v>291908.67815047671</v>
      </c>
      <c r="G98" s="5">
        <f t="shared" si="10"/>
        <v>147278.28</v>
      </c>
      <c r="H98" s="3">
        <f t="shared" si="11"/>
        <v>299236.44</v>
      </c>
      <c r="I98" s="3">
        <f t="shared" si="12"/>
        <v>149480.57</v>
      </c>
      <c r="J98" s="3">
        <f t="shared" si="13"/>
        <v>1181275.31967246</v>
      </c>
      <c r="K98" s="3">
        <f t="shared" si="14"/>
        <v>595995.29</v>
      </c>
      <c r="L98" s="9">
        <v>0.33534301797171917</v>
      </c>
      <c r="M98" s="6">
        <f t="shared" si="15"/>
        <v>0.66465698202828083</v>
      </c>
      <c r="N98" s="3">
        <v>3441.08</v>
      </c>
      <c r="O98" s="3">
        <v>143837.20000000001</v>
      </c>
      <c r="R98" s="10">
        <v>20371.2</v>
      </c>
      <c r="S98" s="10">
        <v>122227.21</v>
      </c>
      <c r="T98" s="10">
        <v>6882.16</v>
      </c>
      <c r="U98">
        <v>344.11</v>
      </c>
      <c r="V98" s="10">
        <v>298892.33</v>
      </c>
      <c r="W98" s="3" t="s">
        <v>121</v>
      </c>
      <c r="Y98" t="s">
        <v>121</v>
      </c>
      <c r="AE98" t="s">
        <v>121</v>
      </c>
      <c r="AF98" t="s">
        <v>121</v>
      </c>
    </row>
    <row r="99" spans="1:37">
      <c r="A99" t="s">
        <v>309</v>
      </c>
      <c r="B99" t="s">
        <v>523</v>
      </c>
      <c r="C99" t="s">
        <v>339</v>
      </c>
      <c r="D99" t="s">
        <v>331</v>
      </c>
      <c r="E99" s="3">
        <v>6400161</v>
      </c>
      <c r="F99" s="5">
        <f t="shared" si="9"/>
        <v>21775.084751226266</v>
      </c>
      <c r="G99" s="5">
        <f t="shared" ref="G99:G115" si="16">SUM(N99+O99)</f>
        <v>5617.57</v>
      </c>
      <c r="H99" s="3">
        <f t="shared" si="11"/>
        <v>9703.7099999999991</v>
      </c>
      <c r="I99" s="3">
        <f t="shared" ref="I99:I115" si="17">SUM(P99:T99,X99:AK99)</f>
        <v>6079.06</v>
      </c>
      <c r="J99" s="3">
        <f t="shared" ref="J99:J115" si="18">SUM(M99)*((G99+H99+I99)/L99)</f>
        <v>82952.988072255015</v>
      </c>
      <c r="K99" s="3">
        <f t="shared" si="14"/>
        <v>21400.34</v>
      </c>
      <c r="L99" s="9">
        <v>0.20507577856244555</v>
      </c>
      <c r="M99" s="6">
        <f t="shared" si="15"/>
        <v>0.79492422143755448</v>
      </c>
      <c r="N99" s="3">
        <v>131.25</v>
      </c>
      <c r="O99" s="3">
        <v>5486.32</v>
      </c>
      <c r="R99" t="s">
        <v>121</v>
      </c>
      <c r="S99" t="s">
        <v>121</v>
      </c>
      <c r="T99" t="s">
        <v>121</v>
      </c>
      <c r="U99" t="s">
        <v>121</v>
      </c>
      <c r="V99" t="s">
        <v>121</v>
      </c>
      <c r="W99" s="3">
        <v>9703.7099999999991</v>
      </c>
      <c r="Y99" t="s">
        <v>121</v>
      </c>
      <c r="AE99" s="10">
        <v>6079.06</v>
      </c>
      <c r="AF99" t="s">
        <v>121</v>
      </c>
    </row>
    <row r="100" spans="1:37">
      <c r="A100" t="s">
        <v>310</v>
      </c>
      <c r="B100" t="s">
        <v>514</v>
      </c>
      <c r="C100" t="s">
        <v>271</v>
      </c>
      <c r="D100" t="s">
        <v>206</v>
      </c>
      <c r="E100" s="3">
        <v>99925426</v>
      </c>
      <c r="F100" s="5">
        <f t="shared" si="9"/>
        <v>285480.69893428427</v>
      </c>
      <c r="G100" s="5">
        <f t="shared" si="16"/>
        <v>142200.13</v>
      </c>
      <c r="H100" s="3">
        <f t="shared" si="11"/>
        <v>288918.76</v>
      </c>
      <c r="I100" s="3">
        <f t="shared" si="17"/>
        <v>144326.49</v>
      </c>
      <c r="J100" s="3">
        <f t="shared" si="18"/>
        <v>1155263.0034930687</v>
      </c>
      <c r="K100" s="3">
        <f t="shared" si="14"/>
        <v>575445.38</v>
      </c>
      <c r="L100" s="9">
        <v>0.33249124201882313</v>
      </c>
      <c r="M100" s="6">
        <f t="shared" si="15"/>
        <v>0.66750875798117693</v>
      </c>
      <c r="N100" s="3">
        <v>3322.43</v>
      </c>
      <c r="O100" s="3">
        <v>138877.70000000001</v>
      </c>
      <c r="R100" s="10">
        <v>19668.8</v>
      </c>
      <c r="S100" s="10">
        <v>118012.82</v>
      </c>
      <c r="T100" s="10">
        <v>6644.87</v>
      </c>
      <c r="U100">
        <v>332.24</v>
      </c>
      <c r="V100" s="10">
        <v>288586.52</v>
      </c>
      <c r="W100" s="3" t="s">
        <v>121</v>
      </c>
      <c r="Y100" t="s">
        <v>121</v>
      </c>
      <c r="AE100" t="s">
        <v>121</v>
      </c>
      <c r="AF100" t="s">
        <v>121</v>
      </c>
    </row>
    <row r="101" spans="1:37">
      <c r="A101" t="s">
        <v>311</v>
      </c>
      <c r="B101" t="s">
        <v>441</v>
      </c>
      <c r="C101" t="s">
        <v>340</v>
      </c>
      <c r="D101" t="s">
        <v>115</v>
      </c>
      <c r="E101" s="3">
        <v>2169357</v>
      </c>
      <c r="F101" s="5">
        <f t="shared" si="9"/>
        <v>6445.6407654910945</v>
      </c>
      <c r="G101" s="5">
        <f t="shared" si="16"/>
        <v>2839.2000000000003</v>
      </c>
      <c r="H101" s="3">
        <f t="shared" si="11"/>
        <v>5768.61</v>
      </c>
      <c r="I101" s="3">
        <f t="shared" si="17"/>
        <v>7045.4600000000009</v>
      </c>
      <c r="J101" s="3">
        <f t="shared" si="18"/>
        <v>35536.543824048596</v>
      </c>
      <c r="K101" s="3">
        <f t="shared" si="14"/>
        <v>15653.27</v>
      </c>
      <c r="L101" s="9">
        <v>0.30578876597996552</v>
      </c>
      <c r="M101" s="6">
        <f t="shared" si="15"/>
        <v>0.69421123402003448</v>
      </c>
      <c r="N101" s="3">
        <v>66.34</v>
      </c>
      <c r="O101" s="3">
        <v>2772.86</v>
      </c>
      <c r="R101">
        <v>392.71</v>
      </c>
      <c r="S101" s="10">
        <v>2356.27</v>
      </c>
      <c r="T101">
        <v>132.66999999999999</v>
      </c>
      <c r="U101">
        <v>6.63</v>
      </c>
      <c r="V101" s="10">
        <v>5761.98</v>
      </c>
      <c r="W101" s="3" t="s">
        <v>121</v>
      </c>
      <c r="Y101" t="s">
        <v>121</v>
      </c>
      <c r="AE101" t="s">
        <v>121</v>
      </c>
      <c r="AF101" t="s">
        <v>121</v>
      </c>
      <c r="AG101" s="10">
        <v>4163.8100000000004</v>
      </c>
    </row>
    <row r="102" spans="1:37">
      <c r="A102" t="s">
        <v>312</v>
      </c>
      <c r="B102" t="s">
        <v>524</v>
      </c>
      <c r="C102" t="s">
        <v>332</v>
      </c>
      <c r="D102" t="s">
        <v>119</v>
      </c>
      <c r="E102" s="3">
        <v>6307222</v>
      </c>
      <c r="F102" s="5">
        <f t="shared" si="9"/>
        <v>17254.94528205047</v>
      </c>
      <c r="G102" s="5">
        <f t="shared" si="16"/>
        <v>9739.9599999999991</v>
      </c>
      <c r="H102" s="3">
        <f t="shared" si="11"/>
        <v>16824.650000000001</v>
      </c>
      <c r="I102" s="3">
        <f t="shared" si="17"/>
        <v>5234.09</v>
      </c>
      <c r="J102" s="3">
        <f t="shared" si="18"/>
        <v>56333.375962564358</v>
      </c>
      <c r="K102" s="3">
        <f t="shared" si="14"/>
        <v>31798.7</v>
      </c>
      <c r="L102" s="9">
        <v>0.36080734117175517</v>
      </c>
      <c r="M102" s="6">
        <f t="shared" si="15"/>
        <v>0.63919265882824483</v>
      </c>
      <c r="N102" s="3">
        <v>227.57</v>
      </c>
      <c r="O102" s="3">
        <v>9512.39</v>
      </c>
      <c r="R102" t="s">
        <v>121</v>
      </c>
      <c r="S102" t="s">
        <v>121</v>
      </c>
      <c r="T102" t="s">
        <v>121</v>
      </c>
      <c r="U102" t="s">
        <v>121</v>
      </c>
      <c r="V102" t="s">
        <v>121</v>
      </c>
      <c r="W102" s="3">
        <v>16824.650000000001</v>
      </c>
      <c r="Y102" t="s">
        <v>121</v>
      </c>
      <c r="AE102" t="s">
        <v>121</v>
      </c>
      <c r="AF102" t="s">
        <v>121</v>
      </c>
      <c r="AK102" s="10">
        <v>5234.09</v>
      </c>
    </row>
    <row r="103" spans="1:37">
      <c r="A103" t="s">
        <v>313</v>
      </c>
      <c r="B103" t="s">
        <v>525</v>
      </c>
      <c r="C103" t="s">
        <v>341</v>
      </c>
      <c r="D103" t="s">
        <v>331</v>
      </c>
      <c r="E103" s="3">
        <v>19192099</v>
      </c>
      <c r="F103" s="5">
        <f t="shared" si="9"/>
        <v>57669.213784919222</v>
      </c>
      <c r="G103" s="5">
        <f t="shared" si="16"/>
        <v>24472.959999999999</v>
      </c>
      <c r="H103" s="3">
        <f t="shared" si="11"/>
        <v>42274.18</v>
      </c>
      <c r="I103" s="3">
        <f t="shared" si="17"/>
        <v>26483.41</v>
      </c>
      <c r="J103" s="3">
        <f t="shared" si="18"/>
        <v>219692.77599585833</v>
      </c>
      <c r="K103" s="3">
        <f t="shared" si="14"/>
        <v>93230.55</v>
      </c>
      <c r="L103" s="9">
        <v>0.29793416551258933</v>
      </c>
      <c r="M103" s="6">
        <f t="shared" si="15"/>
        <v>0.70206583448741067</v>
      </c>
      <c r="N103" s="3">
        <v>571.79999999999995</v>
      </c>
      <c r="O103" s="3">
        <v>23901.16</v>
      </c>
      <c r="R103" t="s">
        <v>121</v>
      </c>
      <c r="S103" t="s">
        <v>121</v>
      </c>
      <c r="T103" t="s">
        <v>121</v>
      </c>
      <c r="U103" t="s">
        <v>121</v>
      </c>
      <c r="V103" t="s">
        <v>121</v>
      </c>
      <c r="W103" s="3">
        <v>42274.18</v>
      </c>
      <c r="Y103" t="s">
        <v>121</v>
      </c>
      <c r="AE103" s="10">
        <v>26483.41</v>
      </c>
      <c r="AF103" t="s">
        <v>121</v>
      </c>
    </row>
    <row r="104" spans="1:37">
      <c r="A104" t="s">
        <v>314</v>
      </c>
      <c r="B104" t="s">
        <v>444</v>
      </c>
      <c r="C104" t="s">
        <v>342</v>
      </c>
      <c r="D104" t="s">
        <v>199</v>
      </c>
      <c r="E104" s="3">
        <v>908154</v>
      </c>
      <c r="F104" s="5">
        <f t="shared" si="9"/>
        <v>2865.2490117090133</v>
      </c>
      <c r="G104" s="5">
        <f t="shared" si="16"/>
        <v>1021.66</v>
      </c>
      <c r="H104" s="3">
        <f t="shared" si="11"/>
        <v>1764.8</v>
      </c>
      <c r="I104" s="3">
        <f t="shared" si="17"/>
        <v>416.3</v>
      </c>
      <c r="J104" s="3">
        <f t="shared" si="18"/>
        <v>8982.1515227582186</v>
      </c>
      <c r="K104" s="3">
        <f t="shared" si="14"/>
        <v>3202.76</v>
      </c>
      <c r="L104" s="9">
        <v>0.26284638948900735</v>
      </c>
      <c r="M104" s="6">
        <f t="shared" si="15"/>
        <v>0.7371536105109926</v>
      </c>
      <c r="N104" s="3">
        <v>23.87</v>
      </c>
      <c r="O104" s="3">
        <v>997.79</v>
      </c>
      <c r="R104" t="s">
        <v>121</v>
      </c>
      <c r="S104" t="s">
        <v>121</v>
      </c>
      <c r="T104" t="s">
        <v>121</v>
      </c>
      <c r="U104" t="s">
        <v>121</v>
      </c>
      <c r="V104" t="s">
        <v>121</v>
      </c>
      <c r="W104" s="3">
        <v>1764.8</v>
      </c>
      <c r="Y104">
        <v>416.3</v>
      </c>
      <c r="AE104" t="s">
        <v>121</v>
      </c>
      <c r="AF104" t="s">
        <v>121</v>
      </c>
    </row>
    <row r="105" spans="1:37">
      <c r="A105" t="s">
        <v>315</v>
      </c>
      <c r="B105" t="s">
        <v>505</v>
      </c>
      <c r="C105" t="s">
        <v>344</v>
      </c>
      <c r="D105" t="s">
        <v>248</v>
      </c>
      <c r="E105" s="3">
        <v>20682794</v>
      </c>
      <c r="F105" s="5">
        <f t="shared" si="9"/>
        <v>67287.444646599572</v>
      </c>
      <c r="G105" s="5">
        <f t="shared" si="16"/>
        <v>21234.899999999998</v>
      </c>
      <c r="H105" s="3">
        <f t="shared" si="11"/>
        <v>36680.81</v>
      </c>
      <c r="I105" s="3">
        <f t="shared" si="17"/>
        <v>9389</v>
      </c>
      <c r="J105" s="3">
        <f t="shared" si="18"/>
        <v>213269.75632475017</v>
      </c>
      <c r="K105" s="3">
        <f t="shared" si="14"/>
        <v>67304.709999999992</v>
      </c>
      <c r="L105" s="9">
        <v>0.23988180707113363</v>
      </c>
      <c r="M105" s="6">
        <f t="shared" si="15"/>
        <v>0.7601181929288664</v>
      </c>
      <c r="N105" s="3">
        <v>496.14</v>
      </c>
      <c r="O105" s="3">
        <v>20738.759999999998</v>
      </c>
      <c r="R105" t="s">
        <v>121</v>
      </c>
      <c r="S105" t="s">
        <v>121</v>
      </c>
      <c r="T105" t="s">
        <v>121</v>
      </c>
      <c r="U105" t="s">
        <v>121</v>
      </c>
      <c r="V105" t="s">
        <v>121</v>
      </c>
      <c r="W105" s="3">
        <v>36680.81</v>
      </c>
      <c r="Y105" t="s">
        <v>121</v>
      </c>
      <c r="AE105" t="s">
        <v>121</v>
      </c>
      <c r="AF105" s="10">
        <v>9389</v>
      </c>
    </row>
    <row r="106" spans="1:37">
      <c r="A106" t="s">
        <v>316</v>
      </c>
      <c r="B106" t="s">
        <v>526</v>
      </c>
      <c r="C106" t="s">
        <v>343</v>
      </c>
      <c r="D106" t="s">
        <v>199</v>
      </c>
      <c r="E106" s="3">
        <v>198532937</v>
      </c>
      <c r="F106" s="5">
        <f t="shared" si="9"/>
        <v>471033.61454118759</v>
      </c>
      <c r="G106" s="5">
        <f t="shared" si="16"/>
        <v>378687.37000000005</v>
      </c>
      <c r="H106" s="3">
        <f t="shared" si="11"/>
        <v>654138.18000000005</v>
      </c>
      <c r="I106" s="3">
        <f t="shared" si="17"/>
        <v>154306.25</v>
      </c>
      <c r="J106" s="3">
        <f t="shared" si="18"/>
        <v>1476624.3265276744</v>
      </c>
      <c r="K106" s="3">
        <f t="shared" si="14"/>
        <v>1187131.8</v>
      </c>
      <c r="L106" s="9">
        <v>0.44566084266410666</v>
      </c>
      <c r="M106" s="6">
        <f t="shared" si="15"/>
        <v>0.55433915733589334</v>
      </c>
      <c r="N106" s="3">
        <v>8847.84</v>
      </c>
      <c r="O106" s="3">
        <v>369839.53</v>
      </c>
      <c r="R106" t="s">
        <v>121</v>
      </c>
      <c r="S106" t="s">
        <v>121</v>
      </c>
      <c r="T106" t="s">
        <v>121</v>
      </c>
      <c r="U106" t="s">
        <v>121</v>
      </c>
      <c r="V106" t="s">
        <v>121</v>
      </c>
      <c r="W106" s="3">
        <v>654138.18000000005</v>
      </c>
      <c r="Y106" s="10">
        <v>154306.25</v>
      </c>
      <c r="AE106" t="s">
        <v>121</v>
      </c>
      <c r="AF106" t="s">
        <v>121</v>
      </c>
    </row>
    <row r="107" spans="1:37">
      <c r="A107" t="s">
        <v>317</v>
      </c>
      <c r="B107" t="s">
        <v>527</v>
      </c>
      <c r="C107" t="s">
        <v>330</v>
      </c>
      <c r="D107" t="s">
        <v>331</v>
      </c>
      <c r="E107" s="3">
        <v>11724769</v>
      </c>
      <c r="F107" s="5">
        <f t="shared" si="9"/>
        <v>27183.850098079398</v>
      </c>
      <c r="G107" s="5">
        <f t="shared" si="16"/>
        <v>22998.16</v>
      </c>
      <c r="H107" s="3">
        <f t="shared" si="11"/>
        <v>39726.639999999999</v>
      </c>
      <c r="I107" s="3">
        <f t="shared" si="17"/>
        <v>24887.45</v>
      </c>
      <c r="J107" s="3">
        <f t="shared" si="18"/>
        <v>103557.77465481832</v>
      </c>
      <c r="K107" s="3">
        <f t="shared" si="14"/>
        <v>87612.25</v>
      </c>
      <c r="L107" s="9">
        <v>0.45829491395523442</v>
      </c>
      <c r="M107" s="6">
        <f t="shared" si="15"/>
        <v>0.54170508604476564</v>
      </c>
      <c r="N107" s="3">
        <v>537.34</v>
      </c>
      <c r="O107" s="3">
        <v>22460.82</v>
      </c>
      <c r="R107" t="s">
        <v>121</v>
      </c>
      <c r="S107" t="s">
        <v>121</v>
      </c>
      <c r="T107" t="s">
        <v>121</v>
      </c>
      <c r="U107" t="s">
        <v>121</v>
      </c>
      <c r="V107" t="s">
        <v>121</v>
      </c>
      <c r="W107" s="3">
        <v>39726.639999999999</v>
      </c>
      <c r="Y107" t="s">
        <v>121</v>
      </c>
      <c r="AE107" s="10">
        <v>24887.45</v>
      </c>
      <c r="AF107" t="s">
        <v>121</v>
      </c>
    </row>
    <row r="108" spans="1:37">
      <c r="A108" t="s">
        <v>318</v>
      </c>
      <c r="B108" t="s">
        <v>514</v>
      </c>
      <c r="C108" t="s">
        <v>271</v>
      </c>
      <c r="D108" t="s">
        <v>206</v>
      </c>
      <c r="E108" s="3">
        <v>64337670</v>
      </c>
      <c r="F108" s="5">
        <f t="shared" si="9"/>
        <v>145409.62921166889</v>
      </c>
      <c r="G108" s="5">
        <f t="shared" si="16"/>
        <v>129955.61</v>
      </c>
      <c r="H108" s="3">
        <f t="shared" si="11"/>
        <v>264040.64</v>
      </c>
      <c r="I108" s="3">
        <f t="shared" si="17"/>
        <v>131898.87</v>
      </c>
      <c r="J108" s="3">
        <f t="shared" si="18"/>
        <v>588433.34584344691</v>
      </c>
      <c r="K108" s="3">
        <f t="shared" si="14"/>
        <v>525895.12</v>
      </c>
      <c r="L108" s="9">
        <v>0.47193905219135229</v>
      </c>
      <c r="M108" s="6">
        <f t="shared" si="15"/>
        <v>0.52806094780864776</v>
      </c>
      <c r="N108" s="3">
        <v>3036.35</v>
      </c>
      <c r="O108" s="3">
        <v>126919.26</v>
      </c>
      <c r="R108" s="10">
        <v>17975.169999999998</v>
      </c>
      <c r="S108" s="10">
        <v>107851.01</v>
      </c>
      <c r="T108" s="10">
        <v>6072.69</v>
      </c>
      <c r="U108">
        <v>303.63</v>
      </c>
      <c r="V108" s="10">
        <v>263737.01</v>
      </c>
      <c r="W108" s="3" t="s">
        <v>121</v>
      </c>
      <c r="Y108" t="s">
        <v>121</v>
      </c>
      <c r="AE108" t="s">
        <v>121</v>
      </c>
      <c r="AF108" t="s">
        <v>121</v>
      </c>
    </row>
    <row r="109" spans="1:37">
      <c r="A109" t="s">
        <v>319</v>
      </c>
      <c r="B109" t="s">
        <v>528</v>
      </c>
      <c r="C109" t="s">
        <v>344</v>
      </c>
      <c r="D109" t="s">
        <v>248</v>
      </c>
      <c r="E109" s="3">
        <v>102514209</v>
      </c>
      <c r="F109" s="5">
        <f t="shared" si="9"/>
        <v>362412.30417573068</v>
      </c>
      <c r="G109" s="5">
        <f t="shared" si="16"/>
        <v>76348.5</v>
      </c>
      <c r="H109" s="3">
        <f t="shared" si="11"/>
        <v>131883.12</v>
      </c>
      <c r="I109" s="3">
        <f t="shared" si="17"/>
        <v>33757.449999999997</v>
      </c>
      <c r="J109" s="3">
        <f t="shared" si="18"/>
        <v>1148677.6615656125</v>
      </c>
      <c r="K109" s="3">
        <f t="shared" si="14"/>
        <v>241989.07</v>
      </c>
      <c r="L109" s="9">
        <v>0.17400939024950191</v>
      </c>
      <c r="M109" s="6">
        <f t="shared" si="15"/>
        <v>0.82599060975049809</v>
      </c>
      <c r="N109" s="3">
        <v>1783.84</v>
      </c>
      <c r="O109" s="3">
        <v>74564.66</v>
      </c>
      <c r="R109" t="s">
        <v>121</v>
      </c>
      <c r="S109" t="s">
        <v>121</v>
      </c>
      <c r="T109" t="s">
        <v>121</v>
      </c>
      <c r="U109" t="s">
        <v>121</v>
      </c>
      <c r="V109" t="s">
        <v>121</v>
      </c>
      <c r="W109" s="3">
        <v>131883.12</v>
      </c>
      <c r="Y109" t="s">
        <v>121</v>
      </c>
      <c r="AE109" t="s">
        <v>121</v>
      </c>
      <c r="AF109" s="10">
        <v>33757.449999999997</v>
      </c>
    </row>
    <row r="110" spans="1:37">
      <c r="A110" t="s">
        <v>320</v>
      </c>
      <c r="B110" t="s">
        <v>529</v>
      </c>
      <c r="C110" t="s">
        <v>339</v>
      </c>
      <c r="D110" t="s">
        <v>206</v>
      </c>
      <c r="E110" s="3">
        <v>26494320</v>
      </c>
      <c r="F110" s="5">
        <f t="shared" si="9"/>
        <v>58499.350256325895</v>
      </c>
      <c r="G110" s="5">
        <f t="shared" si="16"/>
        <v>54896.36</v>
      </c>
      <c r="H110" s="3">
        <f t="shared" si="11"/>
        <v>111537.06999999999</v>
      </c>
      <c r="I110" s="3">
        <f t="shared" si="17"/>
        <v>55717.229999999996</v>
      </c>
      <c r="J110" s="3">
        <f t="shared" si="18"/>
        <v>236730.98305632587</v>
      </c>
      <c r="K110" s="3">
        <f t="shared" si="14"/>
        <v>222150.65999999997</v>
      </c>
      <c r="L110" s="9">
        <v>0.48411319860256841</v>
      </c>
      <c r="M110" s="6">
        <f t="shared" si="15"/>
        <v>0.51588680139743159</v>
      </c>
      <c r="N110" s="3">
        <v>1282.6300000000001</v>
      </c>
      <c r="O110" s="3">
        <v>53613.73</v>
      </c>
      <c r="R110" s="10">
        <v>7593.14</v>
      </c>
      <c r="S110" s="10">
        <v>45558.84</v>
      </c>
      <c r="T110" s="10">
        <v>2565.25</v>
      </c>
      <c r="U110">
        <v>128.26</v>
      </c>
      <c r="V110" s="10">
        <v>111408.81</v>
      </c>
      <c r="W110" s="3" t="s">
        <v>121</v>
      </c>
      <c r="Y110" t="s">
        <v>121</v>
      </c>
      <c r="AE110" t="s">
        <v>121</v>
      </c>
      <c r="AF110" t="s">
        <v>121</v>
      </c>
    </row>
    <row r="111" spans="1:37">
      <c r="A111" t="s">
        <v>321</v>
      </c>
      <c r="B111" t="s">
        <v>530</v>
      </c>
      <c r="C111" t="s">
        <v>345</v>
      </c>
      <c r="D111" t="s">
        <v>206</v>
      </c>
      <c r="E111" s="3">
        <v>6387931</v>
      </c>
      <c r="F111" s="5">
        <f t="shared" si="9"/>
        <v>13670.175719998269</v>
      </c>
      <c r="G111" s="5">
        <f t="shared" si="16"/>
        <v>13670.18</v>
      </c>
      <c r="H111" s="3">
        <f t="shared" si="11"/>
        <v>27774.73</v>
      </c>
      <c r="I111" s="3">
        <f t="shared" si="17"/>
        <v>13874.59</v>
      </c>
      <c r="J111" s="3">
        <f t="shared" si="18"/>
        <v>55319.482679997207</v>
      </c>
      <c r="K111" s="3">
        <f t="shared" si="14"/>
        <v>55319.5</v>
      </c>
      <c r="L111" s="9">
        <v>0.50000007827260506</v>
      </c>
      <c r="M111" s="6">
        <f t="shared" si="15"/>
        <v>0.49999992172739494</v>
      </c>
      <c r="N111" s="3">
        <v>319.39999999999998</v>
      </c>
      <c r="O111" s="3">
        <v>13350.78</v>
      </c>
      <c r="R111" s="10">
        <v>1890.83</v>
      </c>
      <c r="S111" s="10">
        <v>11344.97</v>
      </c>
      <c r="T111">
        <v>638.79</v>
      </c>
      <c r="U111">
        <v>31.94</v>
      </c>
      <c r="V111" s="10">
        <v>27742.79</v>
      </c>
      <c r="W111" s="3" t="s">
        <v>121</v>
      </c>
      <c r="Y111" t="s">
        <v>121</v>
      </c>
      <c r="AE111" t="s">
        <v>121</v>
      </c>
      <c r="AF111" t="s">
        <v>121</v>
      </c>
    </row>
    <row r="112" spans="1:37">
      <c r="A112" t="s">
        <v>322</v>
      </c>
      <c r="B112" t="s">
        <v>531</v>
      </c>
      <c r="C112" t="s">
        <v>346</v>
      </c>
      <c r="D112" t="s">
        <v>115</v>
      </c>
      <c r="E112" s="3">
        <v>62829730</v>
      </c>
      <c r="F112" s="5">
        <f t="shared" si="9"/>
        <v>134455.62</v>
      </c>
      <c r="G112" s="5">
        <f t="shared" si="16"/>
        <v>134455.62</v>
      </c>
      <c r="H112" s="3">
        <f t="shared" si="11"/>
        <v>232256.38</v>
      </c>
      <c r="I112" s="3">
        <f t="shared" si="17"/>
        <v>197184.82</v>
      </c>
      <c r="J112" s="3">
        <f t="shared" si="18"/>
        <v>563896.82000000007</v>
      </c>
      <c r="K112" s="3">
        <f t="shared" si="14"/>
        <v>563896.82000000007</v>
      </c>
      <c r="L112" s="9">
        <v>0.5</v>
      </c>
      <c r="M112" s="6">
        <f t="shared" si="15"/>
        <v>0.5</v>
      </c>
      <c r="N112" s="3">
        <v>3141.49</v>
      </c>
      <c r="O112" s="3">
        <v>131314.13</v>
      </c>
      <c r="R112" t="s">
        <v>121</v>
      </c>
      <c r="S112" t="s">
        <v>121</v>
      </c>
      <c r="T112" t="s">
        <v>121</v>
      </c>
      <c r="U112" t="s">
        <v>121</v>
      </c>
      <c r="V112" t="s">
        <v>121</v>
      </c>
      <c r="W112" s="3">
        <v>232256.38</v>
      </c>
      <c r="Y112" t="s">
        <v>121</v>
      </c>
      <c r="AE112" t="s">
        <v>121</v>
      </c>
      <c r="AF112" t="s">
        <v>121</v>
      </c>
      <c r="AG112" s="10">
        <v>197184.82</v>
      </c>
    </row>
    <row r="113" spans="1:37">
      <c r="A113" t="s">
        <v>323</v>
      </c>
      <c r="B113" t="s">
        <v>532</v>
      </c>
      <c r="C113" t="s">
        <v>347</v>
      </c>
      <c r="D113" t="s">
        <v>119</v>
      </c>
      <c r="E113" s="3">
        <v>15094293</v>
      </c>
      <c r="F113" s="5">
        <f t="shared" si="9"/>
        <v>32301.775720001213</v>
      </c>
      <c r="G113" s="5">
        <f t="shared" si="16"/>
        <v>32301.78</v>
      </c>
      <c r="H113" s="3">
        <f t="shared" si="11"/>
        <v>55797.56</v>
      </c>
      <c r="I113" s="3">
        <f t="shared" si="17"/>
        <v>17358.439999999999</v>
      </c>
      <c r="J113" s="3">
        <f t="shared" si="18"/>
        <v>105457.7660268019</v>
      </c>
      <c r="K113" s="3">
        <f t="shared" si="14"/>
        <v>105457.78</v>
      </c>
      <c r="L113" s="9">
        <v>0.50000003312510233</v>
      </c>
      <c r="M113" s="6">
        <f t="shared" si="15"/>
        <v>0.49999996687489767</v>
      </c>
      <c r="N113" s="3">
        <v>754.71</v>
      </c>
      <c r="O113" s="3">
        <v>31547.07</v>
      </c>
      <c r="R113" t="s">
        <v>121</v>
      </c>
      <c r="S113" t="s">
        <v>121</v>
      </c>
      <c r="T113" t="s">
        <v>121</v>
      </c>
      <c r="U113" t="s">
        <v>121</v>
      </c>
      <c r="V113" t="s">
        <v>121</v>
      </c>
      <c r="W113" s="3">
        <v>55797.56</v>
      </c>
      <c r="Y113" t="s">
        <v>121</v>
      </c>
      <c r="AE113" t="s">
        <v>121</v>
      </c>
      <c r="AF113" t="s">
        <v>121</v>
      </c>
      <c r="AK113" s="10">
        <v>17358.439999999999</v>
      </c>
    </row>
    <row r="114" spans="1:37">
      <c r="A114" t="s">
        <v>324</v>
      </c>
      <c r="B114" t="s">
        <v>533</v>
      </c>
      <c r="C114" t="s">
        <v>347</v>
      </c>
      <c r="D114" t="s">
        <v>206</v>
      </c>
      <c r="E114" s="3">
        <v>1014568</v>
      </c>
      <c r="F114" s="5">
        <f t="shared" si="9"/>
        <v>2299.9534212357189</v>
      </c>
      <c r="G114" s="5">
        <f t="shared" si="16"/>
        <v>2042.4</v>
      </c>
      <c r="H114" s="3">
        <f t="shared" si="11"/>
        <v>4149.6900000000005</v>
      </c>
      <c r="I114" s="3">
        <f t="shared" si="17"/>
        <v>2072.94</v>
      </c>
      <c r="J114" s="3">
        <f t="shared" si="18"/>
        <v>9307.2777247923277</v>
      </c>
      <c r="K114" s="3">
        <f t="shared" si="14"/>
        <v>8265.0300000000007</v>
      </c>
      <c r="L114" s="9">
        <v>0.47034402819722287</v>
      </c>
      <c r="M114" s="6">
        <f t="shared" si="15"/>
        <v>0.52965597180277713</v>
      </c>
      <c r="N114" s="3">
        <v>47.72</v>
      </c>
      <c r="O114" s="3">
        <v>1994.68</v>
      </c>
      <c r="R114">
        <v>282.5</v>
      </c>
      <c r="S114" s="10">
        <v>1695</v>
      </c>
      <c r="T114">
        <v>95.44</v>
      </c>
      <c r="U114">
        <v>4.7699999999999996</v>
      </c>
      <c r="V114" s="10">
        <v>4144.92</v>
      </c>
      <c r="W114" s="3" t="s">
        <v>121</v>
      </c>
      <c r="Y114" t="s">
        <v>121</v>
      </c>
      <c r="AE114" t="s">
        <v>121</v>
      </c>
      <c r="AF114" t="s">
        <v>121</v>
      </c>
    </row>
    <row r="115" spans="1:37">
      <c r="A115" t="s">
        <v>325</v>
      </c>
      <c r="B115" t="s">
        <v>534</v>
      </c>
      <c r="C115" t="s">
        <v>336</v>
      </c>
      <c r="D115" t="s">
        <v>119</v>
      </c>
      <c r="E115" s="3">
        <v>34012650</v>
      </c>
      <c r="F115" s="5">
        <f t="shared" si="9"/>
        <v>61049.342344453085</v>
      </c>
      <c r="G115" s="5">
        <f t="shared" si="16"/>
        <v>84524.800000000003</v>
      </c>
      <c r="H115" s="3">
        <f t="shared" si="11"/>
        <v>146006.72</v>
      </c>
      <c r="I115" s="3">
        <f t="shared" si="17"/>
        <v>45422.21</v>
      </c>
      <c r="J115" s="3">
        <f t="shared" si="18"/>
        <v>199311.84379021038</v>
      </c>
      <c r="K115" s="3">
        <f t="shared" si="14"/>
        <v>275953.73000000004</v>
      </c>
      <c r="L115" s="9">
        <v>0.5806305889132426</v>
      </c>
      <c r="M115" s="6">
        <f t="shared" si="15"/>
        <v>0.4193694110867574</v>
      </c>
      <c r="N115" s="3">
        <v>1974.88</v>
      </c>
      <c r="O115" s="3">
        <v>82549.919999999998</v>
      </c>
      <c r="R115" t="s">
        <v>121</v>
      </c>
      <c r="S115" t="s">
        <v>121</v>
      </c>
      <c r="T115" t="s">
        <v>121</v>
      </c>
      <c r="U115" t="s">
        <v>121</v>
      </c>
      <c r="V115" t="s">
        <v>121</v>
      </c>
      <c r="W115" s="3">
        <v>146006.72</v>
      </c>
      <c r="Y115" t="s">
        <v>121</v>
      </c>
      <c r="AE115" t="s">
        <v>121</v>
      </c>
      <c r="AF115" t="s">
        <v>121</v>
      </c>
      <c r="AK115" s="10">
        <v>45422.21</v>
      </c>
    </row>
    <row r="116" spans="1:37">
      <c r="E116" s="3"/>
      <c r="F116" s="5"/>
      <c r="G116" s="5"/>
      <c r="I116" s="7"/>
      <c r="J116" s="7"/>
      <c r="K116" s="7"/>
      <c r="M116" s="6"/>
      <c r="N116" s="3"/>
      <c r="O116" s="3"/>
      <c r="R116" s="10"/>
      <c r="S116" s="10"/>
      <c r="T116" s="10"/>
      <c r="U116" s="10"/>
      <c r="V116" s="10"/>
      <c r="W116" s="3"/>
      <c r="Y116" s="10"/>
      <c r="AE116" s="10">
        <v>58335.07</v>
      </c>
      <c r="AF116" s="10">
        <v>44349.64</v>
      </c>
      <c r="AG116" s="10">
        <v>213963.49</v>
      </c>
      <c r="AI116" s="10">
        <v>16028.17</v>
      </c>
      <c r="AK116" s="10">
        <v>97413.57</v>
      </c>
    </row>
    <row r="117" spans="1:37">
      <c r="A117" t="s">
        <v>223</v>
      </c>
      <c r="E117" s="3">
        <f t="shared" ref="E117:K117" si="19">SUM(E2:E115)</f>
        <v>4757728378</v>
      </c>
      <c r="F117" s="3">
        <f t="shared" si="19"/>
        <v>14681092.010583593</v>
      </c>
      <c r="G117" s="3">
        <f t="shared" si="19"/>
        <v>5682009.3000000026</v>
      </c>
      <c r="H117" s="3">
        <f t="shared" si="19"/>
        <v>10843389.990000004</v>
      </c>
      <c r="I117" s="3">
        <f t="shared" si="19"/>
        <v>6088574.7800000031</v>
      </c>
      <c r="J117" s="3">
        <f t="shared" si="19"/>
        <v>60429766.82222151</v>
      </c>
      <c r="K117" s="3">
        <f t="shared" si="19"/>
        <v>22613974.070000015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topLeftCell="D1" workbookViewId="0">
      <selection activeCell="J7" sqref="J7:K7"/>
    </sheetView>
  </sheetViews>
  <sheetFormatPr baseColWidth="10" defaultColWidth="8.83203125" defaultRowHeight="14" x14ac:dyDescent="0"/>
  <cols>
    <col min="1" max="1" width="18.5" bestFit="1" customWidth="1"/>
    <col min="2" max="2" width="18.5" customWidth="1"/>
    <col min="3" max="3" width="25.33203125" bestFit="1" customWidth="1"/>
    <col min="4" max="4" width="11.1640625" bestFit="1" customWidth="1"/>
    <col min="5" max="5" width="15.83203125" bestFit="1" customWidth="1"/>
    <col min="6" max="6" width="16.83203125" bestFit="1" customWidth="1"/>
    <col min="7" max="7" width="19.33203125" bestFit="1" customWidth="1"/>
    <col min="8" max="8" width="18.83203125" bestFit="1" customWidth="1"/>
    <col min="9" max="9" width="20.33203125" bestFit="1" customWidth="1"/>
    <col min="10" max="11" width="20.33203125" customWidth="1"/>
    <col min="12" max="12" width="18" bestFit="1" customWidth="1"/>
    <col min="13" max="13" width="19.33203125" customWidth="1"/>
  </cols>
  <sheetData>
    <row r="1" spans="1:21">
      <c r="A1" s="1" t="s">
        <v>96</v>
      </c>
      <c r="B1" s="1" t="s">
        <v>411</v>
      </c>
      <c r="C1" s="1" t="s">
        <v>1</v>
      </c>
      <c r="D1" s="1" t="s">
        <v>52</v>
      </c>
      <c r="E1" s="1" t="s">
        <v>285</v>
      </c>
      <c r="F1" s="1" t="s">
        <v>62</v>
      </c>
      <c r="G1" s="1" t="s">
        <v>61</v>
      </c>
      <c r="H1" s="1" t="s">
        <v>191</v>
      </c>
      <c r="I1" s="1" t="s">
        <v>192</v>
      </c>
      <c r="J1" s="1" t="s">
        <v>328</v>
      </c>
      <c r="K1" s="1" t="s">
        <v>333</v>
      </c>
      <c r="L1" s="1" t="s">
        <v>190</v>
      </c>
      <c r="M1" s="1">
        <v>2016</v>
      </c>
      <c r="N1" s="1" t="s">
        <v>98</v>
      </c>
      <c r="O1" s="1" t="s">
        <v>98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108</v>
      </c>
    </row>
    <row r="2" spans="1:21">
      <c r="A2" t="s">
        <v>281</v>
      </c>
      <c r="B2" t="s">
        <v>544</v>
      </c>
      <c r="C2" t="s">
        <v>548</v>
      </c>
      <c r="D2" t="s">
        <v>206</v>
      </c>
      <c r="E2" s="5">
        <v>60000000</v>
      </c>
      <c r="F2" s="5">
        <f>SUM((G2*(1-L2))/(L2))</f>
        <v>141240.00000000003</v>
      </c>
      <c r="G2" s="3">
        <f>SUM(N2:O2)</f>
        <v>115560</v>
      </c>
      <c r="H2" s="5">
        <f>SUM(S2:T2)</f>
        <v>234792</v>
      </c>
      <c r="I2" s="5">
        <f>SUM(P2:R2,U2)</f>
        <v>117288</v>
      </c>
      <c r="J2" s="5">
        <f>SUM(M2)*((K2)/(L2))</f>
        <v>571560.00000000012</v>
      </c>
      <c r="K2" s="13">
        <f>SUM(G2:I2)</f>
        <v>467640</v>
      </c>
      <c r="L2" s="6">
        <f>SUM(1-M2)</f>
        <v>0.44999999999999996</v>
      </c>
      <c r="M2" s="6">
        <v>0.55000000000000004</v>
      </c>
      <c r="N2" s="7">
        <v>2700</v>
      </c>
      <c r="O2" s="7">
        <v>112860</v>
      </c>
      <c r="P2" s="7">
        <v>15984</v>
      </c>
      <c r="Q2" s="7">
        <v>95904</v>
      </c>
      <c r="R2" s="7">
        <v>5400</v>
      </c>
      <c r="S2">
        <v>270</v>
      </c>
      <c r="T2" s="7">
        <v>234522</v>
      </c>
      <c r="U2" t="s">
        <v>121</v>
      </c>
    </row>
    <row r="3" spans="1:21">
      <c r="A3" t="s">
        <v>282</v>
      </c>
      <c r="B3" t="s">
        <v>545</v>
      </c>
      <c r="C3" t="s">
        <v>549</v>
      </c>
      <c r="D3" t="s">
        <v>206</v>
      </c>
      <c r="E3" s="5">
        <v>79232100</v>
      </c>
      <c r="F3" s="5">
        <f t="shared" ref="F3:F5" si="0">SUM((G3*(1-L3))/(L3))</f>
        <v>203467.5</v>
      </c>
      <c r="G3" s="3">
        <f t="shared" ref="G3:G5" si="1">SUM(N3:O3)</f>
        <v>135645</v>
      </c>
      <c r="H3" s="5">
        <f t="shared" ref="H3:H5" si="2">SUM(S3:T3)</f>
        <v>275601</v>
      </c>
      <c r="I3" s="5">
        <f t="shared" ref="I3:I5" si="3">SUM(P3:R3,U3)</f>
        <v>137674</v>
      </c>
      <c r="J3" s="5">
        <f t="shared" ref="J3:J5" si="4">SUM(M3)*((K3)/(L3))</f>
        <v>823380</v>
      </c>
      <c r="K3" s="13">
        <f t="shared" ref="K3:K5" si="5">SUM(G3:I3)</f>
        <v>548920</v>
      </c>
      <c r="L3" s="6">
        <f t="shared" ref="L3:L5" si="6">SUM(1-M3)</f>
        <v>0.4</v>
      </c>
      <c r="M3" s="6">
        <v>0.6</v>
      </c>
      <c r="N3" s="7">
        <v>3169</v>
      </c>
      <c r="O3" s="7">
        <v>132476</v>
      </c>
      <c r="P3" s="7">
        <v>18762</v>
      </c>
      <c r="Q3" s="7">
        <v>112573</v>
      </c>
      <c r="R3" s="7">
        <v>6339</v>
      </c>
      <c r="S3">
        <v>317</v>
      </c>
      <c r="T3" s="7">
        <v>275284</v>
      </c>
      <c r="U3" t="s">
        <v>121</v>
      </c>
    </row>
    <row r="4" spans="1:21">
      <c r="A4" t="s">
        <v>283</v>
      </c>
      <c r="B4" t="s">
        <v>546</v>
      </c>
      <c r="C4" t="s">
        <v>288</v>
      </c>
      <c r="D4" t="s">
        <v>206</v>
      </c>
      <c r="E4" s="5">
        <v>40467775</v>
      </c>
      <c r="F4" s="5">
        <f t="shared" si="0"/>
        <v>112580</v>
      </c>
      <c r="G4" s="3">
        <f t="shared" si="1"/>
        <v>60620</v>
      </c>
      <c r="H4" s="5">
        <f t="shared" si="2"/>
        <v>123168</v>
      </c>
      <c r="I4" s="5">
        <f t="shared" si="3"/>
        <v>89855</v>
      </c>
      <c r="J4" s="5">
        <f t="shared" si="4"/>
        <v>508194.14285714296</v>
      </c>
      <c r="K4" s="13">
        <f t="shared" si="5"/>
        <v>273643</v>
      </c>
      <c r="L4" s="6">
        <f t="shared" si="6"/>
        <v>0.35</v>
      </c>
      <c r="M4" s="6">
        <v>0.65</v>
      </c>
      <c r="N4" s="7">
        <v>1416</v>
      </c>
      <c r="O4" s="7">
        <v>59204</v>
      </c>
      <c r="P4" s="7">
        <v>8385</v>
      </c>
      <c r="Q4" s="7">
        <v>50310</v>
      </c>
      <c r="R4" s="7">
        <v>2833</v>
      </c>
      <c r="S4">
        <v>142</v>
      </c>
      <c r="T4" s="7">
        <v>123026</v>
      </c>
      <c r="U4" s="7">
        <v>28327</v>
      </c>
    </row>
    <row r="5" spans="1:21">
      <c r="A5" t="s">
        <v>284</v>
      </c>
      <c r="B5" t="s">
        <v>547</v>
      </c>
      <c r="C5" t="s">
        <v>550</v>
      </c>
      <c r="D5" t="s">
        <v>206</v>
      </c>
      <c r="E5" s="5">
        <v>56822400</v>
      </c>
      <c r="F5" s="5">
        <f t="shared" si="0"/>
        <v>194560.00000000003</v>
      </c>
      <c r="G5" s="3">
        <f t="shared" si="1"/>
        <v>48640</v>
      </c>
      <c r="H5" s="5">
        <f t="shared" si="2"/>
        <v>98826</v>
      </c>
      <c r="I5" s="5">
        <f t="shared" si="3"/>
        <v>49368</v>
      </c>
      <c r="J5" s="5">
        <f t="shared" si="4"/>
        <v>787336.00000000023</v>
      </c>
      <c r="K5" s="13">
        <f t="shared" si="5"/>
        <v>196834</v>
      </c>
      <c r="L5" s="6">
        <f t="shared" si="6"/>
        <v>0.19999999999999996</v>
      </c>
      <c r="M5" s="6">
        <v>0.8</v>
      </c>
      <c r="N5" s="7">
        <v>1136</v>
      </c>
      <c r="O5" s="7">
        <v>47504</v>
      </c>
      <c r="P5" s="7">
        <v>6728</v>
      </c>
      <c r="Q5" s="7">
        <v>40367</v>
      </c>
      <c r="R5" s="7">
        <v>2273</v>
      </c>
      <c r="S5">
        <v>114</v>
      </c>
      <c r="T5" s="7">
        <v>98712</v>
      </c>
      <c r="U5" t="s">
        <v>121</v>
      </c>
    </row>
    <row r="6" spans="1:21">
      <c r="A6" s="9"/>
      <c r="B6" s="9"/>
      <c r="C6" s="9"/>
      <c r="D6" s="9"/>
    </row>
    <row r="7" spans="1:21">
      <c r="A7" s="9" t="s">
        <v>223</v>
      </c>
      <c r="B7" s="9"/>
      <c r="C7" s="9"/>
      <c r="D7" s="9"/>
      <c r="E7" s="5">
        <f>SUM(E2:E5)</f>
        <v>236522275</v>
      </c>
      <c r="F7" s="5">
        <f t="shared" ref="F7:K7" si="7">SUM(F2:F5)</f>
        <v>651847.5</v>
      </c>
      <c r="G7" s="5">
        <f t="shared" si="7"/>
        <v>360465</v>
      </c>
      <c r="H7" s="5">
        <f t="shared" si="7"/>
        <v>732387</v>
      </c>
      <c r="I7" s="5">
        <f t="shared" si="7"/>
        <v>394185</v>
      </c>
      <c r="J7" s="5">
        <f t="shared" si="7"/>
        <v>2690470.1428571432</v>
      </c>
      <c r="K7" s="5">
        <f t="shared" si="7"/>
        <v>1487037</v>
      </c>
    </row>
    <row r="8" spans="1:21">
      <c r="A8" s="9"/>
      <c r="B8" s="9"/>
      <c r="C8" s="9"/>
      <c r="D8" s="9"/>
    </row>
    <row r="9" spans="1:21">
      <c r="A9" s="9"/>
      <c r="B9" s="9"/>
      <c r="C9" s="9"/>
      <c r="D9" s="9"/>
    </row>
    <row r="10" spans="1:21">
      <c r="A10" s="9"/>
      <c r="B10" s="9"/>
      <c r="C10" s="9"/>
      <c r="D10" s="9"/>
    </row>
    <row r="11" spans="1:21">
      <c r="A11" s="9"/>
      <c r="B11" s="9"/>
      <c r="C11" s="9"/>
      <c r="D11" s="9"/>
    </row>
    <row r="12" spans="1:21">
      <c r="A12" s="9"/>
      <c r="B12" s="9"/>
      <c r="C12" s="9"/>
      <c r="D12" s="9"/>
    </row>
    <row r="13" spans="1:21">
      <c r="A13" s="9"/>
      <c r="B13" s="9"/>
      <c r="C13" s="9"/>
      <c r="D13" s="9"/>
    </row>
    <row r="14" spans="1:21">
      <c r="A14" s="9"/>
      <c r="B14" s="9"/>
      <c r="C14" s="9"/>
      <c r="D14" s="9"/>
    </row>
    <row r="15" spans="1:21">
      <c r="A15" s="9"/>
      <c r="B15" s="9"/>
      <c r="C15" s="9"/>
      <c r="D15" s="9"/>
    </row>
    <row r="16" spans="1:21">
      <c r="A16" s="9"/>
      <c r="B16" s="9"/>
      <c r="C16" s="9"/>
      <c r="D16" s="9"/>
    </row>
    <row r="17" spans="1:4">
      <c r="A17" s="9"/>
      <c r="B17" s="9"/>
      <c r="C17" s="9"/>
      <c r="D17" s="9"/>
    </row>
    <row r="18" spans="1:4">
      <c r="A18" s="9"/>
      <c r="B18" s="9"/>
      <c r="C18" s="9"/>
      <c r="D18" s="9"/>
    </row>
    <row r="19" spans="1:4">
      <c r="A19" s="9"/>
      <c r="B19" s="9"/>
      <c r="C19" s="9"/>
      <c r="D19" s="9"/>
    </row>
    <row r="20" spans="1:4">
      <c r="A20" s="9"/>
      <c r="B20" s="9"/>
      <c r="C20" s="9"/>
      <c r="D20" s="9"/>
    </row>
    <row r="21" spans="1:4">
      <c r="A21" s="9"/>
      <c r="B21" s="9"/>
      <c r="C21" s="9"/>
      <c r="D21" s="9"/>
    </row>
    <row r="22" spans="1:4">
      <c r="A22" s="9"/>
      <c r="B22" s="9"/>
      <c r="C22" s="9"/>
      <c r="D22" s="9"/>
    </row>
    <row r="23" spans="1:4">
      <c r="A23" s="9"/>
      <c r="B23" s="9"/>
      <c r="C23" s="9"/>
      <c r="D23" s="9"/>
    </row>
    <row r="24" spans="1:4">
      <c r="A24" s="9"/>
      <c r="B24" s="9"/>
      <c r="C24" s="9"/>
      <c r="D24" s="9"/>
    </row>
    <row r="25" spans="1:4">
      <c r="A25" s="9"/>
      <c r="B25" s="9"/>
      <c r="C25" s="9"/>
      <c r="D25" s="9"/>
    </row>
    <row r="26" spans="1:4">
      <c r="A26" s="9"/>
      <c r="B26" s="9"/>
      <c r="C26" s="9"/>
      <c r="D26" s="9"/>
    </row>
    <row r="27" spans="1:4">
      <c r="A27" s="9"/>
      <c r="B27" s="9"/>
      <c r="C27" s="9"/>
      <c r="D27" s="9"/>
    </row>
    <row r="28" spans="1:4">
      <c r="A28" s="9"/>
      <c r="B28" s="9"/>
      <c r="C28" s="9"/>
      <c r="D28" s="9"/>
    </row>
    <row r="29" spans="1:4">
      <c r="A29" s="9"/>
      <c r="B29" s="9"/>
      <c r="C29" s="9"/>
      <c r="D29" s="9"/>
    </row>
    <row r="30" spans="1:4">
      <c r="A30" s="9"/>
      <c r="B30" s="9"/>
      <c r="C30" s="9"/>
      <c r="D30" s="9"/>
    </row>
    <row r="31" spans="1:4">
      <c r="A31" s="9"/>
      <c r="B31" s="9"/>
      <c r="C31" s="9"/>
      <c r="D31" s="9"/>
    </row>
    <row r="32" spans="1:4">
      <c r="A32" s="9"/>
      <c r="B32" s="9"/>
      <c r="C32" s="9"/>
      <c r="D32" s="9"/>
    </row>
    <row r="33" spans="1:4">
      <c r="A33" s="9"/>
      <c r="B33" s="9"/>
      <c r="C33" s="9"/>
      <c r="D33" s="9"/>
    </row>
    <row r="34" spans="1:4">
      <c r="A34" s="9"/>
      <c r="B34" s="9"/>
      <c r="C34" s="9"/>
      <c r="D34" s="9"/>
    </row>
    <row r="35" spans="1:4">
      <c r="A35" s="9"/>
      <c r="B35" s="9"/>
      <c r="C35" s="9"/>
      <c r="D35" s="9"/>
    </row>
    <row r="36" spans="1:4">
      <c r="A36" s="9"/>
      <c r="B36" s="9"/>
      <c r="C36" s="9"/>
      <c r="D36" s="9"/>
    </row>
    <row r="37" spans="1:4">
      <c r="A37" s="9"/>
      <c r="B37" s="9"/>
      <c r="C37" s="9"/>
      <c r="D37" s="9"/>
    </row>
    <row r="38" spans="1:4">
      <c r="A38" s="9"/>
      <c r="B38" s="9"/>
      <c r="C38" s="9"/>
      <c r="D38" s="9"/>
    </row>
    <row r="39" spans="1:4">
      <c r="A39" s="9"/>
      <c r="B39" s="9"/>
      <c r="C39" s="9"/>
      <c r="D39" s="9"/>
    </row>
    <row r="40" spans="1:4">
      <c r="A40" s="9"/>
      <c r="B40" s="9"/>
      <c r="C40" s="9"/>
      <c r="D40" s="9"/>
    </row>
    <row r="41" spans="1:4">
      <c r="A41" s="9"/>
      <c r="B41" s="9"/>
      <c r="C41" s="9"/>
      <c r="D41" s="9"/>
    </row>
    <row r="42" spans="1:4">
      <c r="A42" s="9"/>
      <c r="B42" s="9"/>
      <c r="C42" s="9"/>
      <c r="D42" s="9"/>
    </row>
    <row r="43" spans="1:4">
      <c r="A43" s="9"/>
      <c r="B43" s="9"/>
      <c r="C43" s="9"/>
      <c r="D43" s="9"/>
    </row>
    <row r="44" spans="1:4">
      <c r="A44" s="9"/>
      <c r="B44" s="9"/>
      <c r="C44" s="9"/>
      <c r="D44" s="9"/>
    </row>
    <row r="45" spans="1:4">
      <c r="A45" s="9"/>
      <c r="B45" s="9"/>
      <c r="C45" s="9"/>
      <c r="D45" s="9"/>
    </row>
    <row r="46" spans="1:4">
      <c r="A46" s="9"/>
      <c r="B46" s="9"/>
      <c r="C46" s="9"/>
      <c r="D46" s="9"/>
    </row>
    <row r="47" spans="1:4">
      <c r="A47" s="9"/>
      <c r="B47" s="9"/>
      <c r="C47" s="9"/>
      <c r="D47" s="9"/>
    </row>
    <row r="48" spans="1:4">
      <c r="A48" s="9"/>
      <c r="B48" s="9"/>
      <c r="C48" s="9"/>
      <c r="D48" s="9"/>
    </row>
    <row r="49" spans="1:4">
      <c r="A49" s="9"/>
      <c r="B49" s="9"/>
      <c r="C49" s="9"/>
      <c r="D49" s="9"/>
    </row>
    <row r="50" spans="1:4">
      <c r="A50" s="9"/>
      <c r="B50" s="9"/>
      <c r="C50" s="9"/>
      <c r="D50" s="9"/>
    </row>
    <row r="51" spans="1:4">
      <c r="A51" s="9"/>
      <c r="B51" s="9"/>
      <c r="C51" s="9"/>
      <c r="D51" s="9"/>
    </row>
    <row r="52" spans="1:4">
      <c r="A52" s="9"/>
      <c r="B52" s="9"/>
      <c r="C52" s="9"/>
      <c r="D52" s="9"/>
    </row>
    <row r="53" spans="1:4">
      <c r="A53" s="9"/>
      <c r="B53" s="9"/>
      <c r="C53" s="9"/>
      <c r="D53" s="9"/>
    </row>
    <row r="54" spans="1:4">
      <c r="A54" s="9"/>
      <c r="B54" s="9"/>
      <c r="C54" s="9"/>
      <c r="D54" s="9"/>
    </row>
    <row r="55" spans="1:4">
      <c r="A55" s="9"/>
      <c r="B55" s="9"/>
      <c r="C55" s="9"/>
      <c r="D55" s="9"/>
    </row>
    <row r="56" spans="1:4">
      <c r="A56" s="9"/>
      <c r="B56" s="9"/>
      <c r="C56" s="9"/>
      <c r="D56" s="9"/>
    </row>
    <row r="57" spans="1:4">
      <c r="A57" s="9"/>
      <c r="B57" s="9"/>
      <c r="C57" s="9"/>
      <c r="D57" s="9"/>
    </row>
    <row r="58" spans="1:4">
      <c r="A58" s="9"/>
      <c r="B58" s="9"/>
      <c r="C58" s="9"/>
      <c r="D58" s="9"/>
    </row>
    <row r="59" spans="1:4">
      <c r="A59" s="9"/>
      <c r="B59" s="9"/>
      <c r="C59" s="9"/>
      <c r="D59" s="9"/>
    </row>
    <row r="60" spans="1:4">
      <c r="A60" s="9"/>
      <c r="B60" s="9"/>
      <c r="C60" s="9"/>
      <c r="D60" s="9"/>
    </row>
    <row r="61" spans="1:4">
      <c r="A61" s="9"/>
      <c r="B61" s="9"/>
      <c r="C61" s="9"/>
      <c r="D61" s="9"/>
    </row>
    <row r="62" spans="1:4">
      <c r="A62" s="9"/>
      <c r="B62" s="9"/>
      <c r="C62" s="9"/>
      <c r="D62" s="9"/>
    </row>
    <row r="63" spans="1:4">
      <c r="A63" s="9"/>
      <c r="B63" s="9"/>
      <c r="C63" s="9"/>
      <c r="D63" s="9"/>
    </row>
    <row r="64" spans="1:4">
      <c r="A64" s="9"/>
      <c r="B64" s="9"/>
      <c r="C64" s="9"/>
      <c r="D64" s="9"/>
    </row>
    <row r="65" spans="1:4">
      <c r="A65" s="9"/>
      <c r="B65" s="9"/>
      <c r="C65" s="9"/>
      <c r="D65" s="9"/>
    </row>
    <row r="66" spans="1:4">
      <c r="A66" s="9"/>
      <c r="B66" s="9"/>
      <c r="C66" s="9"/>
      <c r="D66" s="9"/>
    </row>
    <row r="67" spans="1:4">
      <c r="A67" s="9"/>
      <c r="B67" s="9"/>
      <c r="C67" s="9"/>
      <c r="D67" s="9"/>
    </row>
    <row r="68" spans="1:4">
      <c r="A68" s="9"/>
      <c r="B68" s="9"/>
      <c r="C68" s="9"/>
      <c r="D68" s="9"/>
    </row>
    <row r="69" spans="1:4">
      <c r="A69" s="9"/>
      <c r="B69" s="9"/>
      <c r="C69" s="9"/>
      <c r="D69" s="9"/>
    </row>
    <row r="70" spans="1:4">
      <c r="A70" s="9"/>
      <c r="B70" s="9"/>
      <c r="C70" s="9"/>
      <c r="D70" s="9"/>
    </row>
    <row r="71" spans="1:4">
      <c r="A71" s="9"/>
      <c r="B71" s="9"/>
      <c r="C71" s="9"/>
      <c r="D71" s="9"/>
    </row>
    <row r="72" spans="1:4">
      <c r="A72" s="9"/>
      <c r="B72" s="9"/>
      <c r="C72" s="9"/>
      <c r="D72" s="9"/>
    </row>
    <row r="73" spans="1:4">
      <c r="A73" s="9"/>
      <c r="B73" s="9"/>
      <c r="C73" s="9"/>
      <c r="D73" s="9"/>
    </row>
    <row r="74" spans="1:4">
      <c r="A74" s="9"/>
      <c r="B74" s="9"/>
      <c r="C74" s="9"/>
      <c r="D74" s="9"/>
    </row>
    <row r="75" spans="1:4">
      <c r="A75" s="9"/>
      <c r="B75" s="9"/>
      <c r="C75" s="9"/>
      <c r="D75" s="9"/>
    </row>
    <row r="76" spans="1:4">
      <c r="A76" s="9"/>
      <c r="B76" s="9"/>
      <c r="C76" s="9"/>
      <c r="D76" s="9"/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zoomScale="90" zoomScaleNormal="90" zoomScalePageLayoutView="90" workbookViewId="0">
      <pane ySplit="1" topLeftCell="A11" activePane="bottomLeft" state="frozen"/>
      <selection activeCell="B1" sqref="B1"/>
      <selection pane="bottomLeft" activeCell="A43" sqref="A43"/>
    </sheetView>
  </sheetViews>
  <sheetFormatPr baseColWidth="10" defaultColWidth="8.83203125" defaultRowHeight="14" x14ac:dyDescent="0"/>
  <cols>
    <col min="5" max="5" width="15.6640625" style="3" bestFit="1" customWidth="1"/>
    <col min="6" max="6" width="18.5" style="3" bestFit="1" customWidth="1"/>
    <col min="7" max="7" width="17.5" style="3" bestFit="1" customWidth="1"/>
    <col min="8" max="8" width="19.6640625" style="3" bestFit="1" customWidth="1"/>
    <col min="9" max="9" width="19.6640625" style="3" customWidth="1"/>
    <col min="10" max="10" width="12.1640625" style="3" bestFit="1" customWidth="1"/>
    <col min="11" max="11" width="16.5" style="3" customWidth="1"/>
    <col min="12" max="12" width="13.6640625" style="3" bestFit="1" customWidth="1"/>
    <col min="13" max="13" width="11.1640625" style="3" bestFit="1" customWidth="1"/>
    <col min="14" max="15" width="13.6640625" style="3" bestFit="1" customWidth="1"/>
    <col min="16" max="17" width="8.83203125" style="9"/>
  </cols>
  <sheetData>
    <row r="1" spans="1:17">
      <c r="A1" s="1" t="s">
        <v>0</v>
      </c>
      <c r="B1" s="1" t="s">
        <v>411</v>
      </c>
      <c r="C1" s="1" t="s">
        <v>1</v>
      </c>
      <c r="D1" s="1" t="s">
        <v>52</v>
      </c>
      <c r="E1" s="2" t="s">
        <v>43</v>
      </c>
      <c r="F1" s="2" t="s">
        <v>91</v>
      </c>
      <c r="G1" s="2" t="s">
        <v>62</v>
      </c>
      <c r="H1" s="2" t="s">
        <v>61</v>
      </c>
      <c r="I1" s="2"/>
      <c r="J1" s="2" t="s">
        <v>92</v>
      </c>
      <c r="K1" s="2" t="s">
        <v>424</v>
      </c>
      <c r="L1" s="2" t="s">
        <v>191</v>
      </c>
      <c r="M1" s="2" t="s">
        <v>348</v>
      </c>
      <c r="N1" s="2" t="s">
        <v>328</v>
      </c>
      <c r="O1" s="2" t="s">
        <v>333</v>
      </c>
      <c r="P1" s="21" t="s">
        <v>48</v>
      </c>
      <c r="Q1" s="21" t="s">
        <v>349</v>
      </c>
    </row>
    <row r="2" spans="1:17">
      <c r="A2" t="s">
        <v>2</v>
      </c>
      <c r="B2" t="s">
        <v>551</v>
      </c>
      <c r="C2" t="s">
        <v>42</v>
      </c>
      <c r="D2" t="s">
        <v>53</v>
      </c>
      <c r="E2" s="3">
        <v>77000000</v>
      </c>
      <c r="F2" s="3">
        <v>640948</v>
      </c>
      <c r="G2" s="3">
        <v>480711</v>
      </c>
      <c r="H2" s="3">
        <v>160237</v>
      </c>
      <c r="K2" s="11">
        <f>SUM((1-P2)*L2)/P2</f>
        <v>539906.83439490455</v>
      </c>
      <c r="L2" s="3">
        <v>179968.9447983015</v>
      </c>
      <c r="M2" s="3">
        <v>0</v>
      </c>
      <c r="N2" s="3">
        <v>1020617.8343949046</v>
      </c>
      <c r="O2" s="3">
        <v>340205.9447983015</v>
      </c>
      <c r="P2" s="9">
        <v>0.25</v>
      </c>
      <c r="Q2" s="9">
        <v>0.75</v>
      </c>
    </row>
    <row r="3" spans="1:17">
      <c r="A3" t="s">
        <v>3</v>
      </c>
      <c r="B3" t="s">
        <v>552</v>
      </c>
      <c r="C3" t="s">
        <v>44</v>
      </c>
      <c r="D3" t="s">
        <v>53</v>
      </c>
      <c r="E3" s="3">
        <v>9000000</v>
      </c>
      <c r="F3" s="3">
        <v>74916</v>
      </c>
      <c r="G3" s="3">
        <v>56187</v>
      </c>
      <c r="H3" s="3">
        <v>18729</v>
      </c>
      <c r="K3" s="11">
        <f t="shared" ref="K3:K40" si="0">SUM((1-P3)*L3)/P3</f>
        <v>63105.993630573241</v>
      </c>
      <c r="L3" s="3">
        <v>21035.331210191081</v>
      </c>
      <c r="M3" s="3">
        <v>0</v>
      </c>
      <c r="N3" s="3">
        <v>119292.99363057326</v>
      </c>
      <c r="O3" s="3">
        <v>39764.331210191085</v>
      </c>
      <c r="P3" s="9">
        <v>0.25</v>
      </c>
      <c r="Q3" s="9">
        <v>0.75</v>
      </c>
    </row>
    <row r="4" spans="1:17">
      <c r="A4" t="s">
        <v>4</v>
      </c>
      <c r="B4" t="s">
        <v>553</v>
      </c>
      <c r="C4" t="s">
        <v>45</v>
      </c>
      <c r="D4" t="s">
        <v>53</v>
      </c>
      <c r="E4" s="3">
        <v>10051745</v>
      </c>
      <c r="F4" s="3">
        <v>83671</v>
      </c>
      <c r="G4" s="3">
        <v>42244</v>
      </c>
      <c r="H4" s="3">
        <v>20918</v>
      </c>
      <c r="J4" s="3">
        <v>20509</v>
      </c>
      <c r="K4" s="11">
        <f t="shared" si="0"/>
        <v>70480.545647558407</v>
      </c>
      <c r="L4" s="3">
        <v>23493.889596602978</v>
      </c>
      <c r="M4" s="3">
        <v>0</v>
      </c>
      <c r="N4" s="3">
        <v>133233.54564755844</v>
      </c>
      <c r="O4" s="3">
        <v>44411.889596602981</v>
      </c>
      <c r="P4" s="9">
        <v>0.2500029878930573</v>
      </c>
      <c r="Q4" s="9">
        <v>0.7499970121069427</v>
      </c>
    </row>
    <row r="5" spans="1:17">
      <c r="A5" t="s">
        <v>5</v>
      </c>
      <c r="B5" t="s">
        <v>554</v>
      </c>
      <c r="C5" t="s">
        <v>46</v>
      </c>
      <c r="D5" t="s">
        <v>53</v>
      </c>
      <c r="E5" s="3">
        <v>6746803</v>
      </c>
      <c r="F5" s="3">
        <v>56160</v>
      </c>
      <c r="G5" s="3">
        <v>35802</v>
      </c>
      <c r="H5" s="3">
        <v>14040</v>
      </c>
      <c r="J5" s="3">
        <v>6318</v>
      </c>
      <c r="K5" s="11">
        <f t="shared" si="0"/>
        <v>47306.751592356697</v>
      </c>
      <c r="L5" s="3">
        <v>15768.917197452232</v>
      </c>
      <c r="M5" s="3">
        <v>0</v>
      </c>
      <c r="N5" s="3">
        <v>89426.751592356697</v>
      </c>
      <c r="O5" s="3">
        <v>29808.917197452232</v>
      </c>
      <c r="P5" s="9">
        <v>0.25</v>
      </c>
      <c r="Q5" s="9">
        <v>0.75</v>
      </c>
    </row>
    <row r="6" spans="1:17">
      <c r="A6" t="s">
        <v>6</v>
      </c>
      <c r="B6" t="s">
        <v>555</v>
      </c>
      <c r="C6" t="s">
        <v>47</v>
      </c>
      <c r="D6" t="s">
        <v>53</v>
      </c>
      <c r="E6" s="3">
        <v>7112000</v>
      </c>
      <c r="F6" s="3">
        <v>59200</v>
      </c>
      <c r="G6" s="3">
        <v>44400</v>
      </c>
      <c r="H6" s="3">
        <v>14800</v>
      </c>
      <c r="K6" s="11">
        <f t="shared" si="0"/>
        <v>49867.515923566891</v>
      </c>
      <c r="L6" s="3">
        <v>16622.50530785563</v>
      </c>
      <c r="M6" s="3">
        <v>0</v>
      </c>
      <c r="N6" s="3">
        <v>94267.515923566883</v>
      </c>
      <c r="O6" s="3">
        <v>31422.50530785563</v>
      </c>
      <c r="P6" s="9">
        <v>0.25</v>
      </c>
      <c r="Q6" s="9">
        <v>0.75</v>
      </c>
    </row>
    <row r="7" spans="1:17">
      <c r="A7" t="s">
        <v>7</v>
      </c>
      <c r="B7" t="s">
        <v>556</v>
      </c>
      <c r="C7" t="s">
        <v>49</v>
      </c>
      <c r="D7" t="s">
        <v>53</v>
      </c>
      <c r="E7" s="3">
        <v>6980000</v>
      </c>
      <c r="F7" s="3">
        <v>58101</v>
      </c>
      <c r="G7" s="3">
        <v>37044</v>
      </c>
      <c r="H7" s="3">
        <v>14520</v>
      </c>
      <c r="J7" s="3">
        <v>6537</v>
      </c>
      <c r="K7" s="11">
        <f t="shared" si="0"/>
        <v>48947.662420382163</v>
      </c>
      <c r="L7" s="3">
        <v>16308.025477707008</v>
      </c>
      <c r="M7" s="3">
        <v>0</v>
      </c>
      <c r="N7" s="3">
        <v>92528.66242038217</v>
      </c>
      <c r="O7" s="3">
        <v>30828.025477707008</v>
      </c>
      <c r="P7" s="9">
        <v>0.24990964010946456</v>
      </c>
      <c r="Q7" s="9">
        <v>0.75009035989053541</v>
      </c>
    </row>
    <row r="8" spans="1:17">
      <c r="A8" t="s">
        <v>8</v>
      </c>
      <c r="B8" t="s">
        <v>557</v>
      </c>
      <c r="C8" t="s">
        <v>50</v>
      </c>
      <c r="D8" t="s">
        <v>53</v>
      </c>
      <c r="E8" s="3">
        <v>67518</v>
      </c>
      <c r="F8" s="3">
        <v>562</v>
      </c>
      <c r="G8" s="3">
        <v>422</v>
      </c>
      <c r="H8" s="3">
        <v>140</v>
      </c>
      <c r="K8" s="11">
        <f t="shared" si="0"/>
        <v>473.9660297239916</v>
      </c>
      <c r="L8" s="3">
        <v>157.23991507431001</v>
      </c>
      <c r="M8" s="3">
        <v>0</v>
      </c>
      <c r="N8" s="3">
        <v>895.96602972399171</v>
      </c>
      <c r="O8" s="3">
        <v>297.23991507431003</v>
      </c>
      <c r="P8" s="9">
        <v>0.24911032028469751</v>
      </c>
      <c r="Q8" s="9">
        <v>0.75088967971530252</v>
      </c>
    </row>
    <row r="9" spans="1:17">
      <c r="A9" t="s">
        <v>9</v>
      </c>
      <c r="B9" t="s">
        <v>558</v>
      </c>
      <c r="C9" t="s">
        <v>559</v>
      </c>
      <c r="D9" t="s">
        <v>54</v>
      </c>
      <c r="E9" s="3">
        <v>17500000</v>
      </c>
      <c r="F9" s="3">
        <v>145670</v>
      </c>
      <c r="G9" s="3">
        <v>126733</v>
      </c>
      <c r="H9" s="3">
        <v>18937</v>
      </c>
      <c r="K9" s="11">
        <f t="shared" si="0"/>
        <v>142339.18683651806</v>
      </c>
      <c r="L9" s="3">
        <v>21268.944798301487</v>
      </c>
      <c r="M9" s="3">
        <v>0</v>
      </c>
      <c r="N9" s="3">
        <v>269072.18683651806</v>
      </c>
      <c r="O9" s="3">
        <v>40205.944798301483</v>
      </c>
      <c r="P9" s="9">
        <v>0.12999931351685315</v>
      </c>
      <c r="Q9" s="9">
        <v>0.87000068648314688</v>
      </c>
    </row>
    <row r="10" spans="1:17">
      <c r="A10" t="s">
        <v>10</v>
      </c>
      <c r="B10" t="s">
        <v>560</v>
      </c>
      <c r="C10" t="s">
        <v>55</v>
      </c>
      <c r="D10" t="s">
        <v>54</v>
      </c>
      <c r="E10" s="3">
        <v>6896329</v>
      </c>
      <c r="F10" s="3">
        <v>57405</v>
      </c>
      <c r="G10" s="3">
        <v>38748</v>
      </c>
      <c r="H10" s="3">
        <v>18657</v>
      </c>
      <c r="K10" s="11">
        <f t="shared" si="0"/>
        <v>43519.515923566883</v>
      </c>
      <c r="L10" s="3">
        <v>20954.464968152868</v>
      </c>
      <c r="M10" s="3">
        <v>0</v>
      </c>
      <c r="N10" s="3">
        <v>82267.515923566883</v>
      </c>
      <c r="O10" s="3">
        <v>39611.464968152868</v>
      </c>
      <c r="P10" s="9">
        <v>0.3250065325320094</v>
      </c>
      <c r="Q10" s="9">
        <v>0.6749934674679906</v>
      </c>
    </row>
    <row r="11" spans="1:17">
      <c r="A11" t="s">
        <v>11</v>
      </c>
      <c r="B11" t="s">
        <v>561</v>
      </c>
      <c r="C11" t="s">
        <v>57</v>
      </c>
      <c r="D11" t="s">
        <v>56</v>
      </c>
      <c r="E11" s="3">
        <v>59055000</v>
      </c>
      <c r="F11" s="3">
        <v>491573</v>
      </c>
      <c r="G11" s="3">
        <v>331812</v>
      </c>
      <c r="H11" s="3">
        <v>159761</v>
      </c>
      <c r="K11" s="11">
        <f t="shared" si="0"/>
        <v>372672.07643312099</v>
      </c>
      <c r="L11" s="3">
        <v>179434.32908704886</v>
      </c>
      <c r="M11" s="3">
        <v>0</v>
      </c>
      <c r="N11" s="3">
        <v>704484.07643312099</v>
      </c>
      <c r="O11" s="3">
        <v>339195.32908704889</v>
      </c>
      <c r="P11" s="9">
        <v>0.32499954228568295</v>
      </c>
      <c r="Q11" s="9">
        <v>0.67500045771431705</v>
      </c>
    </row>
    <row r="12" spans="1:17">
      <c r="A12" t="s">
        <v>12</v>
      </c>
      <c r="B12" t="s">
        <v>562</v>
      </c>
      <c r="C12" t="s">
        <v>59</v>
      </c>
      <c r="D12" t="s">
        <v>58</v>
      </c>
      <c r="E12" s="3">
        <v>11982100</v>
      </c>
      <c r="F12" s="3">
        <v>60198</v>
      </c>
      <c r="G12" s="3">
        <v>31604</v>
      </c>
      <c r="H12" s="3">
        <v>28594</v>
      </c>
      <c r="K12" s="11">
        <f t="shared" si="0"/>
        <v>58830.846000000012</v>
      </c>
      <c r="L12" s="3">
        <v>53227.731</v>
      </c>
      <c r="M12" s="3">
        <v>6894.4758080000001</v>
      </c>
      <c r="N12" s="3">
        <v>98055.081484228605</v>
      </c>
      <c r="O12" s="3">
        <v>88716.206808000003</v>
      </c>
      <c r="P12" s="9">
        <v>0.47499916940762149</v>
      </c>
      <c r="Q12" s="9">
        <v>0.52500083059237856</v>
      </c>
    </row>
    <row r="13" spans="1:17">
      <c r="A13" t="s">
        <v>13</v>
      </c>
      <c r="B13" t="s">
        <v>563</v>
      </c>
      <c r="C13" t="s">
        <v>60</v>
      </c>
      <c r="D13" t="s">
        <v>58</v>
      </c>
      <c r="E13" s="3">
        <v>85089300</v>
      </c>
      <c r="F13" s="3">
        <v>427488</v>
      </c>
      <c r="G13" s="3">
        <v>31108</v>
      </c>
      <c r="H13" s="3">
        <v>396380</v>
      </c>
      <c r="K13" s="11">
        <f t="shared" si="0"/>
        <v>57907.541999999994</v>
      </c>
      <c r="L13" s="3">
        <v>737861.37</v>
      </c>
      <c r="M13" s="3">
        <v>6786.2724160000007</v>
      </c>
      <c r="N13" s="3">
        <v>89548.130330180458</v>
      </c>
      <c r="O13" s="3">
        <v>1141027.6424160001</v>
      </c>
      <c r="P13" s="9">
        <v>0.92723070589115952</v>
      </c>
      <c r="Q13" s="9">
        <v>7.2769294108840477E-2</v>
      </c>
    </row>
    <row r="14" spans="1:17">
      <c r="A14" t="s">
        <v>14</v>
      </c>
      <c r="B14" t="s">
        <v>564</v>
      </c>
      <c r="C14" t="s">
        <v>63</v>
      </c>
      <c r="D14" t="s">
        <v>58</v>
      </c>
      <c r="E14" s="3">
        <v>39256500</v>
      </c>
      <c r="F14" s="3">
        <v>197225</v>
      </c>
      <c r="G14" s="3">
        <v>84807</v>
      </c>
      <c r="H14" s="3">
        <v>112418</v>
      </c>
      <c r="K14" s="11">
        <f t="shared" si="0"/>
        <v>157868.23049999998</v>
      </c>
      <c r="L14" s="3">
        <v>209266.10699999999</v>
      </c>
      <c r="M14" s="3">
        <v>18500.816664000002</v>
      </c>
      <c r="N14" s="3">
        <v>256632.0591112886</v>
      </c>
      <c r="O14" s="3">
        <v>340184.92366399994</v>
      </c>
      <c r="P14" s="9">
        <v>0.56999873241221954</v>
      </c>
      <c r="Q14" s="9">
        <v>0.43000126758778046</v>
      </c>
    </row>
    <row r="15" spans="1:17">
      <c r="A15" t="s">
        <v>15</v>
      </c>
      <c r="B15" t="s">
        <v>565</v>
      </c>
      <c r="C15" t="s">
        <v>64</v>
      </c>
      <c r="D15" t="s">
        <v>58</v>
      </c>
      <c r="E15" s="3">
        <v>2784000</v>
      </c>
      <c r="F15" s="3">
        <v>13986</v>
      </c>
      <c r="G15" s="3">
        <v>6014</v>
      </c>
      <c r="H15" s="3">
        <v>7972</v>
      </c>
      <c r="K15" s="11">
        <f t="shared" si="0"/>
        <v>11195.061</v>
      </c>
      <c r="L15" s="3">
        <v>14839.877999999999</v>
      </c>
      <c r="M15" s="3">
        <v>1311.966128</v>
      </c>
      <c r="N15" s="3">
        <v>18198.795607851476</v>
      </c>
      <c r="O15" s="3">
        <v>24123.844127999997</v>
      </c>
      <c r="P15" s="9">
        <v>0.56999856999857001</v>
      </c>
      <c r="Q15" s="9">
        <v>0.43000143000142999</v>
      </c>
    </row>
    <row r="16" spans="1:17">
      <c r="A16" t="s">
        <v>16</v>
      </c>
      <c r="B16" t="s">
        <v>566</v>
      </c>
      <c r="C16" t="s">
        <v>65</v>
      </c>
      <c r="D16" t="s">
        <v>58</v>
      </c>
      <c r="E16" s="3">
        <v>1210300</v>
      </c>
      <c r="F16" s="3">
        <v>6081</v>
      </c>
      <c r="G16" s="3">
        <v>2615</v>
      </c>
      <c r="H16" s="3">
        <v>3466</v>
      </c>
      <c r="K16" s="11">
        <f t="shared" si="0"/>
        <v>4867.8224999999993</v>
      </c>
      <c r="L16" s="3">
        <v>6451.9589999999998</v>
      </c>
      <c r="M16" s="3">
        <v>570.46748000000002</v>
      </c>
      <c r="N16" s="3">
        <v>7913.2242484708577</v>
      </c>
      <c r="O16" s="3">
        <v>10488.426479999998</v>
      </c>
      <c r="P16" s="9">
        <v>0.56997204407169877</v>
      </c>
      <c r="Q16" s="9">
        <v>0.43002795592830123</v>
      </c>
    </row>
    <row r="17" spans="1:17">
      <c r="A17" t="s">
        <v>17</v>
      </c>
      <c r="B17" t="s">
        <v>567</v>
      </c>
      <c r="C17" t="s">
        <v>66</v>
      </c>
      <c r="D17" t="s">
        <v>58</v>
      </c>
      <c r="E17" s="3">
        <v>2459200</v>
      </c>
      <c r="F17" s="3">
        <v>12355</v>
      </c>
      <c r="G17" s="3">
        <v>5313</v>
      </c>
      <c r="H17" s="3">
        <v>7042</v>
      </c>
      <c r="K17" s="11">
        <f t="shared" si="0"/>
        <v>9890.1494999999995</v>
      </c>
      <c r="L17" s="3">
        <v>13108.682999999999</v>
      </c>
      <c r="M17" s="3">
        <v>1159.0415760000001</v>
      </c>
      <c r="N17" s="3">
        <v>16077.61526161431</v>
      </c>
      <c r="O17" s="3">
        <v>21309.724575999997</v>
      </c>
      <c r="P17" s="9">
        <v>0.56997167138810201</v>
      </c>
      <c r="Q17" s="9">
        <v>0.43002832861189799</v>
      </c>
    </row>
    <row r="18" spans="1:17">
      <c r="A18" t="s">
        <v>18</v>
      </c>
      <c r="B18" t="s">
        <v>568</v>
      </c>
      <c r="C18" t="s">
        <v>67</v>
      </c>
      <c r="D18" t="s">
        <v>58</v>
      </c>
      <c r="E18" s="3">
        <v>1228073</v>
      </c>
      <c r="F18" s="3">
        <v>6170</v>
      </c>
      <c r="G18" s="3">
        <v>3239</v>
      </c>
      <c r="H18" s="3">
        <v>2931</v>
      </c>
      <c r="K18" s="11">
        <f t="shared" si="0"/>
        <v>6029.3984999999993</v>
      </c>
      <c r="L18" s="3">
        <v>5456.0564999999997</v>
      </c>
      <c r="M18" s="3">
        <v>706.59432800000002</v>
      </c>
      <c r="N18" s="3">
        <v>10049.24429610781</v>
      </c>
      <c r="O18" s="3">
        <v>9093.650827999998</v>
      </c>
      <c r="P18" s="9">
        <v>0.47504051863857372</v>
      </c>
      <c r="Q18" s="9">
        <v>0.52495948136142623</v>
      </c>
    </row>
    <row r="19" spans="1:17">
      <c r="A19" t="s">
        <v>19</v>
      </c>
      <c r="B19" t="s">
        <v>569</v>
      </c>
      <c r="C19" t="s">
        <v>68</v>
      </c>
      <c r="D19" t="s">
        <v>58</v>
      </c>
      <c r="E19" s="3">
        <v>2919400</v>
      </c>
      <c r="F19" s="3">
        <v>14667</v>
      </c>
      <c r="G19" s="3">
        <v>6307</v>
      </c>
      <c r="H19" s="3">
        <v>8360</v>
      </c>
      <c r="K19" s="11">
        <f t="shared" si="0"/>
        <v>11740.480500000003</v>
      </c>
      <c r="L19" s="3">
        <v>15562.14</v>
      </c>
      <c r="M19" s="3">
        <v>1375.8846640000002</v>
      </c>
      <c r="N19" s="3">
        <v>19085.483439694744</v>
      </c>
      <c r="O19" s="3">
        <v>25298.024664</v>
      </c>
      <c r="P19" s="9">
        <v>0.5699870457489602</v>
      </c>
      <c r="Q19" s="9">
        <v>0.4300129542510398</v>
      </c>
    </row>
    <row r="20" spans="1:17">
      <c r="A20" t="s">
        <v>20</v>
      </c>
      <c r="B20" t="s">
        <v>570</v>
      </c>
      <c r="C20" t="s">
        <v>69</v>
      </c>
      <c r="D20" t="s">
        <v>58</v>
      </c>
      <c r="E20" s="3">
        <v>18451703</v>
      </c>
      <c r="F20" s="3">
        <v>92701</v>
      </c>
      <c r="G20" s="3">
        <v>29453</v>
      </c>
      <c r="H20" s="3">
        <v>33795</v>
      </c>
      <c r="J20" s="3">
        <v>29453</v>
      </c>
      <c r="K20" s="11">
        <f t="shared" si="0"/>
        <v>109653.51899999997</v>
      </c>
      <c r="L20" s="3">
        <v>62909.392499999994</v>
      </c>
      <c r="M20" s="3">
        <v>6425.2308560000001</v>
      </c>
      <c r="N20" s="3">
        <v>179758.94639468958</v>
      </c>
      <c r="O20" s="3">
        <v>103129.62335599998</v>
      </c>
      <c r="P20" s="9">
        <v>0.36455917411894156</v>
      </c>
      <c r="Q20" s="9">
        <v>0.63544082588105844</v>
      </c>
    </row>
    <row r="21" spans="1:17">
      <c r="A21" t="s">
        <v>21</v>
      </c>
      <c r="B21" t="s">
        <v>571</v>
      </c>
      <c r="C21" t="s">
        <v>67</v>
      </c>
      <c r="D21" t="s">
        <v>58</v>
      </c>
      <c r="E21" s="3">
        <v>2641500</v>
      </c>
      <c r="F21" s="3">
        <v>13271</v>
      </c>
      <c r="G21" s="3">
        <v>6967</v>
      </c>
      <c r="H21" s="3">
        <v>6304</v>
      </c>
      <c r="K21" s="11">
        <f t="shared" si="0"/>
        <v>12969.0705</v>
      </c>
      <c r="L21" s="3">
        <v>11734.895999999999</v>
      </c>
      <c r="M21" s="3">
        <v>1519.864984</v>
      </c>
      <c r="N21" s="3">
        <v>21615.781690280455</v>
      </c>
      <c r="O21" s="3">
        <v>19558.760984</v>
      </c>
      <c r="P21" s="9">
        <v>0.47502072187476452</v>
      </c>
      <c r="Q21" s="9">
        <v>0.52497927812523548</v>
      </c>
    </row>
    <row r="22" spans="1:17">
      <c r="A22" t="s">
        <v>22</v>
      </c>
      <c r="B22" t="s">
        <v>572</v>
      </c>
      <c r="C22" t="s">
        <v>71</v>
      </c>
      <c r="D22" t="s">
        <v>70</v>
      </c>
      <c r="E22" s="3">
        <v>9946903</v>
      </c>
      <c r="F22" s="3">
        <v>52034</v>
      </c>
      <c r="G22" s="3">
        <v>48689</v>
      </c>
      <c r="H22" s="3">
        <v>3345</v>
      </c>
      <c r="K22" s="11">
        <f t="shared" si="0"/>
        <v>87041.325299999997</v>
      </c>
      <c r="L22" s="3">
        <v>5979.8564999999999</v>
      </c>
      <c r="M22" s="3">
        <v>2141.1345000000001</v>
      </c>
      <c r="N22" s="3">
        <v>166896.15420000002</v>
      </c>
      <c r="O22" s="3">
        <v>11465.991</v>
      </c>
      <c r="P22" s="9">
        <v>6.4284890648422188E-2</v>
      </c>
      <c r="Q22" s="9">
        <v>0.93571510935157787</v>
      </c>
    </row>
    <row r="23" spans="1:17">
      <c r="A23" t="s">
        <v>23</v>
      </c>
      <c r="B23" t="s">
        <v>573</v>
      </c>
      <c r="C23" t="s">
        <v>72</v>
      </c>
      <c r="D23" t="s">
        <v>70</v>
      </c>
      <c r="E23" s="3">
        <v>1549538</v>
      </c>
      <c r="F23" s="3">
        <v>8106</v>
      </c>
      <c r="G23" s="3">
        <v>7585</v>
      </c>
      <c r="H23" s="3">
        <v>521</v>
      </c>
      <c r="K23" s="11">
        <f t="shared" si="0"/>
        <v>13559.704500000002</v>
      </c>
      <c r="L23" s="3">
        <v>931.39170000000001</v>
      </c>
      <c r="M23" s="3">
        <v>333.49209999999999</v>
      </c>
      <c r="N23" s="3">
        <v>25999.863000000005</v>
      </c>
      <c r="O23" s="3">
        <v>1785.8838000000001</v>
      </c>
      <c r="P23" s="9">
        <v>6.4273377744880331E-2</v>
      </c>
      <c r="Q23" s="9">
        <v>0.93572662225511971</v>
      </c>
    </row>
    <row r="24" spans="1:17">
      <c r="A24" t="s">
        <v>24</v>
      </c>
      <c r="B24" t="s">
        <v>574</v>
      </c>
      <c r="C24" t="s">
        <v>73</v>
      </c>
      <c r="D24" t="s">
        <v>58</v>
      </c>
      <c r="E24" s="3">
        <v>75247600</v>
      </c>
      <c r="F24" s="3">
        <v>378044</v>
      </c>
      <c r="G24" s="3">
        <v>142933</v>
      </c>
      <c r="H24" s="3">
        <v>170120</v>
      </c>
      <c r="J24" s="3">
        <v>64991</v>
      </c>
      <c r="K24" s="11">
        <f t="shared" si="0"/>
        <v>387050.52600000001</v>
      </c>
      <c r="L24" s="3">
        <v>316678.38</v>
      </c>
      <c r="M24" s="3">
        <v>31181.119816000002</v>
      </c>
      <c r="N24" s="3">
        <v>633084.70209112391</v>
      </c>
      <c r="O24" s="3">
        <v>517979.499816</v>
      </c>
      <c r="P24" s="9">
        <v>0.45000052903894783</v>
      </c>
      <c r="Q24" s="9">
        <v>0.54999947096105217</v>
      </c>
    </row>
    <row r="25" spans="1:17">
      <c r="A25" t="s">
        <v>25</v>
      </c>
      <c r="B25" t="s">
        <v>575</v>
      </c>
      <c r="C25" t="s">
        <v>74</v>
      </c>
      <c r="D25" t="s">
        <v>75</v>
      </c>
      <c r="E25" s="3">
        <v>7143000</v>
      </c>
      <c r="F25" s="3">
        <v>36175</v>
      </c>
      <c r="K25" s="11">
        <v>0</v>
      </c>
      <c r="L25" s="3">
        <v>0</v>
      </c>
      <c r="O25" s="3">
        <v>0</v>
      </c>
      <c r="P25" s="9">
        <v>0</v>
      </c>
      <c r="Q25" s="9">
        <v>1</v>
      </c>
    </row>
    <row r="26" spans="1:17">
      <c r="A26" t="s">
        <v>26</v>
      </c>
      <c r="B26" t="s">
        <v>576</v>
      </c>
      <c r="C26" t="s">
        <v>76</v>
      </c>
      <c r="D26" t="s">
        <v>58</v>
      </c>
      <c r="E26" s="3">
        <v>3174400</v>
      </c>
      <c r="F26" s="3">
        <v>15948</v>
      </c>
      <c r="G26" s="3">
        <v>2392</v>
      </c>
      <c r="H26" s="3">
        <v>13556</v>
      </c>
      <c r="K26" s="11">
        <f t="shared" si="0"/>
        <v>4452.7079999999978</v>
      </c>
      <c r="L26" s="3">
        <v>25234.493999999999</v>
      </c>
      <c r="M26" s="3">
        <v>521.81958400000008</v>
      </c>
      <c r="N26" s="3">
        <v>6936.7847516175825</v>
      </c>
      <c r="O26" s="3">
        <v>39312.313583999996</v>
      </c>
      <c r="P26" s="9">
        <v>0.8500125407574618</v>
      </c>
      <c r="Q26" s="9">
        <v>0.1499874592425382</v>
      </c>
    </row>
    <row r="27" spans="1:17">
      <c r="A27" t="s">
        <v>27</v>
      </c>
      <c r="B27" t="s">
        <v>577</v>
      </c>
      <c r="C27" t="s">
        <v>77</v>
      </c>
      <c r="D27" t="s">
        <v>56</v>
      </c>
      <c r="E27" s="3">
        <v>2167300</v>
      </c>
      <c r="F27" s="3">
        <v>18040</v>
      </c>
      <c r="G27" s="3">
        <v>6314</v>
      </c>
      <c r="H27" s="3">
        <v>11726</v>
      </c>
      <c r="K27" s="11">
        <f t="shared" si="0"/>
        <v>7091.5201698513793</v>
      </c>
      <c r="L27" s="3">
        <v>13169.966029723992</v>
      </c>
      <c r="M27" s="3">
        <v>0</v>
      </c>
      <c r="N27" s="3">
        <v>13405.520169851377</v>
      </c>
      <c r="O27" s="3">
        <v>24895.96602972399</v>
      </c>
      <c r="P27" s="9">
        <v>0.65</v>
      </c>
      <c r="Q27" s="9">
        <v>0.35</v>
      </c>
    </row>
    <row r="28" spans="1:17">
      <c r="A28" t="s">
        <v>28</v>
      </c>
      <c r="B28" t="s">
        <v>578</v>
      </c>
      <c r="C28" t="s">
        <v>78</v>
      </c>
      <c r="D28" t="s">
        <v>53</v>
      </c>
      <c r="E28" s="3">
        <v>5600000</v>
      </c>
      <c r="F28" s="3">
        <v>46614</v>
      </c>
      <c r="G28" s="3">
        <v>16315</v>
      </c>
      <c r="H28" s="3">
        <v>30299</v>
      </c>
      <c r="K28" s="11">
        <f t="shared" si="0"/>
        <v>18324.06581740977</v>
      </c>
      <c r="L28" s="3">
        <v>34030.087048832276</v>
      </c>
      <c r="M28" s="3">
        <v>0</v>
      </c>
      <c r="N28" s="3">
        <v>34639.06581740977</v>
      </c>
      <c r="O28" s="3">
        <v>64329.087048832276</v>
      </c>
      <c r="P28" s="9">
        <v>0.64999785472175742</v>
      </c>
      <c r="Q28" s="9">
        <v>0.35000214527824258</v>
      </c>
    </row>
    <row r="29" spans="1:17">
      <c r="A29" t="s">
        <v>29</v>
      </c>
      <c r="B29" t="s">
        <v>579</v>
      </c>
      <c r="C29" t="s">
        <v>79</v>
      </c>
      <c r="D29" t="s">
        <v>58</v>
      </c>
      <c r="E29" s="3">
        <v>5305000</v>
      </c>
      <c r="F29" s="3">
        <v>26652</v>
      </c>
      <c r="G29" s="3">
        <v>3998</v>
      </c>
      <c r="H29" s="3">
        <v>22654</v>
      </c>
      <c r="K29" s="11">
        <f t="shared" si="0"/>
        <v>7442.2770000000028</v>
      </c>
      <c r="L29" s="3">
        <v>42170.421000000002</v>
      </c>
      <c r="M29" s="3">
        <v>872.171696</v>
      </c>
      <c r="N29" s="3">
        <v>11594.198710982966</v>
      </c>
      <c r="O29" s="3">
        <v>65696.592696000007</v>
      </c>
      <c r="P29" s="9">
        <v>0.84999249587272996</v>
      </c>
      <c r="Q29" s="9">
        <v>0.15000750412727004</v>
      </c>
    </row>
    <row r="30" spans="1:17">
      <c r="A30" t="s">
        <v>30</v>
      </c>
      <c r="B30" t="s">
        <v>580</v>
      </c>
      <c r="C30" t="s">
        <v>80</v>
      </c>
      <c r="D30" t="s">
        <v>54</v>
      </c>
      <c r="E30" s="3">
        <v>2921400</v>
      </c>
      <c r="F30" s="3">
        <v>24318</v>
      </c>
      <c r="G30" s="3">
        <v>11673</v>
      </c>
      <c r="H30" s="3">
        <v>12645</v>
      </c>
      <c r="K30" s="11">
        <f t="shared" si="0"/>
        <v>13110.439490445862</v>
      </c>
      <c r="L30" s="3">
        <v>14202.133757961785</v>
      </c>
      <c r="M30" s="3">
        <v>0</v>
      </c>
      <c r="N30" s="3">
        <v>24783.43949044586</v>
      </c>
      <c r="O30" s="3">
        <v>26847.133757961783</v>
      </c>
      <c r="P30" s="9">
        <v>0.51998519615099925</v>
      </c>
      <c r="Q30" s="9">
        <v>0.48001480384900075</v>
      </c>
    </row>
    <row r="31" spans="1:17">
      <c r="A31" t="s">
        <v>31</v>
      </c>
      <c r="B31" t="s">
        <v>581</v>
      </c>
      <c r="C31" t="s">
        <v>81</v>
      </c>
      <c r="D31" t="s">
        <v>58</v>
      </c>
      <c r="E31" s="3">
        <v>65184300</v>
      </c>
      <c r="F31" s="3">
        <v>327486</v>
      </c>
      <c r="G31" s="3">
        <v>99662</v>
      </c>
      <c r="H31" s="3">
        <v>128162</v>
      </c>
      <c r="J31" s="3">
        <v>99662</v>
      </c>
      <c r="K31" s="11">
        <f t="shared" si="0"/>
        <v>371041.62599999999</v>
      </c>
      <c r="L31" s="3">
        <v>238573.56299999999</v>
      </c>
      <c r="M31" s="3">
        <v>21741.464624</v>
      </c>
      <c r="N31" s="3">
        <v>604179.04725368018</v>
      </c>
      <c r="O31" s="3">
        <v>388477.02762399998</v>
      </c>
      <c r="P31" s="9">
        <v>0.39135108065688307</v>
      </c>
      <c r="Q31" s="9">
        <v>0.60864891934311693</v>
      </c>
    </row>
    <row r="32" spans="1:17">
      <c r="A32" t="s">
        <v>32</v>
      </c>
      <c r="B32" t="s">
        <v>582</v>
      </c>
      <c r="C32" t="s">
        <v>76</v>
      </c>
      <c r="D32" t="s">
        <v>58</v>
      </c>
      <c r="E32" s="3">
        <v>32123300</v>
      </c>
      <c r="F32" s="3">
        <v>161388</v>
      </c>
      <c r="G32" s="3">
        <v>56486</v>
      </c>
      <c r="H32" s="3">
        <v>48416</v>
      </c>
      <c r="J32" s="3">
        <v>56486</v>
      </c>
      <c r="K32" s="11">
        <f t="shared" si="0"/>
        <v>210297.37799999997</v>
      </c>
      <c r="L32" s="3">
        <v>90126.383999999991</v>
      </c>
      <c r="M32" s="3">
        <v>12322.533872</v>
      </c>
      <c r="N32" s="3">
        <v>352022.2963862273</v>
      </c>
      <c r="O32" s="3">
        <v>150864.91787199999</v>
      </c>
      <c r="P32" s="9">
        <v>0.29999752150097903</v>
      </c>
      <c r="Q32" s="9">
        <v>0.70000247849902097</v>
      </c>
    </row>
    <row r="33" spans="1:17">
      <c r="A33" t="s">
        <v>33</v>
      </c>
      <c r="B33" t="s">
        <v>583</v>
      </c>
      <c r="C33" t="s">
        <v>83</v>
      </c>
      <c r="D33" t="s">
        <v>82</v>
      </c>
      <c r="E33" s="3">
        <v>6660000</v>
      </c>
      <c r="F33" s="3">
        <v>33460</v>
      </c>
      <c r="G33" s="3">
        <v>11042</v>
      </c>
      <c r="H33" s="3">
        <v>11376</v>
      </c>
      <c r="J33" s="3">
        <v>11042</v>
      </c>
      <c r="K33" s="11">
        <f t="shared" si="0"/>
        <v>41109.365999999995</v>
      </c>
      <c r="L33" s="3">
        <v>21176.423999999999</v>
      </c>
      <c r="M33" s="3">
        <v>2408.8343840000002</v>
      </c>
      <c r="N33" s="3">
        <v>67869.587741935291</v>
      </c>
      <c r="O33" s="3">
        <v>34961.258384000001</v>
      </c>
      <c r="P33" s="9">
        <v>0.33998804542737598</v>
      </c>
      <c r="Q33" s="9">
        <v>0.66001195457262396</v>
      </c>
    </row>
    <row r="34" spans="1:17">
      <c r="A34" t="s">
        <v>34</v>
      </c>
      <c r="B34" t="s">
        <v>584</v>
      </c>
      <c r="C34" t="s">
        <v>84</v>
      </c>
      <c r="D34" t="s">
        <v>82</v>
      </c>
      <c r="E34" s="3">
        <v>52067845</v>
      </c>
      <c r="F34" s="3">
        <v>261589</v>
      </c>
      <c r="G34" s="3">
        <v>80791</v>
      </c>
      <c r="H34" s="3">
        <v>100007</v>
      </c>
      <c r="J34" s="3">
        <v>80791</v>
      </c>
      <c r="K34" s="11">
        <f t="shared" si="0"/>
        <v>300784.89299999992</v>
      </c>
      <c r="L34" s="3">
        <v>186163.03049999999</v>
      </c>
      <c r="M34" s="3">
        <v>17624.718231999999</v>
      </c>
      <c r="N34" s="3">
        <v>490843.2718671094</v>
      </c>
      <c r="O34" s="3">
        <v>303794.74873200001</v>
      </c>
      <c r="P34" s="9">
        <v>0.38230583090267561</v>
      </c>
      <c r="Q34" s="9">
        <v>0.61769416909732433</v>
      </c>
    </row>
    <row r="35" spans="1:17">
      <c r="A35" t="s">
        <v>35</v>
      </c>
      <c r="B35" t="s">
        <v>585</v>
      </c>
      <c r="C35" t="s">
        <v>85</v>
      </c>
      <c r="D35" t="s">
        <v>82</v>
      </c>
      <c r="E35" s="3">
        <v>3001400</v>
      </c>
      <c r="F35" s="3">
        <v>15079</v>
      </c>
      <c r="G35" s="3">
        <v>4976</v>
      </c>
      <c r="H35" s="3">
        <v>5127</v>
      </c>
      <c r="J35" s="3">
        <v>4976</v>
      </c>
      <c r="K35" s="11">
        <f t="shared" si="0"/>
        <v>18525.647999999997</v>
      </c>
      <c r="L35" s="3">
        <v>9543.9105</v>
      </c>
      <c r="M35" s="3">
        <v>1085.5243520000001</v>
      </c>
      <c r="N35" s="3">
        <v>30584.755148645207</v>
      </c>
      <c r="O35" s="3">
        <v>15756.434852</v>
      </c>
      <c r="P35" s="9">
        <v>0.34000928443530742</v>
      </c>
      <c r="Q35" s="9">
        <v>0.65999071556469258</v>
      </c>
    </row>
    <row r="36" spans="1:17">
      <c r="A36" t="s">
        <v>36</v>
      </c>
      <c r="B36" t="s">
        <v>584</v>
      </c>
      <c r="C36" t="s">
        <v>84</v>
      </c>
      <c r="D36" t="s">
        <v>82</v>
      </c>
      <c r="E36" s="3">
        <v>22070625</v>
      </c>
      <c r="F36" s="3">
        <v>110882</v>
      </c>
      <c r="G36" s="3">
        <v>28167</v>
      </c>
      <c r="H36" s="3">
        <v>54548</v>
      </c>
      <c r="J36" s="3">
        <v>28167</v>
      </c>
      <c r="K36" s="11">
        <f t="shared" si="0"/>
        <v>104865.74099999997</v>
      </c>
      <c r="L36" s="3">
        <v>101541.102</v>
      </c>
      <c r="M36" s="3">
        <v>6144.6873840000007</v>
      </c>
      <c r="N36" s="3">
        <v>167545.61654246267</v>
      </c>
      <c r="O36" s="3">
        <v>162233.789384</v>
      </c>
      <c r="P36" s="9">
        <v>0.49194639346332142</v>
      </c>
      <c r="Q36" s="9">
        <v>0.50805360653667853</v>
      </c>
    </row>
    <row r="37" spans="1:17">
      <c r="A37" t="s">
        <v>37</v>
      </c>
      <c r="B37" t="s">
        <v>586</v>
      </c>
      <c r="C37" t="s">
        <v>86</v>
      </c>
      <c r="D37" t="s">
        <v>56</v>
      </c>
      <c r="E37" s="3">
        <v>1500000</v>
      </c>
      <c r="F37" s="3">
        <v>12486</v>
      </c>
      <c r="G37" s="3">
        <v>7609</v>
      </c>
      <c r="H37" s="3">
        <v>4877</v>
      </c>
      <c r="K37" s="11">
        <f t="shared" si="0"/>
        <v>8545.989384288745</v>
      </c>
      <c r="L37" s="3">
        <v>5477.5647558386418</v>
      </c>
      <c r="M37" s="3">
        <v>0</v>
      </c>
      <c r="N37" s="3">
        <v>16154.989384288741</v>
      </c>
      <c r="O37" s="3">
        <v>10354.564755838641</v>
      </c>
      <c r="P37" s="9">
        <v>0.39059746916546539</v>
      </c>
      <c r="Q37" s="9">
        <v>0.60940253083453455</v>
      </c>
    </row>
    <row r="38" spans="1:17">
      <c r="A38" t="s">
        <v>38</v>
      </c>
      <c r="B38" t="s">
        <v>587</v>
      </c>
      <c r="C38" t="s">
        <v>87</v>
      </c>
      <c r="D38" t="s">
        <v>53</v>
      </c>
      <c r="E38" s="3">
        <v>4254200</v>
      </c>
      <c r="F38" s="3">
        <v>35412</v>
      </c>
      <c r="G38" s="3">
        <v>670</v>
      </c>
      <c r="H38" s="3">
        <v>6267</v>
      </c>
      <c r="J38" s="3">
        <v>28475</v>
      </c>
      <c r="K38" s="11">
        <f t="shared" si="0"/>
        <v>32733.980891719744</v>
      </c>
      <c r="L38" s="3">
        <v>7038.7324840764331</v>
      </c>
      <c r="M38" s="3">
        <v>0</v>
      </c>
      <c r="N38" s="3">
        <v>61878.980891719752</v>
      </c>
      <c r="O38" s="3">
        <v>13305.732484076434</v>
      </c>
      <c r="P38" s="9">
        <v>0.1769739071501186</v>
      </c>
      <c r="Q38" s="9">
        <v>0.82302609284988137</v>
      </c>
    </row>
    <row r="39" spans="1:17">
      <c r="A39" t="s">
        <v>39</v>
      </c>
      <c r="B39" t="s">
        <v>588</v>
      </c>
      <c r="C39" t="s">
        <v>88</v>
      </c>
      <c r="D39" t="s">
        <v>56</v>
      </c>
      <c r="E39" s="3">
        <v>3530779</v>
      </c>
      <c r="F39" s="3">
        <v>29390</v>
      </c>
      <c r="G39" s="3">
        <v>17911</v>
      </c>
      <c r="H39" s="3">
        <v>11479</v>
      </c>
      <c r="K39" s="11">
        <f t="shared" si="0"/>
        <v>20116.600849256902</v>
      </c>
      <c r="L39" s="3">
        <v>12892.54989384289</v>
      </c>
      <c r="M39" s="3">
        <v>0</v>
      </c>
      <c r="N39" s="3">
        <v>38027.600849256902</v>
      </c>
      <c r="O39" s="3">
        <v>24371.54989384289</v>
      </c>
      <c r="P39" s="9">
        <v>0.39057502551888401</v>
      </c>
      <c r="Q39" s="9">
        <v>0.60942497448111599</v>
      </c>
    </row>
    <row r="40" spans="1:17">
      <c r="A40" t="s">
        <v>40</v>
      </c>
      <c r="B40" t="s">
        <v>589</v>
      </c>
      <c r="C40" t="s">
        <v>89</v>
      </c>
      <c r="D40" t="s">
        <v>56</v>
      </c>
      <c r="E40" s="3">
        <v>410486</v>
      </c>
      <c r="F40" s="3">
        <v>3417</v>
      </c>
      <c r="G40" s="3">
        <v>2082</v>
      </c>
      <c r="H40" s="3">
        <v>1335</v>
      </c>
      <c r="K40" s="11">
        <f t="shared" si="0"/>
        <v>2338.3821656050955</v>
      </c>
      <c r="L40" s="3">
        <v>1499.3949044585988</v>
      </c>
      <c r="M40" s="3">
        <v>0</v>
      </c>
      <c r="N40" s="3">
        <v>4420.3821656050959</v>
      </c>
      <c r="O40" s="3">
        <v>2834.3949044585988</v>
      </c>
      <c r="P40" s="9">
        <v>0.39069359086918348</v>
      </c>
      <c r="Q40" s="9">
        <v>0.60930640913081646</v>
      </c>
    </row>
    <row r="41" spans="1:17">
      <c r="A41" t="s">
        <v>41</v>
      </c>
      <c r="B41" t="s">
        <v>590</v>
      </c>
      <c r="C41" t="s">
        <v>90</v>
      </c>
      <c r="D41" t="s">
        <v>56</v>
      </c>
      <c r="E41" s="3">
        <v>103700</v>
      </c>
      <c r="F41" s="3">
        <v>863</v>
      </c>
      <c r="G41" s="3">
        <v>863</v>
      </c>
      <c r="H41" s="3">
        <v>0</v>
      </c>
      <c r="K41" s="11">
        <v>0</v>
      </c>
      <c r="L41" s="3">
        <v>0</v>
      </c>
      <c r="M41" s="3">
        <v>0</v>
      </c>
      <c r="N41" s="3">
        <v>0</v>
      </c>
      <c r="O41" s="3">
        <v>0</v>
      </c>
      <c r="P41" s="9">
        <v>0</v>
      </c>
      <c r="Q41" s="9">
        <v>1</v>
      </c>
    </row>
    <row r="43" spans="1:17">
      <c r="A43" t="s">
        <v>93</v>
      </c>
      <c r="E43" s="3">
        <v>672393247</v>
      </c>
      <c r="F43" s="3">
        <v>4109731</v>
      </c>
      <c r="G43" s="3">
        <v>1951688</v>
      </c>
      <c r="H43" s="3">
        <v>1684461</v>
      </c>
      <c r="I43" s="9">
        <f>SUM(H43/(H43+F43))</f>
        <v>0.29071542675838152</v>
      </c>
      <c r="J43" s="3">
        <v>437407</v>
      </c>
      <c r="K43" s="3">
        <f>SUM(K2:K41)</f>
        <v>3468004.3404008495</v>
      </c>
      <c r="L43" s="3">
        <f>SUM(L2:L41)</f>
        <v>2751860.1914314232</v>
      </c>
      <c r="N43" s="3">
        <v>6073887.6671590405</v>
      </c>
      <c r="O43" s="3">
        <v>4577949.3068794226</v>
      </c>
      <c r="P43" s="9">
        <f>SUM(O43/(O43+N43))</f>
        <v>0.42978026400865682</v>
      </c>
    </row>
    <row r="44" spans="1:17">
      <c r="A44" t="s">
        <v>94</v>
      </c>
      <c r="F44" s="3">
        <f>SUM(H44*0.63)/0.37</f>
        <v>354289.86486486485</v>
      </c>
      <c r="H44" s="3">
        <v>208075</v>
      </c>
      <c r="I44" s="9">
        <f t="shared" ref="I44:I45" si="1">SUM(H44/(H44+F44))</f>
        <v>0.37</v>
      </c>
      <c r="K44" s="3">
        <f>SUM((L44*(1-K47)/K47))</f>
        <v>295699.9026680612</v>
      </c>
      <c r="L44" s="3">
        <f>SUM((0.53*H44)/0.47)</f>
        <v>234637.76595744683</v>
      </c>
      <c r="N44" s="3">
        <f>SUM(O44*0.63)/0.37</f>
        <v>753808.22311673372</v>
      </c>
      <c r="O44" s="3">
        <f>SUM(H44+L44)</f>
        <v>442712.76595744683</v>
      </c>
      <c r="P44" s="9">
        <f t="shared" ref="P44:P45" si="2">SUM(O44/(O44+N44))</f>
        <v>0.37</v>
      </c>
    </row>
    <row r="45" spans="1:17">
      <c r="A45" t="s">
        <v>95</v>
      </c>
      <c r="F45" s="3">
        <f>SUM(F43+F44)</f>
        <v>4464020.8648648653</v>
      </c>
      <c r="H45" s="3">
        <v>1892536</v>
      </c>
      <c r="I45" s="9">
        <f t="shared" si="1"/>
        <v>0.29772973643337863</v>
      </c>
      <c r="K45" s="3">
        <f>SUM(K43:K44)</f>
        <v>3763704.2430689107</v>
      </c>
      <c r="L45" s="3">
        <f>SUM(L43:L44)</f>
        <v>2986497.95738887</v>
      </c>
      <c r="N45" s="3">
        <f>SUM(N43+N44)</f>
        <v>6827695.8902757745</v>
      </c>
      <c r="O45" s="3">
        <f>SUM(O43+O44)</f>
        <v>5020662.0728368694</v>
      </c>
      <c r="P45" s="9">
        <f t="shared" si="2"/>
        <v>0.42374328058517796</v>
      </c>
    </row>
    <row r="47" spans="1:17">
      <c r="J47" s="2" t="s">
        <v>693</v>
      </c>
      <c r="K47" s="50">
        <f>SUM(L43/(K43+L43))</f>
        <v>0.4424308885423216</v>
      </c>
    </row>
    <row r="48" spans="1:17">
      <c r="H48" s="2"/>
      <c r="J48" s="2" t="s">
        <v>694</v>
      </c>
      <c r="K48" s="50">
        <f>SUM(L45/(K45+L45))</f>
        <v>0.44243088854232154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B1" workbookViewId="0">
      <pane ySplit="1" topLeftCell="A2" activePane="bottomLeft" state="frozen"/>
      <selection pane="bottomLeft" activeCell="K22" sqref="K22"/>
    </sheetView>
  </sheetViews>
  <sheetFormatPr baseColWidth="10" defaultColWidth="8.83203125" defaultRowHeight="14" x14ac:dyDescent="0"/>
  <cols>
    <col min="1" max="3" width="8.83203125" style="3"/>
    <col min="4" max="4" width="32.5" style="3" bestFit="1" customWidth="1"/>
    <col min="5" max="5" width="19.1640625" style="3" bestFit="1" customWidth="1"/>
    <col min="6" max="6" width="19.1640625" style="3" customWidth="1"/>
    <col min="7" max="7" width="19" style="3" bestFit="1" customWidth="1"/>
    <col min="8" max="8" width="18.6640625" style="3" bestFit="1" customWidth="1"/>
    <col min="9" max="9" width="16.33203125" style="3" bestFit="1" customWidth="1"/>
    <col min="10" max="11" width="14.5" style="3" bestFit="1" customWidth="1"/>
    <col min="12" max="13" width="8.83203125" style="9"/>
  </cols>
  <sheetData>
    <row r="1" spans="1:13">
      <c r="A1" s="2" t="s">
        <v>0</v>
      </c>
      <c r="B1" s="2" t="s">
        <v>411</v>
      </c>
      <c r="C1" s="2" t="s">
        <v>1</v>
      </c>
      <c r="D1" s="2" t="s">
        <v>52</v>
      </c>
      <c r="E1" s="2" t="s">
        <v>594</v>
      </c>
      <c r="F1" s="2" t="s">
        <v>91</v>
      </c>
      <c r="G1" s="2" t="s">
        <v>61</v>
      </c>
      <c r="H1" s="2" t="s">
        <v>191</v>
      </c>
      <c r="I1" s="2" t="s">
        <v>348</v>
      </c>
      <c r="J1" s="2" t="s">
        <v>328</v>
      </c>
      <c r="K1" s="2" t="s">
        <v>333</v>
      </c>
      <c r="L1" s="21" t="s">
        <v>48</v>
      </c>
      <c r="M1" s="21" t="s">
        <v>349</v>
      </c>
    </row>
    <row r="2" spans="1:13">
      <c r="A2" s="3" t="s">
        <v>592</v>
      </c>
      <c r="B2" s="3" t="s">
        <v>642</v>
      </c>
      <c r="C2" s="3" t="s">
        <v>641</v>
      </c>
      <c r="D2" s="3" t="s">
        <v>643</v>
      </c>
      <c r="E2" s="3">
        <v>3565260</v>
      </c>
      <c r="F2" s="3">
        <v>21177.644400000001</v>
      </c>
      <c r="G2" s="3">
        <v>49414.503600000004</v>
      </c>
      <c r="H2" s="3">
        <v>62891.186399999999</v>
      </c>
      <c r="I2" s="3">
        <v>0</v>
      </c>
      <c r="J2" s="3">
        <v>48131.01</v>
      </c>
      <c r="K2" s="3">
        <v>112305.69</v>
      </c>
      <c r="L2" s="9">
        <v>0.7</v>
      </c>
      <c r="M2" s="9">
        <v>0.30000000000000004</v>
      </c>
    </row>
    <row r="3" spans="1:13">
      <c r="A3" s="3" t="s">
        <v>596</v>
      </c>
      <c r="B3" s="3" t="s">
        <v>646</v>
      </c>
      <c r="C3" s="3" t="s">
        <v>647</v>
      </c>
      <c r="D3" s="3" t="s">
        <v>644</v>
      </c>
      <c r="E3" s="3">
        <v>14600000</v>
      </c>
      <c r="F3" s="3">
        <v>77964</v>
      </c>
      <c r="G3" s="3">
        <v>12816</v>
      </c>
      <c r="H3" s="3">
        <v>18144</v>
      </c>
      <c r="I3" s="3">
        <v>0</v>
      </c>
      <c r="J3" s="3">
        <v>188340</v>
      </c>
      <c r="K3" s="3">
        <v>30960</v>
      </c>
      <c r="L3" s="9">
        <v>0.14117647058823529</v>
      </c>
      <c r="M3" s="9">
        <v>0.85882352941176476</v>
      </c>
    </row>
    <row r="4" spans="1:13">
      <c r="A4" s="3" t="s">
        <v>599</v>
      </c>
      <c r="B4" s="3" t="s">
        <v>648</v>
      </c>
      <c r="C4" s="3" t="s">
        <v>597</v>
      </c>
      <c r="D4" s="3" t="s">
        <v>643</v>
      </c>
      <c r="E4" s="3">
        <v>24097281</v>
      </c>
      <c r="F4" s="3">
        <v>143137.84914000001</v>
      </c>
      <c r="G4" s="3">
        <v>15904.207440000002</v>
      </c>
      <c r="H4" s="3">
        <v>20241.718560000001</v>
      </c>
      <c r="I4" s="3">
        <v>0</v>
      </c>
      <c r="J4" s="3">
        <v>325313.29350000003</v>
      </c>
      <c r="K4" s="3">
        <v>36145.926000000007</v>
      </c>
      <c r="L4" s="9">
        <v>0.1000000112045835</v>
      </c>
      <c r="M4" s="9">
        <v>0.89999998879541654</v>
      </c>
    </row>
    <row r="5" spans="1:13">
      <c r="A5" s="3" t="s">
        <v>599</v>
      </c>
      <c r="B5" s="3" t="s">
        <v>650</v>
      </c>
      <c r="C5" s="3" t="s">
        <v>600</v>
      </c>
      <c r="D5" s="3" t="s">
        <v>643</v>
      </c>
      <c r="E5" s="3">
        <v>1838613</v>
      </c>
      <c r="F5" s="3">
        <v>10921.361220000001</v>
      </c>
      <c r="G5" s="3">
        <v>16382.0448</v>
      </c>
      <c r="H5" s="3">
        <v>20849.875199999999</v>
      </c>
      <c r="I5" s="3">
        <v>0</v>
      </c>
      <c r="J5" s="3">
        <v>24821.275500000003</v>
      </c>
      <c r="K5" s="3">
        <v>37231.920000000006</v>
      </c>
      <c r="L5" s="9">
        <v>0.60000004351105496</v>
      </c>
      <c r="M5" s="9">
        <v>0.39999995648894504</v>
      </c>
    </row>
    <row r="6" spans="1:13">
      <c r="A6" s="3" t="s">
        <v>603</v>
      </c>
      <c r="B6" s="3" t="s">
        <v>651</v>
      </c>
      <c r="C6" s="3" t="s">
        <v>601</v>
      </c>
      <c r="D6" s="3" t="s">
        <v>652</v>
      </c>
      <c r="E6" s="3">
        <v>6370585</v>
      </c>
      <c r="F6" s="3">
        <v>44084.448199999999</v>
      </c>
      <c r="G6" s="3">
        <v>9796.5471199999993</v>
      </c>
      <c r="H6" s="3">
        <v>10702.586160000001</v>
      </c>
      <c r="I6" s="3">
        <v>0</v>
      </c>
      <c r="J6" s="3">
        <v>92246.070800000001</v>
      </c>
      <c r="K6" s="3">
        <v>20499.133280000002</v>
      </c>
      <c r="L6" s="9">
        <v>0.18181822852043042</v>
      </c>
      <c r="M6" s="9">
        <v>0.81818177147956961</v>
      </c>
    </row>
    <row r="7" spans="1:13">
      <c r="A7" s="3" t="s">
        <v>606</v>
      </c>
      <c r="B7" s="3" t="s">
        <v>653</v>
      </c>
      <c r="C7" s="3" t="s">
        <v>604</v>
      </c>
      <c r="D7" s="3" t="s">
        <v>644</v>
      </c>
      <c r="E7" s="3">
        <v>19712145</v>
      </c>
      <c r="F7" s="3">
        <v>105262.85430000001</v>
      </c>
      <c r="G7" s="3">
        <v>6157.3137000000006</v>
      </c>
      <c r="H7" s="3">
        <v>8717.095800000001</v>
      </c>
      <c r="I7" s="3">
        <v>0</v>
      </c>
      <c r="J7" s="3">
        <v>254286.67050000001</v>
      </c>
      <c r="K7" s="3">
        <v>14874.4095</v>
      </c>
      <c r="L7" s="9">
        <v>5.5262111074899832E-2</v>
      </c>
      <c r="M7" s="9">
        <v>0.94473788892510013</v>
      </c>
    </row>
    <row r="8" spans="1:13">
      <c r="A8" s="3" t="s">
        <v>609</v>
      </c>
      <c r="B8" s="3" t="s">
        <v>654</v>
      </c>
      <c r="C8" s="3" t="s">
        <v>607</v>
      </c>
      <c r="D8" s="3" t="s">
        <v>644</v>
      </c>
      <c r="E8" s="3">
        <v>2476640</v>
      </c>
      <c r="F8" s="3">
        <v>13225.257600000001</v>
      </c>
      <c r="G8" s="3">
        <v>3306.3144000000002</v>
      </c>
      <c r="H8" s="3">
        <v>4680.8496000000005</v>
      </c>
      <c r="I8" s="3">
        <v>0</v>
      </c>
      <c r="J8" s="3">
        <v>31948.656000000003</v>
      </c>
      <c r="K8" s="3">
        <v>7987.1640000000007</v>
      </c>
      <c r="L8" s="9">
        <v>0.19999999999999998</v>
      </c>
      <c r="M8" s="9">
        <v>0.8</v>
      </c>
    </row>
    <row r="9" spans="1:13">
      <c r="A9" s="3" t="s">
        <v>612</v>
      </c>
      <c r="B9" s="3" t="s">
        <v>655</v>
      </c>
      <c r="C9" s="3" t="s">
        <v>611</v>
      </c>
      <c r="D9" s="3" t="s">
        <v>652</v>
      </c>
      <c r="E9" s="3">
        <v>23109000</v>
      </c>
      <c r="F9" s="3">
        <v>159914.28</v>
      </c>
      <c r="G9" s="3">
        <v>39981.054279999997</v>
      </c>
      <c r="H9" s="3">
        <v>43678.724040000001</v>
      </c>
      <c r="I9" s="3">
        <v>0</v>
      </c>
      <c r="J9" s="3">
        <v>334618.32</v>
      </c>
      <c r="K9" s="3">
        <v>83659.778320000012</v>
      </c>
      <c r="L9" s="9">
        <v>0.20000994232310207</v>
      </c>
      <c r="M9" s="9">
        <v>0.7999900576768979</v>
      </c>
    </row>
    <row r="10" spans="1:13">
      <c r="A10" s="3" t="s">
        <v>614</v>
      </c>
      <c r="B10" s="3" t="s">
        <v>656</v>
      </c>
      <c r="C10" s="3" t="s">
        <v>638</v>
      </c>
      <c r="D10" s="3" t="s">
        <v>657</v>
      </c>
      <c r="E10" s="3">
        <v>23419753</v>
      </c>
      <c r="F10" s="3">
        <v>115225.18476000002</v>
      </c>
      <c r="G10" s="3">
        <v>49382.222040000001</v>
      </c>
      <c r="H10" s="3">
        <v>75879.999720000007</v>
      </c>
      <c r="I10" s="3">
        <v>0</v>
      </c>
      <c r="J10" s="3">
        <v>292278.51744000003</v>
      </c>
      <c r="K10" s="3">
        <v>125262.22176</v>
      </c>
      <c r="L10" s="9">
        <v>0.3</v>
      </c>
      <c r="M10" s="9">
        <v>0.7</v>
      </c>
    </row>
    <row r="11" spans="1:13">
      <c r="A11" s="3" t="s">
        <v>616</v>
      </c>
      <c r="B11" s="3" t="s">
        <v>648</v>
      </c>
      <c r="C11" s="3" t="s">
        <v>597</v>
      </c>
      <c r="D11" s="3" t="s">
        <v>643</v>
      </c>
      <c r="E11" s="3">
        <v>5184235</v>
      </c>
      <c r="F11" s="3">
        <v>30794.355900000002</v>
      </c>
      <c r="G11" s="3">
        <v>3421.5885000000003</v>
      </c>
      <c r="H11" s="3">
        <v>4354.7489999999998</v>
      </c>
      <c r="I11" s="3">
        <v>0</v>
      </c>
      <c r="J11" s="3">
        <v>69987.172500000001</v>
      </c>
      <c r="K11" s="3">
        <v>7776.3375000000005</v>
      </c>
      <c r="L11" s="9">
        <v>9.9999826396725167E-2</v>
      </c>
      <c r="M11" s="9">
        <v>0.90000017360327478</v>
      </c>
    </row>
    <row r="12" spans="1:13">
      <c r="A12" s="3" t="s">
        <v>618</v>
      </c>
      <c r="B12" s="3" t="s">
        <v>650</v>
      </c>
      <c r="C12" s="3" t="s">
        <v>600</v>
      </c>
      <c r="D12" s="3" t="s">
        <v>643</v>
      </c>
      <c r="E12" s="3">
        <v>4046786</v>
      </c>
      <c r="F12" s="3">
        <v>24037.908840000004</v>
      </c>
      <c r="G12" s="3">
        <v>35991.832139999999</v>
      </c>
      <c r="H12" s="3">
        <v>45807.786359999998</v>
      </c>
      <c r="I12" s="3">
        <v>0</v>
      </c>
      <c r="J12" s="3">
        <v>54631.611000000012</v>
      </c>
      <c r="K12" s="3">
        <v>81799.618499999997</v>
      </c>
      <c r="L12" s="9">
        <v>0.59956667399233532</v>
      </c>
      <c r="M12" s="9">
        <v>0.40043332600766468</v>
      </c>
    </row>
    <row r="13" spans="1:13">
      <c r="A13" s="3" t="s">
        <v>620</v>
      </c>
      <c r="B13" s="3" t="s">
        <v>658</v>
      </c>
      <c r="C13" s="3" t="s">
        <v>601</v>
      </c>
      <c r="D13" s="3" t="s">
        <v>657</v>
      </c>
      <c r="E13" s="3">
        <v>5553886</v>
      </c>
      <c r="F13" s="3">
        <v>27325.119119999999</v>
      </c>
      <c r="G13" s="3">
        <v>3036.1320000000001</v>
      </c>
      <c r="H13" s="3">
        <v>4665.2759999999998</v>
      </c>
      <c r="I13" s="3">
        <v>0</v>
      </c>
      <c r="J13" s="3">
        <v>69312.497279999996</v>
      </c>
      <c r="K13" s="3">
        <v>7701.4079999999994</v>
      </c>
      <c r="L13" s="9">
        <v>0.10000022686812124</v>
      </c>
      <c r="M13" s="9">
        <v>0.89999977313187873</v>
      </c>
    </row>
    <row r="14" spans="1:13">
      <c r="A14" s="3" t="s">
        <v>626</v>
      </c>
      <c r="B14" s="3" t="s">
        <v>642</v>
      </c>
      <c r="C14" s="3" t="s">
        <v>624</v>
      </c>
      <c r="D14" s="3" t="s">
        <v>56</v>
      </c>
      <c r="E14" s="3">
        <v>994292</v>
      </c>
      <c r="F14" s="3">
        <v>0</v>
      </c>
      <c r="G14" s="3">
        <v>9140.8590999999997</v>
      </c>
      <c r="H14" s="3">
        <v>17539.313399999999</v>
      </c>
      <c r="I14" s="3">
        <v>0</v>
      </c>
      <c r="J14" s="3">
        <v>11434.358000000002</v>
      </c>
      <c r="K14" s="3">
        <v>26680.172500000001</v>
      </c>
      <c r="L14" s="9">
        <v>0.70000003017222001</v>
      </c>
      <c r="M14" s="9">
        <v>0.29999996982777999</v>
      </c>
    </row>
    <row r="15" spans="1:13">
      <c r="A15" s="3" t="s">
        <v>628</v>
      </c>
      <c r="B15" s="3" t="s">
        <v>653</v>
      </c>
      <c r="C15" s="3" t="s">
        <v>604</v>
      </c>
      <c r="D15" s="3" t="s">
        <v>56</v>
      </c>
      <c r="E15" s="3">
        <v>8138775</v>
      </c>
      <c r="F15" s="3">
        <v>32066.773499999999</v>
      </c>
      <c r="G15" s="3">
        <v>954.81565999999998</v>
      </c>
      <c r="H15" s="3">
        <v>1832.08284</v>
      </c>
      <c r="I15" s="3">
        <v>0</v>
      </c>
      <c r="J15" s="3">
        <v>93595.912500000006</v>
      </c>
      <c r="K15" s="3">
        <v>2786.8985000000002</v>
      </c>
      <c r="L15" s="9">
        <v>2.8914891266244559E-2</v>
      </c>
      <c r="M15" s="9">
        <v>0.97108510873375542</v>
      </c>
    </row>
    <row r="16" spans="1:13">
      <c r="A16" s="3" t="s">
        <v>631</v>
      </c>
      <c r="B16" s="3" t="s">
        <v>659</v>
      </c>
      <c r="C16" s="3" t="s">
        <v>629</v>
      </c>
      <c r="D16" s="3" t="s">
        <v>56</v>
      </c>
      <c r="E16" s="3">
        <v>0</v>
      </c>
      <c r="F16" s="3">
        <v>0</v>
      </c>
      <c r="G16" s="3">
        <v>33634.203999999998</v>
      </c>
      <c r="H16" s="3">
        <v>64536.696000000004</v>
      </c>
      <c r="I16" s="3">
        <v>0</v>
      </c>
      <c r="J16" s="3">
        <v>0</v>
      </c>
      <c r="K16" s="3">
        <v>98170.900000000009</v>
      </c>
      <c r="L16" s="9">
        <v>1</v>
      </c>
      <c r="M16" s="9">
        <v>0</v>
      </c>
    </row>
    <row r="17" spans="1:13">
      <c r="A17" s="3" t="s">
        <v>661</v>
      </c>
      <c r="B17" s="3" t="s">
        <v>662</v>
      </c>
      <c r="C17" s="3" t="s">
        <v>632</v>
      </c>
      <c r="D17" s="3" t="s">
        <v>56</v>
      </c>
      <c r="E17" s="3">
        <v>57908</v>
      </c>
      <c r="F17" s="3">
        <v>228.15752000000001</v>
      </c>
      <c r="G17" s="3">
        <v>45810.59276</v>
      </c>
      <c r="H17" s="3">
        <v>87900.528240000014</v>
      </c>
      <c r="I17" s="3">
        <v>0</v>
      </c>
      <c r="J17" s="3">
        <v>665.94200000000001</v>
      </c>
      <c r="K17" s="3">
        <v>133711.12100000001</v>
      </c>
      <c r="L17" s="9">
        <v>0.99504422864190734</v>
      </c>
      <c r="M17" s="9">
        <v>4.9557713580926643E-3</v>
      </c>
    </row>
    <row r="18" spans="1:13">
      <c r="A18" s="3" t="s">
        <v>635</v>
      </c>
      <c r="B18" s="3" t="s">
        <v>663</v>
      </c>
      <c r="C18" s="3" t="s">
        <v>633</v>
      </c>
      <c r="D18" s="3" t="s">
        <v>664</v>
      </c>
      <c r="E18" s="3">
        <v>5488466</v>
      </c>
      <c r="F18" s="3">
        <v>15126.212296</v>
      </c>
      <c r="G18" s="3">
        <v>3960.5676760000001</v>
      </c>
      <c r="H18" s="3">
        <v>10329.666348000001</v>
      </c>
      <c r="I18" s="3">
        <v>0</v>
      </c>
      <c r="J18" s="3">
        <v>66908.791312799993</v>
      </c>
      <c r="K18" s="3">
        <v>17519.045146800003</v>
      </c>
      <c r="L18" s="9">
        <v>0.20750318711747556</v>
      </c>
      <c r="M18" s="9">
        <v>0.79249681288252449</v>
      </c>
    </row>
    <row r="19" spans="1:13">
      <c r="A19" s="3" t="s">
        <v>637</v>
      </c>
      <c r="B19" s="3" t="s">
        <v>655</v>
      </c>
      <c r="C19" s="3" t="s">
        <v>611</v>
      </c>
      <c r="D19" s="3" t="s">
        <v>657</v>
      </c>
      <c r="E19" s="3">
        <v>2966778</v>
      </c>
      <c r="F19" s="3">
        <v>14596.547759999999</v>
      </c>
      <c r="G19" s="3">
        <v>2691.7418400000001</v>
      </c>
      <c r="H19" s="3">
        <v>4136.09112</v>
      </c>
      <c r="I19" s="3">
        <v>0</v>
      </c>
      <c r="J19" s="3">
        <v>37025.389439999999</v>
      </c>
      <c r="K19" s="3">
        <v>6827.8329600000006</v>
      </c>
      <c r="L19" s="9">
        <v>0.15569740571675755</v>
      </c>
      <c r="M19" s="9">
        <v>0.8443025942832425</v>
      </c>
    </row>
    <row r="20" spans="1:13">
      <c r="A20" s="3" t="s">
        <v>640</v>
      </c>
      <c r="B20" s="3" t="s">
        <v>656</v>
      </c>
      <c r="C20" s="3" t="s">
        <v>638</v>
      </c>
      <c r="D20" s="3" t="s">
        <v>657</v>
      </c>
      <c r="E20" s="3">
        <v>9470338</v>
      </c>
      <c r="F20" s="3">
        <v>46594.062960000003</v>
      </c>
      <c r="G20" s="3">
        <v>8705.6103600000006</v>
      </c>
      <c r="H20" s="3">
        <v>13376.913480000001</v>
      </c>
      <c r="I20" s="3">
        <v>0</v>
      </c>
      <c r="J20" s="3">
        <v>118189.81823999999</v>
      </c>
      <c r="K20" s="3">
        <v>22082.523840000002</v>
      </c>
      <c r="L20" s="9">
        <v>0.15742607211481444</v>
      </c>
      <c r="M20" s="9">
        <v>0.84257392788518559</v>
      </c>
    </row>
    <row r="22" spans="1:13">
      <c r="E22" s="3">
        <f>SUM(E2:E20)</f>
        <v>161090741</v>
      </c>
      <c r="F22" s="3">
        <f>SUM(F2:F20)</f>
        <v>881682.01751600008</v>
      </c>
      <c r="G22" s="3">
        <f t="shared" ref="G22:K22" si="0">SUM(G2:G20)</f>
        <v>350488.15141600004</v>
      </c>
      <c r="H22" s="3">
        <f t="shared" si="0"/>
        <v>520265.13826800004</v>
      </c>
      <c r="I22" s="3">
        <f t="shared" si="0"/>
        <v>0</v>
      </c>
      <c r="J22" s="3">
        <f t="shared" si="0"/>
        <v>2113735.3060128004</v>
      </c>
      <c r="K22" s="3">
        <f t="shared" si="0"/>
        <v>873982.10080680018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opLeftCell="C1" workbookViewId="0">
      <pane ySplit="1" topLeftCell="A4" activePane="bottomLeft" state="frozen"/>
      <selection pane="bottomLeft" activeCell="J36" sqref="J36"/>
    </sheetView>
  </sheetViews>
  <sheetFormatPr baseColWidth="10" defaultColWidth="8.83203125" defaultRowHeight="14" x14ac:dyDescent="0"/>
  <cols>
    <col min="1" max="1" width="12" customWidth="1"/>
    <col min="2" max="3" width="27.1640625" customWidth="1"/>
    <col min="4" max="4" width="15" bestFit="1" customWidth="1"/>
    <col min="5" max="5" width="18.6640625" bestFit="1" customWidth="1"/>
    <col min="6" max="6" width="18.6640625" customWidth="1"/>
    <col min="7" max="7" width="23.33203125" style="3" bestFit="1" customWidth="1"/>
    <col min="8" max="13" width="18.6640625" style="3" customWidth="1"/>
    <col min="14" max="14" width="19.5" style="3" bestFit="1" customWidth="1"/>
    <col min="15" max="15" width="19.5" style="3" customWidth="1"/>
    <col min="16" max="16" width="19" style="3" bestFit="1" customWidth="1"/>
    <col min="17" max="17" width="20.5" style="3" bestFit="1" customWidth="1"/>
    <col min="18" max="19" width="20.33203125" style="3" customWidth="1"/>
    <col min="20" max="20" width="26.33203125" style="3" bestFit="1" customWidth="1"/>
    <col min="21" max="21" width="22.5" style="3" bestFit="1" customWidth="1"/>
  </cols>
  <sheetData>
    <row r="1" spans="1:29">
      <c r="A1" s="1" t="s">
        <v>382</v>
      </c>
      <c r="B1" s="1" t="s">
        <v>1</v>
      </c>
      <c r="C1" s="1" t="s">
        <v>411</v>
      </c>
      <c r="D1" s="1" t="s">
        <v>52</v>
      </c>
      <c r="E1" s="1" t="s">
        <v>410</v>
      </c>
      <c r="F1" s="1" t="s">
        <v>420</v>
      </c>
      <c r="G1" s="2" t="s">
        <v>62</v>
      </c>
      <c r="H1" s="2" t="s">
        <v>61</v>
      </c>
      <c r="I1" s="2"/>
      <c r="J1" s="2" t="s">
        <v>424</v>
      </c>
      <c r="K1" s="2" t="s">
        <v>191</v>
      </c>
      <c r="L1" s="2"/>
      <c r="M1" s="2" t="s">
        <v>423</v>
      </c>
      <c r="N1" s="2" t="s">
        <v>348</v>
      </c>
      <c r="O1" s="2"/>
      <c r="P1" s="2" t="s">
        <v>328</v>
      </c>
      <c r="Q1" s="2" t="s">
        <v>333</v>
      </c>
      <c r="R1" s="2" t="s">
        <v>421</v>
      </c>
      <c r="S1" s="2" t="s">
        <v>422</v>
      </c>
      <c r="T1" s="2" t="s">
        <v>408</v>
      </c>
      <c r="U1" s="2" t="s">
        <v>409</v>
      </c>
      <c r="V1" s="2"/>
      <c r="W1" s="2"/>
      <c r="X1" s="2"/>
      <c r="Y1" s="2"/>
      <c r="Z1" s="2"/>
      <c r="AA1" s="2"/>
      <c r="AB1" s="1"/>
      <c r="AC1" s="1"/>
    </row>
    <row r="2" spans="1:29">
      <c r="A2" t="s">
        <v>392</v>
      </c>
      <c r="B2" t="s">
        <v>347</v>
      </c>
      <c r="C2" t="s">
        <v>415</v>
      </c>
      <c r="D2" t="s">
        <v>56</v>
      </c>
      <c r="E2" s="3">
        <v>0</v>
      </c>
      <c r="F2" s="3"/>
      <c r="P2" s="3" t="s">
        <v>413</v>
      </c>
      <c r="Q2" s="3">
        <f t="shared" ref="Q2:Q10" si="0">SUM(H2+K2+N2)</f>
        <v>0</v>
      </c>
      <c r="R2" s="9"/>
      <c r="S2" s="9"/>
      <c r="U2" s="3">
        <v>0</v>
      </c>
      <c r="V2" s="6"/>
    </row>
    <row r="3" spans="1:29">
      <c r="A3" t="s">
        <v>395</v>
      </c>
      <c r="B3" t="s">
        <v>347</v>
      </c>
      <c r="C3" t="s">
        <v>416</v>
      </c>
      <c r="D3" t="s">
        <v>56</v>
      </c>
      <c r="E3" s="3">
        <v>6355057</v>
      </c>
      <c r="F3" s="3"/>
      <c r="H3" s="3">
        <f t="shared" ref="H3:H14" si="1">SUM(T3:U3)</f>
        <v>33493.65</v>
      </c>
      <c r="K3" s="3">
        <f>SUM(50332+5211.14)</f>
        <v>55543.14</v>
      </c>
      <c r="N3" s="3">
        <v>0</v>
      </c>
      <c r="Q3" s="3">
        <f t="shared" si="0"/>
        <v>89036.790000000008</v>
      </c>
      <c r="R3" s="9"/>
      <c r="S3" s="9"/>
      <c r="T3" s="3">
        <v>32883.57</v>
      </c>
      <c r="U3" s="3">
        <v>610.08000000000004</v>
      </c>
      <c r="V3" s="6"/>
    </row>
    <row r="4" spans="1:29" s="1" customFormat="1">
      <c r="A4" s="1" t="s">
        <v>223</v>
      </c>
      <c r="B4" s="1" t="s">
        <v>347</v>
      </c>
      <c r="C4" s="1" t="s">
        <v>415</v>
      </c>
      <c r="D4" s="1" t="s">
        <v>56</v>
      </c>
      <c r="E4" s="2">
        <f>SUM(E2+E3)</f>
        <v>6355057</v>
      </c>
      <c r="F4" s="2">
        <v>0</v>
      </c>
      <c r="G4" s="2"/>
      <c r="H4" s="2">
        <v>33494</v>
      </c>
      <c r="I4" s="2"/>
      <c r="J4" s="2">
        <f>SUM(K4*(1-R4)/R4)</f>
        <v>0</v>
      </c>
      <c r="K4" s="2">
        <v>55543</v>
      </c>
      <c r="L4" s="2"/>
      <c r="M4" s="2">
        <v>0</v>
      </c>
      <c r="N4" s="2"/>
      <c r="O4" s="2"/>
      <c r="P4" s="2"/>
      <c r="Q4" s="2">
        <f t="shared" si="0"/>
        <v>89037</v>
      </c>
      <c r="R4" s="21">
        <v>1</v>
      </c>
      <c r="S4" s="21">
        <v>1</v>
      </c>
      <c r="T4" s="2"/>
      <c r="U4" s="2"/>
      <c r="V4" s="22"/>
    </row>
    <row r="5" spans="1:29">
      <c r="A5" t="s">
        <v>397</v>
      </c>
      <c r="B5" t="s">
        <v>352</v>
      </c>
      <c r="C5" t="s">
        <v>412</v>
      </c>
      <c r="D5" t="s">
        <v>353</v>
      </c>
      <c r="E5" s="3">
        <v>4395000</v>
      </c>
      <c r="F5" s="3">
        <v>1758000</v>
      </c>
      <c r="G5" s="3">
        <f>SUM(19295.81+421.92)</f>
        <v>19717.73</v>
      </c>
      <c r="H5" s="3">
        <f t="shared" si="1"/>
        <v>0</v>
      </c>
      <c r="K5" s="3">
        <v>0</v>
      </c>
      <c r="N5" s="3">
        <v>0</v>
      </c>
      <c r="P5" s="3">
        <v>58130.03</v>
      </c>
      <c r="Q5" s="3">
        <f t="shared" si="0"/>
        <v>0</v>
      </c>
      <c r="R5" s="9"/>
      <c r="S5" s="9"/>
      <c r="T5" s="3">
        <v>0</v>
      </c>
      <c r="U5" s="3">
        <v>0</v>
      </c>
      <c r="V5" s="6"/>
    </row>
    <row r="6" spans="1:29">
      <c r="A6" t="s">
        <v>399</v>
      </c>
      <c r="B6" t="s">
        <v>352</v>
      </c>
      <c r="C6" t="s">
        <v>414</v>
      </c>
      <c r="D6" t="s">
        <v>353</v>
      </c>
      <c r="E6" s="3">
        <v>6592600</v>
      </c>
      <c r="F6" s="3">
        <v>0</v>
      </c>
      <c r="G6" s="3">
        <v>0</v>
      </c>
      <c r="H6" s="3">
        <f t="shared" si="1"/>
        <v>29577.05</v>
      </c>
      <c r="K6" s="3">
        <f>SUM(52213.39+5405.93)</f>
        <v>57619.32</v>
      </c>
      <c r="N6" s="3">
        <v>15160</v>
      </c>
      <c r="Q6" s="3">
        <f t="shared" si="0"/>
        <v>102356.37</v>
      </c>
      <c r="R6" s="9"/>
      <c r="S6" s="9"/>
      <c r="T6" s="3">
        <v>28944.16</v>
      </c>
      <c r="U6" s="3">
        <v>632.89</v>
      </c>
      <c r="V6" s="6"/>
    </row>
    <row r="7" spans="1:29" s="1" customFormat="1">
      <c r="A7" s="1" t="s">
        <v>223</v>
      </c>
      <c r="B7" s="1" t="s">
        <v>352</v>
      </c>
      <c r="C7" s="1" t="s">
        <v>414</v>
      </c>
      <c r="D7" s="1" t="s">
        <v>353</v>
      </c>
      <c r="E7" s="2">
        <f>SUM(E5:E6)</f>
        <v>10987600</v>
      </c>
      <c r="F7" s="2">
        <f>SUM(F5:F6)</f>
        <v>1758000</v>
      </c>
      <c r="G7" s="2">
        <f>SUM(G5:G6)</f>
        <v>19717.73</v>
      </c>
      <c r="H7" s="2">
        <f>SUM(H5:H6)</f>
        <v>29577.05</v>
      </c>
      <c r="I7" s="2"/>
      <c r="J7" s="2">
        <f>SUM(K7*(1-R7)/R7)</f>
        <v>38412.289073575615</v>
      </c>
      <c r="K7" s="2">
        <f>SUM(K5:K6)</f>
        <v>57619.32</v>
      </c>
      <c r="L7" s="2"/>
      <c r="M7" s="2">
        <f>SUM(N7*(1-R7)/R7)</f>
        <v>10106.511190264071</v>
      </c>
      <c r="N7" s="2">
        <v>15160</v>
      </c>
      <c r="O7" s="2"/>
      <c r="P7" s="2">
        <f>SUM(M7,J7,G7)</f>
        <v>68236.530263839682</v>
      </c>
      <c r="Q7" s="2">
        <f t="shared" si="0"/>
        <v>102356.37</v>
      </c>
      <c r="R7" s="21">
        <f>SUM(H7/(H7+G7))</f>
        <v>0.60000369207449555</v>
      </c>
      <c r="S7" s="21">
        <f>SUM(Q7/(Q7+P7))</f>
        <v>0.60000369207449555</v>
      </c>
      <c r="T7" s="2"/>
      <c r="U7" s="2"/>
      <c r="V7" s="22"/>
    </row>
    <row r="8" spans="1:29">
      <c r="A8" t="s">
        <v>404</v>
      </c>
      <c r="B8" t="s">
        <v>354</v>
      </c>
      <c r="C8" t="s">
        <v>417</v>
      </c>
      <c r="D8" t="s">
        <v>353</v>
      </c>
      <c r="E8" s="3">
        <v>2805600</v>
      </c>
      <c r="F8" s="3">
        <v>1122240</v>
      </c>
      <c r="G8" s="3">
        <f>SUM(12317.71+269.34)</f>
        <v>12587.05</v>
      </c>
      <c r="H8" s="3">
        <f t="shared" si="1"/>
        <v>0</v>
      </c>
      <c r="K8" s="3">
        <v>0</v>
      </c>
      <c r="N8" s="3">
        <v>0</v>
      </c>
      <c r="P8" s="3">
        <v>37107.99</v>
      </c>
      <c r="Q8" s="3">
        <f t="shared" si="0"/>
        <v>0</v>
      </c>
      <c r="R8" s="9"/>
      <c r="S8" s="9"/>
      <c r="T8" s="3">
        <v>0</v>
      </c>
      <c r="U8" s="3">
        <v>0</v>
      </c>
      <c r="V8" s="6"/>
    </row>
    <row r="9" spans="1:29">
      <c r="A9" t="s">
        <v>405</v>
      </c>
      <c r="B9" t="s">
        <v>354</v>
      </c>
      <c r="C9" t="s">
        <v>417</v>
      </c>
      <c r="D9" t="s">
        <v>353</v>
      </c>
      <c r="E9" s="3">
        <v>1202400</v>
      </c>
      <c r="F9" s="3">
        <v>0</v>
      </c>
      <c r="G9" s="3">
        <v>0</v>
      </c>
      <c r="H9" s="3">
        <f t="shared" si="1"/>
        <v>5394.4400000000005</v>
      </c>
      <c r="K9" s="3">
        <f>SUM(9523.01+985.97)</f>
        <v>10508.98</v>
      </c>
      <c r="N9" s="3">
        <v>5411</v>
      </c>
      <c r="Q9" s="3">
        <f t="shared" si="0"/>
        <v>21314.42</v>
      </c>
      <c r="R9" s="9"/>
      <c r="S9" s="9"/>
      <c r="T9" s="3">
        <v>5279.01</v>
      </c>
      <c r="U9" s="3">
        <v>115.43</v>
      </c>
      <c r="V9" s="6"/>
    </row>
    <row r="10" spans="1:29">
      <c r="A10" t="s">
        <v>406</v>
      </c>
      <c r="B10" t="s">
        <v>354</v>
      </c>
      <c r="C10" t="s">
        <v>417</v>
      </c>
      <c r="D10" t="s">
        <v>353</v>
      </c>
      <c r="E10" s="3">
        <v>8986485</v>
      </c>
      <c r="F10" s="3">
        <v>3594590</v>
      </c>
      <c r="G10" s="3">
        <f>SUM(39454.22+862.7)</f>
        <v>40316.92</v>
      </c>
      <c r="H10" s="3">
        <f t="shared" si="1"/>
        <v>0</v>
      </c>
      <c r="P10" s="3">
        <v>118858.71</v>
      </c>
      <c r="Q10" s="3">
        <f t="shared" si="0"/>
        <v>0</v>
      </c>
      <c r="R10" s="9"/>
      <c r="S10" s="9"/>
      <c r="V10" s="6"/>
    </row>
    <row r="11" spans="1:29">
      <c r="A11" t="s">
        <v>407</v>
      </c>
      <c r="B11" t="s">
        <v>354</v>
      </c>
      <c r="C11" t="s">
        <v>417</v>
      </c>
      <c r="D11" t="s">
        <v>353</v>
      </c>
      <c r="E11" s="3">
        <v>1150465</v>
      </c>
      <c r="F11" s="3">
        <v>0</v>
      </c>
      <c r="G11" s="3">
        <v>0</v>
      </c>
      <c r="H11" s="3">
        <f t="shared" si="1"/>
        <v>5161.5</v>
      </c>
      <c r="K11" s="3">
        <f>SUM(9111.76+943.39)</f>
        <v>10055.15</v>
      </c>
      <c r="P11" s="3">
        <v>0</v>
      </c>
      <c r="Q11" s="3">
        <f>SUM(H11+K11+N9)</f>
        <v>20627.650000000001</v>
      </c>
      <c r="R11" s="9"/>
      <c r="S11" s="9"/>
      <c r="T11" s="3">
        <v>5051.05</v>
      </c>
      <c r="U11" s="3">
        <v>110.45</v>
      </c>
      <c r="V11" s="6"/>
    </row>
    <row r="12" spans="1:29" s="1" customFormat="1">
      <c r="A12" s="1" t="s">
        <v>223</v>
      </c>
      <c r="B12" s="1" t="s">
        <v>354</v>
      </c>
      <c r="C12" s="1" t="s">
        <v>417</v>
      </c>
      <c r="D12" s="1" t="s">
        <v>353</v>
      </c>
      <c r="E12" s="2">
        <f>SUM(E8:E11)</f>
        <v>14144950</v>
      </c>
      <c r="F12" s="2">
        <f t="shared" ref="F12:N12" si="2">SUM(F8:F11)</f>
        <v>4716830</v>
      </c>
      <c r="G12" s="2">
        <f t="shared" si="2"/>
        <v>52903.97</v>
      </c>
      <c r="H12" s="2">
        <f t="shared" si="2"/>
        <v>10555.94</v>
      </c>
      <c r="I12" s="2"/>
      <c r="J12" s="2">
        <f>SUM(K12*(1-R12)/R12)</f>
        <v>103062.74160293634</v>
      </c>
      <c r="K12" s="2">
        <f t="shared" si="2"/>
        <v>20564.129999999997</v>
      </c>
      <c r="L12" s="2"/>
      <c r="M12" s="2">
        <f>SUM(N12*(1-R12)/R12)</f>
        <v>27118.701098149479</v>
      </c>
      <c r="N12" s="2">
        <f t="shared" si="2"/>
        <v>5411</v>
      </c>
      <c r="O12" s="2"/>
      <c r="P12" s="2">
        <f>SUM(M12,P10,P8)</f>
        <v>183085.40109814948</v>
      </c>
      <c r="Q12" s="2">
        <f>SUM(H12,K12,N12)</f>
        <v>36531.07</v>
      </c>
      <c r="R12" s="21">
        <f>SUM(H12/(H12+G12))</f>
        <v>0.16634029263514555</v>
      </c>
      <c r="S12" s="21">
        <f>SUM(Q12/(Q12+P12))</f>
        <v>0.16634030142335629</v>
      </c>
      <c r="T12" s="2"/>
      <c r="U12" s="2"/>
      <c r="V12" s="22"/>
    </row>
    <row r="13" spans="1:29">
      <c r="A13" t="s">
        <v>387</v>
      </c>
      <c r="B13" t="s">
        <v>355</v>
      </c>
      <c r="C13" t="s">
        <v>418</v>
      </c>
      <c r="D13" t="s">
        <v>56</v>
      </c>
      <c r="E13" s="3">
        <v>22291300</v>
      </c>
      <c r="F13" s="3">
        <v>8916520</v>
      </c>
      <c r="G13" s="3">
        <f>SUM(115344.1+2139.96)</f>
        <v>117484.06000000001</v>
      </c>
      <c r="H13" s="3">
        <f t="shared" si="1"/>
        <v>0</v>
      </c>
      <c r="P13" s="3">
        <f>SUM(312310.03)</f>
        <v>312310.03000000003</v>
      </c>
      <c r="Q13" s="3">
        <f>SUM(H13+K13+N13)</f>
        <v>0</v>
      </c>
      <c r="R13" s="9"/>
      <c r="S13" s="9"/>
      <c r="V13" s="6"/>
    </row>
    <row r="14" spans="1:29">
      <c r="A14" t="s">
        <v>391</v>
      </c>
      <c r="B14" t="s">
        <v>355</v>
      </c>
      <c r="C14" t="s">
        <v>419</v>
      </c>
      <c r="D14" t="s">
        <v>56</v>
      </c>
      <c r="E14" s="3">
        <v>33437000</v>
      </c>
      <c r="F14" s="3">
        <v>0</v>
      </c>
      <c r="H14" s="3">
        <f t="shared" si="1"/>
        <v>176226.36000000002</v>
      </c>
      <c r="K14" s="3">
        <f>SUM(264821.04+27418.34)</f>
        <v>292239.38</v>
      </c>
      <c r="N14" s="3">
        <v>0</v>
      </c>
      <c r="Q14" s="3">
        <f>SUM(H14+K14+N14)</f>
        <v>468465.74</v>
      </c>
      <c r="R14" s="9"/>
      <c r="S14" s="9"/>
      <c r="T14" s="3">
        <v>173016.41</v>
      </c>
      <c r="U14" s="3">
        <v>3209.95</v>
      </c>
      <c r="V14" s="6"/>
    </row>
    <row r="15" spans="1:29" s="1" customFormat="1">
      <c r="A15" s="1" t="s">
        <v>223</v>
      </c>
      <c r="B15" s="1" t="s">
        <v>355</v>
      </c>
      <c r="C15" s="1" t="s">
        <v>419</v>
      </c>
      <c r="D15" s="1" t="s">
        <v>56</v>
      </c>
      <c r="E15" s="14">
        <f>SUM(E13:E14)</f>
        <v>55728300</v>
      </c>
      <c r="F15" s="14">
        <f t="shared" ref="F15:Q15" si="3">SUM(F13:F14)</f>
        <v>8916520</v>
      </c>
      <c r="G15" s="14">
        <f t="shared" si="3"/>
        <v>117484.06000000001</v>
      </c>
      <c r="H15" s="14">
        <f t="shared" si="3"/>
        <v>176226.36000000002</v>
      </c>
      <c r="I15" s="14"/>
      <c r="J15" s="14">
        <f>SUM(K15 * (1-R15)/R15)</f>
        <v>194825.9548360575</v>
      </c>
      <c r="K15" s="14">
        <f t="shared" si="3"/>
        <v>292239.38</v>
      </c>
      <c r="L15" s="14"/>
      <c r="M15" s="14"/>
      <c r="N15" s="14">
        <f t="shared" si="3"/>
        <v>0</v>
      </c>
      <c r="O15" s="14"/>
      <c r="P15" s="14">
        <f t="shared" si="3"/>
        <v>312310.03000000003</v>
      </c>
      <c r="Q15" s="14">
        <f t="shared" si="3"/>
        <v>468465.74</v>
      </c>
      <c r="R15" s="21">
        <f>SUM(H15/(H15+G15))</f>
        <v>0.60000036770911969</v>
      </c>
      <c r="S15" s="21">
        <f>SUM(Q15/(Q15+P15))</f>
        <v>0.60000035605613122</v>
      </c>
      <c r="T15" s="14"/>
      <c r="U15" s="14"/>
    </row>
    <row r="16" spans="1:29">
      <c r="R16" s="9"/>
      <c r="S16" s="9"/>
    </row>
    <row r="17" spans="1:19">
      <c r="A17" s="1" t="s">
        <v>93</v>
      </c>
      <c r="R17" s="9"/>
      <c r="S17" s="9"/>
    </row>
    <row r="18" spans="1:19">
      <c r="A18" s="1" t="s">
        <v>347</v>
      </c>
      <c r="C18" s="1" t="s">
        <v>415</v>
      </c>
      <c r="D18" s="1" t="s">
        <v>56</v>
      </c>
      <c r="E18" s="2">
        <v>6355057</v>
      </c>
      <c r="F18" s="2">
        <v>0</v>
      </c>
      <c r="G18" s="2">
        <v>0</v>
      </c>
      <c r="H18" s="2">
        <v>33494</v>
      </c>
      <c r="I18" s="2"/>
      <c r="J18" s="2">
        <v>0</v>
      </c>
      <c r="K18" s="2">
        <v>55543</v>
      </c>
      <c r="L18" s="21">
        <f>SUM(K18/(K18+J18))</f>
        <v>1</v>
      </c>
      <c r="M18" s="2">
        <v>0</v>
      </c>
      <c r="N18" s="2">
        <v>0</v>
      </c>
      <c r="O18" s="24" t="e">
        <f>SUM(N18/(N18+M18))</f>
        <v>#DIV/0!</v>
      </c>
      <c r="P18" s="2">
        <v>0</v>
      </c>
      <c r="Q18" s="2">
        <v>89037</v>
      </c>
      <c r="R18" s="21">
        <f>SUM(H18/(H18+G18))</f>
        <v>1</v>
      </c>
      <c r="S18" s="21">
        <f>SUM(Q18/(Q18+P18))</f>
        <v>1</v>
      </c>
    </row>
    <row r="19" spans="1:19">
      <c r="A19" s="1" t="s">
        <v>352</v>
      </c>
      <c r="C19" s="1" t="s">
        <v>414</v>
      </c>
      <c r="D19" s="1" t="s">
        <v>353</v>
      </c>
      <c r="E19" s="2">
        <v>11006000</v>
      </c>
      <c r="F19" s="2">
        <v>1760200</v>
      </c>
      <c r="G19" s="2">
        <v>19742.41</v>
      </c>
      <c r="H19" s="2">
        <v>29577</v>
      </c>
      <c r="I19" s="21">
        <f>SUM(H19/(H19+G19))</f>
        <v>0.59970303781006296</v>
      </c>
      <c r="J19" s="2">
        <v>38460.377017677121</v>
      </c>
      <c r="K19" s="2">
        <v>57732.07</v>
      </c>
      <c r="L19" s="21">
        <f t="shared" ref="L19:L21" si="4">SUM(K19/(K19+J19))</f>
        <v>0.60017258932388606</v>
      </c>
      <c r="M19" s="2">
        <v>10099.400828482076</v>
      </c>
      <c r="N19" s="2">
        <v>15160</v>
      </c>
      <c r="O19" s="24">
        <f t="shared" ref="O19:O21" si="5">SUM(N19/(N19+M19))</f>
        <v>0.60017258932388606</v>
      </c>
      <c r="P19" s="2">
        <v>68302.180828482073</v>
      </c>
      <c r="Q19" s="2">
        <v>102356.37</v>
      </c>
      <c r="R19" s="21">
        <f t="shared" ref="R19:R21" si="6">SUM(H19/(H19+G19))</f>
        <v>0.59970303781006296</v>
      </c>
      <c r="S19" s="21">
        <f t="shared" ref="S19:S21" si="7">SUM(Q19/(Q19+P19))</f>
        <v>0.59977287691181547</v>
      </c>
    </row>
    <row r="20" spans="1:19">
      <c r="A20" s="1" t="s">
        <v>354</v>
      </c>
      <c r="C20" s="1" t="s">
        <v>417</v>
      </c>
      <c r="D20" s="1" t="s">
        <v>353</v>
      </c>
      <c r="E20" s="2">
        <v>14144950</v>
      </c>
      <c r="F20" s="2">
        <v>4716830</v>
      </c>
      <c r="G20" s="2">
        <v>52903.97</v>
      </c>
      <c r="H20" s="2">
        <v>10555.94</v>
      </c>
      <c r="I20" s="21">
        <f t="shared" ref="I20:I23" si="8">SUM(H20/(H20+G20))</f>
        <v>0.16634029263514555</v>
      </c>
      <c r="J20" s="2">
        <v>103062.74160293634</v>
      </c>
      <c r="K20" s="2">
        <v>20564.129999999997</v>
      </c>
      <c r="L20" s="21">
        <f t="shared" si="4"/>
        <v>0.16634029263514558</v>
      </c>
      <c r="M20" s="2">
        <v>27118.701098149479</v>
      </c>
      <c r="N20" s="2">
        <v>5411</v>
      </c>
      <c r="O20" s="24">
        <f t="shared" si="5"/>
        <v>0.16634029263514555</v>
      </c>
      <c r="P20" s="2">
        <v>183085.40109814948</v>
      </c>
      <c r="Q20" s="2">
        <v>36531.07</v>
      </c>
      <c r="R20" s="21">
        <f t="shared" si="6"/>
        <v>0.16634029263514555</v>
      </c>
      <c r="S20" s="21">
        <f t="shared" si="7"/>
        <v>0.16634030142335629</v>
      </c>
    </row>
    <row r="21" spans="1:19">
      <c r="A21" s="1" t="s">
        <v>355</v>
      </c>
      <c r="C21" s="1" t="s">
        <v>419</v>
      </c>
      <c r="D21" s="1" t="s">
        <v>56</v>
      </c>
      <c r="E21" s="14">
        <v>55728300</v>
      </c>
      <c r="F21" s="14">
        <v>8916520</v>
      </c>
      <c r="G21" s="14">
        <v>117484.06000000001</v>
      </c>
      <c r="H21" s="14">
        <v>176226.36000000002</v>
      </c>
      <c r="I21" s="21">
        <f t="shared" si="8"/>
        <v>0.60000036770911969</v>
      </c>
      <c r="J21" s="14">
        <v>194825.9548360575</v>
      </c>
      <c r="K21" s="14">
        <v>292239.38</v>
      </c>
      <c r="L21" s="21">
        <f t="shared" si="4"/>
        <v>0.60000036770911969</v>
      </c>
      <c r="M21" s="14">
        <v>0</v>
      </c>
      <c r="N21" s="14">
        <v>0</v>
      </c>
      <c r="O21" s="24" t="e">
        <f t="shared" si="5"/>
        <v>#DIV/0!</v>
      </c>
      <c r="P21" s="14">
        <v>312310.03000000003</v>
      </c>
      <c r="Q21" s="14">
        <v>468465.74</v>
      </c>
      <c r="R21" s="21">
        <f t="shared" si="6"/>
        <v>0.60000036770911969</v>
      </c>
      <c r="S21" s="21">
        <f t="shared" si="7"/>
        <v>0.60000035605613122</v>
      </c>
    </row>
    <row r="22" spans="1:19">
      <c r="I22" s="21"/>
    </row>
    <row r="23" spans="1:19">
      <c r="A23" s="1" t="s">
        <v>426</v>
      </c>
      <c r="E23" s="13">
        <f>SUM(E18:E21)</f>
        <v>87234307</v>
      </c>
      <c r="F23" s="13">
        <f t="shared" ref="F23:Q23" si="9">SUM(F18:F21)</f>
        <v>15393550</v>
      </c>
      <c r="G23" s="13">
        <f t="shared" si="9"/>
        <v>190130.44</v>
      </c>
      <c r="H23" s="13">
        <f t="shared" si="9"/>
        <v>249853.30000000002</v>
      </c>
      <c r="I23" s="21">
        <f t="shared" si="8"/>
        <v>0.5678693944462585</v>
      </c>
      <c r="J23" s="13">
        <f t="shared" si="9"/>
        <v>336349.07345667097</v>
      </c>
      <c r="K23" s="13">
        <f t="shared" si="9"/>
        <v>426078.58</v>
      </c>
      <c r="L23" s="9">
        <f>SUM(K23/(K23+J23))</f>
        <v>0.55884460390209889</v>
      </c>
      <c r="M23" s="13">
        <f t="shared" si="9"/>
        <v>37218.101926631556</v>
      </c>
      <c r="N23" s="13">
        <f t="shared" si="9"/>
        <v>20571</v>
      </c>
      <c r="O23" s="27">
        <f>SUM(N23/(N23+M23))</f>
        <v>0.35596677079558581</v>
      </c>
      <c r="P23" s="14">
        <f t="shared" si="9"/>
        <v>563697.61192663154</v>
      </c>
      <c r="Q23" s="14">
        <f t="shared" si="9"/>
        <v>696390.17999999993</v>
      </c>
      <c r="R23" s="9">
        <f>SUM(H23/(H23+G23))</f>
        <v>0.5678693944462585</v>
      </c>
      <c r="S23" s="9">
        <f>SUM(Q23/(Q23+P23))</f>
        <v>0.55265211238594969</v>
      </c>
    </row>
    <row r="24" spans="1:19">
      <c r="N24" s="3" t="s">
        <v>428</v>
      </c>
      <c r="P24" s="3">
        <f>SUM(G23+J23+M23)</f>
        <v>563697.61538330256</v>
      </c>
      <c r="Q24" s="3">
        <f>SUM(H23+K23+N23)</f>
        <v>696502.88</v>
      </c>
      <c r="S24" s="9">
        <f>SUM((H23+K23+N23)/(H23+K23+N23+G23+J23+M23))</f>
        <v>0.55269211728737799</v>
      </c>
    </row>
    <row r="25" spans="1:19">
      <c r="A25" t="s">
        <v>425</v>
      </c>
    </row>
    <row r="26" spans="1:19">
      <c r="A26" t="s">
        <v>434</v>
      </c>
      <c r="G26" s="3" t="s">
        <v>429</v>
      </c>
      <c r="I26" s="9">
        <f>SUM(F23/E23)</f>
        <v>0.17646211140302862</v>
      </c>
    </row>
    <row r="27" spans="1:19">
      <c r="A27" s="1" t="s">
        <v>427</v>
      </c>
      <c r="G27" s="3" t="s">
        <v>430</v>
      </c>
      <c r="I27" s="9">
        <f>SUM(F23/(E23*0.4))</f>
        <v>0.44115527850757152</v>
      </c>
    </row>
    <row r="28" spans="1:19">
      <c r="A28" t="s">
        <v>433</v>
      </c>
      <c r="G28" s="3" t="s">
        <v>431</v>
      </c>
      <c r="I28" s="21">
        <f>SUM(1-I27)</f>
        <v>0.55884472149242848</v>
      </c>
    </row>
    <row r="30" spans="1:19">
      <c r="A30" s="1" t="s">
        <v>0</v>
      </c>
      <c r="B30" s="1" t="s">
        <v>411</v>
      </c>
      <c r="C30" s="1" t="s">
        <v>1</v>
      </c>
      <c r="D30" s="1" t="s">
        <v>52</v>
      </c>
      <c r="E30" s="2" t="s">
        <v>43</v>
      </c>
      <c r="F30" s="2" t="s">
        <v>61</v>
      </c>
      <c r="G30" s="2" t="s">
        <v>191</v>
      </c>
      <c r="H30" s="2" t="s">
        <v>348</v>
      </c>
      <c r="I30" s="2" t="s">
        <v>328</v>
      </c>
      <c r="J30" s="2" t="s">
        <v>333</v>
      </c>
      <c r="K30" s="2" t="s">
        <v>48</v>
      </c>
      <c r="L30" s="2" t="s">
        <v>349</v>
      </c>
    </row>
    <row r="31" spans="1:19">
      <c r="A31" s="1" t="s">
        <v>391</v>
      </c>
      <c r="B31" s="1" t="s">
        <v>419</v>
      </c>
      <c r="C31" s="1" t="s">
        <v>355</v>
      </c>
      <c r="D31" s="1" t="s">
        <v>56</v>
      </c>
      <c r="E31" s="14">
        <v>55728300</v>
      </c>
      <c r="F31" s="14">
        <v>176226.36000000002</v>
      </c>
      <c r="G31" s="14">
        <v>292239.38</v>
      </c>
      <c r="I31" s="14">
        <v>312310.03000000003</v>
      </c>
      <c r="J31" s="14">
        <v>468465.74</v>
      </c>
      <c r="K31" s="25">
        <f>SUM(J31/(J31+I31))</f>
        <v>0.60000035605613122</v>
      </c>
      <c r="L31" s="26">
        <f>SUM(1-K31)</f>
        <v>0.39999964394386878</v>
      </c>
      <c r="M31" s="14"/>
      <c r="N31" s="14"/>
      <c r="O31" s="24"/>
      <c r="P31" s="14"/>
      <c r="Q31" s="14"/>
      <c r="R31" s="21"/>
      <c r="S31" s="21"/>
    </row>
    <row r="32" spans="1:19">
      <c r="A32" s="1" t="s">
        <v>395</v>
      </c>
      <c r="B32" s="1" t="s">
        <v>415</v>
      </c>
      <c r="C32" s="1" t="s">
        <v>347</v>
      </c>
      <c r="D32" s="1" t="s">
        <v>56</v>
      </c>
      <c r="E32" s="2">
        <v>6355057</v>
      </c>
      <c r="F32" s="2">
        <v>33494</v>
      </c>
      <c r="G32" s="2">
        <v>55543</v>
      </c>
      <c r="H32" s="2">
        <v>0</v>
      </c>
      <c r="I32" s="2">
        <v>0</v>
      </c>
      <c r="J32" s="2">
        <v>89037</v>
      </c>
      <c r="K32" s="2">
        <v>100</v>
      </c>
      <c r="L32" s="21">
        <v>0</v>
      </c>
      <c r="M32" s="2"/>
      <c r="N32" s="2"/>
      <c r="O32" s="24"/>
      <c r="P32" s="2"/>
      <c r="Q32" s="2"/>
      <c r="R32" s="21"/>
      <c r="S32" s="21"/>
    </row>
    <row r="33" spans="1:19">
      <c r="A33" s="1" t="s">
        <v>399</v>
      </c>
      <c r="B33" s="1" t="s">
        <v>414</v>
      </c>
      <c r="C33" s="1" t="s">
        <v>352</v>
      </c>
      <c r="D33" s="1" t="s">
        <v>353</v>
      </c>
      <c r="E33" s="3">
        <v>11006000</v>
      </c>
      <c r="F33" s="3">
        <v>29577</v>
      </c>
      <c r="G33" s="3">
        <v>57732</v>
      </c>
      <c r="H33" s="3">
        <v>15160</v>
      </c>
      <c r="I33" s="3">
        <v>68302</v>
      </c>
      <c r="J33" s="3">
        <v>102527</v>
      </c>
      <c r="K33" s="23">
        <f>SUM(J33/(J33+I33))</f>
        <v>0.60017327268789256</v>
      </c>
      <c r="L33" s="26">
        <f>SUM(1-K33)</f>
        <v>0.39982672731210744</v>
      </c>
    </row>
    <row r="34" spans="1:19">
      <c r="A34" s="1" t="s">
        <v>405</v>
      </c>
      <c r="B34" s="1" t="s">
        <v>417</v>
      </c>
      <c r="C34" s="1" t="s">
        <v>354</v>
      </c>
      <c r="D34" s="1" t="s">
        <v>353</v>
      </c>
      <c r="E34" s="2">
        <v>14144950</v>
      </c>
      <c r="F34" s="2">
        <v>10556</v>
      </c>
      <c r="G34" s="2">
        <v>20564</v>
      </c>
      <c r="H34" s="2">
        <v>5411</v>
      </c>
      <c r="I34" s="2">
        <v>183085</v>
      </c>
      <c r="J34" s="2">
        <v>36531</v>
      </c>
      <c r="K34" s="23">
        <f>SUM(J34/(J34+I34))</f>
        <v>0.16634033950167565</v>
      </c>
      <c r="L34" s="2">
        <f>SUM(1-K34)</f>
        <v>0.83365966049832441</v>
      </c>
      <c r="M34" s="2"/>
      <c r="N34" s="2"/>
      <c r="O34" s="2"/>
      <c r="P34" s="2"/>
      <c r="Q34" s="2"/>
      <c r="R34" s="21"/>
      <c r="S34" s="21"/>
    </row>
    <row r="36" spans="1:19">
      <c r="D36" s="1" t="s">
        <v>223</v>
      </c>
      <c r="E36" s="13">
        <f>SUM(E31:E34)</f>
        <v>87234307</v>
      </c>
      <c r="F36" s="13">
        <f t="shared" ref="F36:J36" si="10">SUM(F31:F34)</f>
        <v>249853.36000000002</v>
      </c>
      <c r="G36" s="13">
        <f t="shared" si="10"/>
        <v>426078.38</v>
      </c>
      <c r="H36" s="13">
        <f t="shared" si="10"/>
        <v>20571</v>
      </c>
      <c r="I36" s="13">
        <f t="shared" si="10"/>
        <v>563697.03</v>
      </c>
      <c r="J36" s="13">
        <f t="shared" si="10"/>
        <v>696560.74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Consolidated by company</vt:lpstr>
      <vt:lpstr>Totals</vt:lpstr>
      <vt:lpstr>All</vt:lpstr>
      <vt:lpstr>Major companies</vt:lpstr>
      <vt:lpstr>Fulton Development Authority</vt:lpstr>
      <vt:lpstr>Invest Atlanta</vt:lpstr>
      <vt:lpstr>DeKalb</vt:lpstr>
      <vt:lpstr>Cobb</vt:lpstr>
      <vt:lpstr>Gwinnett</vt:lpstr>
      <vt:lpstr>Atlanta example</vt:lpstr>
      <vt:lpstr>Scratch-All</vt:lpstr>
      <vt:lpstr>Scratch-DeKalb</vt:lpstr>
      <vt:lpstr>Scratch-Fulton</vt:lpstr>
      <vt:lpstr>Scratch-Cobb</vt:lpstr>
      <vt:lpstr>Scratch-Gwinnett</vt:lpstr>
      <vt:lpstr>SRL-Combinations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Niesse, Mark (CMG-Atlanta)</dc:creator>
  <cp:lastModifiedBy>Stephanie Lamm</cp:lastModifiedBy>
  <dcterms:created xsi:type="dcterms:W3CDTF">2017-08-04T15:30:56Z</dcterms:created>
  <dcterms:modified xsi:type="dcterms:W3CDTF">2017-08-30T16:04:45Z</dcterms:modified>
</cp:coreProperties>
</file>