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7ca7d8d028ba0c/CloudStation/DTU/Master in Wind Energy/06 - Master Thesis/09 - Orcaflex models/02 - New floater/01 - New floater development/"/>
    </mc:Choice>
  </mc:AlternateContent>
  <xr:revisionPtr revIDLastSave="23" documentId="8_{3DA4014B-7DA1-441B-BDB3-F45C2AD8ED77}" xr6:coauthVersionLast="45" xr6:coauthVersionMax="45" xr10:uidLastSave="{1DC0AAE0-3985-4ED4-B57B-9DB060DCB217}"/>
  <bookViews>
    <workbookView xWindow="100" yWindow="1430" windowWidth="17850" windowHeight="17410" activeTab="2" xr2:uid="{00000000-000D-0000-FFFF-FFFF00000000}"/>
  </bookViews>
  <sheets>
    <sheet name="Inertia subtraction" sheetId="2" r:id="rId1"/>
    <sheet name="Hydro stiffness" sheetId="3" r:id="rId2"/>
    <sheet name="Inertia subtraction RWT" sheetId="6" r:id="rId3"/>
    <sheet name="Hydro stiffness RWT" sheetId="7" r:id="rId4"/>
    <sheet name="Inertia IEA-15-240-RWT" sheetId="4" r:id="rId5"/>
  </sheets>
  <definedNames>
    <definedName name="A">#REF!</definedName>
    <definedName name="BL">#REF!</definedName>
    <definedName name="BR">#REF!</definedName>
    <definedName name="TL">#REF!</definedName>
    <definedName name="TR">#REF!</definedName>
    <definedName name="x">#REF!</definedName>
    <definedName name="y">#REF!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7" l="1"/>
  <c r="B5" i="7"/>
  <c r="C3" i="7"/>
  <c r="D3" i="7"/>
  <c r="B3" i="7"/>
  <c r="B2" i="7"/>
  <c r="C2" i="7"/>
  <c r="D2" i="7"/>
  <c r="H11" i="7"/>
  <c r="G11" i="7"/>
  <c r="I10" i="7"/>
  <c r="G10" i="7"/>
  <c r="I9" i="7"/>
  <c r="H9" i="7"/>
  <c r="G9" i="7"/>
  <c r="I11" i="7" l="1"/>
  <c r="H10" i="7"/>
  <c r="G9" i="3"/>
  <c r="AA37" i="6"/>
  <c r="Z37" i="6"/>
  <c r="Y37" i="6"/>
  <c r="N21" i="6"/>
  <c r="N20" i="6"/>
  <c r="J20" i="6"/>
  <c r="N11" i="6" s="1"/>
  <c r="I20" i="6"/>
  <c r="H20" i="6"/>
  <c r="O21" i="6" s="1"/>
  <c r="AL17" i="6"/>
  <c r="AK17" i="6"/>
  <c r="O17" i="6"/>
  <c r="M17" i="6"/>
  <c r="C17" i="6"/>
  <c r="AA16" i="6"/>
  <c r="AK16" i="6" s="1"/>
  <c r="Z16" i="6"/>
  <c r="Y16" i="6"/>
  <c r="AM16" i="6" s="1"/>
  <c r="B16" i="6"/>
  <c r="AM15" i="6"/>
  <c r="O15" i="6"/>
  <c r="M15" i="6"/>
  <c r="N12" i="6"/>
  <c r="M12" i="6"/>
  <c r="AL8" i="6"/>
  <c r="AK8" i="6"/>
  <c r="C8" i="6"/>
  <c r="AM7" i="6"/>
  <c r="AK7" i="6"/>
  <c r="B7" i="6"/>
  <c r="AC6" i="6" s="1" a="1"/>
  <c r="AM6" i="6"/>
  <c r="AL6" i="6"/>
  <c r="AK37" i="2"/>
  <c r="U9" i="4"/>
  <c r="T5" i="4"/>
  <c r="U5" i="4"/>
  <c r="O5" i="4"/>
  <c r="V5" i="4" s="1"/>
  <c r="W5" i="4"/>
  <c r="L8" i="4"/>
  <c r="AL15" i="6" l="1"/>
  <c r="AF6" i="6" a="1"/>
  <c r="AH8" i="6" s="1"/>
  <c r="AF9" i="6" a="1"/>
  <c r="AH11" i="6" s="1"/>
  <c r="AC9" i="6" a="1"/>
  <c r="AC10" i="6" s="1"/>
  <c r="AE8" i="6"/>
  <c r="AE7" i="6"/>
  <c r="AC7" i="6"/>
  <c r="AD6" i="6"/>
  <c r="AC8" i="6"/>
  <c r="AD7" i="6"/>
  <c r="AE6" i="6"/>
  <c r="AC6" i="6"/>
  <c r="AD8" i="6"/>
  <c r="M11" i="6"/>
  <c r="O20" i="6"/>
  <c r="M23" i="6" s="1" a="1"/>
  <c r="W9" i="4"/>
  <c r="W6" i="4"/>
  <c r="W7" i="4"/>
  <c r="W8" i="4"/>
  <c r="AF6" i="6" l="1"/>
  <c r="AG6" i="6"/>
  <c r="AH6" i="6"/>
  <c r="AG7" i="6"/>
  <c r="AF8" i="6"/>
  <c r="AF7" i="6"/>
  <c r="AH7" i="6"/>
  <c r="AG8" i="6"/>
  <c r="AF9" i="6"/>
  <c r="AG11" i="6"/>
  <c r="AF10" i="6"/>
  <c r="AG10" i="6"/>
  <c r="AF11" i="6"/>
  <c r="AH9" i="6"/>
  <c r="AG9" i="6"/>
  <c r="AH10" i="6"/>
  <c r="AC11" i="6"/>
  <c r="AE10" i="6"/>
  <c r="AD11" i="6"/>
  <c r="AE11" i="6"/>
  <c r="AC9" i="6"/>
  <c r="AD9" i="6"/>
  <c r="AE9" i="6"/>
  <c r="AD10" i="6"/>
  <c r="M23" i="6"/>
  <c r="O25" i="6"/>
  <c r="N25" i="6"/>
  <c r="M25" i="6"/>
  <c r="O24" i="6"/>
  <c r="N24" i="6"/>
  <c r="M24" i="6"/>
  <c r="O23" i="6"/>
  <c r="N23" i="6"/>
  <c r="V9" i="4"/>
  <c r="W12" i="4" s="1"/>
  <c r="O8" i="4"/>
  <c r="V8" i="4"/>
  <c r="V7" i="4"/>
  <c r="L5" i="4"/>
  <c r="P5" i="4"/>
  <c r="R5" i="4"/>
  <c r="Q18" i="6" l="1" a="1"/>
  <c r="T18" i="6" a="1"/>
  <c r="Q15" i="6" a="1"/>
  <c r="T15" i="6" a="1"/>
  <c r="O6" i="4"/>
  <c r="O7" i="4"/>
  <c r="V6" i="4"/>
  <c r="M6" i="4"/>
  <c r="M5" i="4"/>
  <c r="S20" i="6" l="1"/>
  <c r="R20" i="6"/>
  <c r="Q20" i="6"/>
  <c r="S19" i="6"/>
  <c r="R19" i="6"/>
  <c r="Q19" i="6"/>
  <c r="S18" i="6"/>
  <c r="R18" i="6"/>
  <c r="Q18" i="6"/>
  <c r="T16" i="6"/>
  <c r="U16" i="6"/>
  <c r="V15" i="6"/>
  <c r="U15" i="6"/>
  <c r="T15" i="6"/>
  <c r="V17" i="6"/>
  <c r="U17" i="6"/>
  <c r="T17" i="6"/>
  <c r="V16" i="6"/>
  <c r="Q16" i="6"/>
  <c r="S15" i="6"/>
  <c r="R15" i="6"/>
  <c r="Q15" i="6"/>
  <c r="AC15" i="6" s="1" a="1"/>
  <c r="S17" i="6"/>
  <c r="R17" i="6"/>
  <c r="Q17" i="6"/>
  <c r="S16" i="6"/>
  <c r="R16" i="6"/>
  <c r="U18" i="6"/>
  <c r="T18" i="6"/>
  <c r="V20" i="6"/>
  <c r="U20" i="6"/>
  <c r="T20" i="6"/>
  <c r="V19" i="6"/>
  <c r="U19" i="6"/>
  <c r="T19" i="6"/>
  <c r="V18" i="6"/>
  <c r="F10" i="4"/>
  <c r="G10" i="4"/>
  <c r="E10" i="4"/>
  <c r="D10" i="4"/>
  <c r="J37" i="2"/>
  <c r="AC18" i="6" l="1" a="1"/>
  <c r="AF18" i="6" a="1"/>
  <c r="AC17" i="6"/>
  <c r="AC38" i="6" s="1"/>
  <c r="AD16" i="6"/>
  <c r="AD37" i="6" s="1"/>
  <c r="AC16" i="6"/>
  <c r="AC37" i="6" s="1"/>
  <c r="AE15" i="6"/>
  <c r="AE36" i="6" s="1"/>
  <c r="AD15" i="6"/>
  <c r="AD36" i="6" s="1"/>
  <c r="AC15" i="6"/>
  <c r="AC36" i="6" s="1"/>
  <c r="AE16" i="6"/>
  <c r="AE37" i="6" s="1"/>
  <c r="AE17" i="6"/>
  <c r="AE38" i="6" s="1"/>
  <c r="AD17" i="6"/>
  <c r="AD38" i="6" s="1"/>
  <c r="AF15" i="6" a="1"/>
  <c r="R6" i="4"/>
  <c r="S6" i="4" s="1"/>
  <c r="S5" i="4"/>
  <c r="S9" i="4" s="1"/>
  <c r="I11" i="4" s="1"/>
  <c r="M7" i="4"/>
  <c r="R7" i="4" s="1"/>
  <c r="S7" i="4" s="1"/>
  <c r="M8" i="4"/>
  <c r="R8" i="4" s="1"/>
  <c r="S8" i="4" s="1"/>
  <c r="N5" i="4"/>
  <c r="N6" i="4"/>
  <c r="T6" i="4" s="1"/>
  <c r="U6" i="4" s="1"/>
  <c r="N8" i="4"/>
  <c r="T8" i="4" s="1"/>
  <c r="U8" i="4" s="1"/>
  <c r="N7" i="4"/>
  <c r="T7" i="4" s="1"/>
  <c r="U7" i="4" s="1"/>
  <c r="L6" i="4"/>
  <c r="P6" i="4" s="1"/>
  <c r="Q6" i="4" s="1"/>
  <c r="L7" i="4"/>
  <c r="P7" i="4" s="1"/>
  <c r="Q7" i="4" s="1"/>
  <c r="P8" i="4"/>
  <c r="Q8" i="4" s="1"/>
  <c r="Q5" i="4"/>
  <c r="C2" i="3"/>
  <c r="D2" i="3"/>
  <c r="B2" i="3"/>
  <c r="AA37" i="2"/>
  <c r="Z37" i="2"/>
  <c r="Y37" i="2"/>
  <c r="AA16" i="2"/>
  <c r="Z16" i="2"/>
  <c r="Y16" i="2"/>
  <c r="I20" i="2"/>
  <c r="O17" i="2" s="1"/>
  <c r="J20" i="2"/>
  <c r="N11" i="2" s="1"/>
  <c r="H20" i="2"/>
  <c r="N20" i="2" s="1"/>
  <c r="A36" i="6" l="1" a="1"/>
  <c r="AC19" i="6"/>
  <c r="AC40" i="6" s="1"/>
  <c r="AD18" i="6"/>
  <c r="AD39" i="6" s="1"/>
  <c r="AC18" i="6"/>
  <c r="AC39" i="6" s="1"/>
  <c r="AE20" i="6"/>
  <c r="AE41" i="6" s="1"/>
  <c r="AD20" i="6"/>
  <c r="AD41" i="6" s="1"/>
  <c r="AC20" i="6"/>
  <c r="AC41" i="6" s="1"/>
  <c r="AE19" i="6"/>
  <c r="AE40" i="6" s="1"/>
  <c r="AE18" i="6"/>
  <c r="AE39" i="6" s="1"/>
  <c r="AD19" i="6"/>
  <c r="AD40" i="6" s="1"/>
  <c r="AG17" i="6"/>
  <c r="AG38" i="6" s="1"/>
  <c r="AF17" i="6"/>
  <c r="AF38" i="6" s="1"/>
  <c r="I37" i="6" s="1"/>
  <c r="AH17" i="6"/>
  <c r="AH38" i="6" s="1"/>
  <c r="AH16" i="6"/>
  <c r="AH37" i="6" s="1"/>
  <c r="AG16" i="6"/>
  <c r="AG37" i="6" s="1"/>
  <c r="AF16" i="6"/>
  <c r="AF37" i="6" s="1"/>
  <c r="AH15" i="6"/>
  <c r="AH36" i="6" s="1"/>
  <c r="AG15" i="6"/>
  <c r="AG36" i="6" s="1"/>
  <c r="AF15" i="6"/>
  <c r="AF36" i="6" s="1"/>
  <c r="AH19" i="6"/>
  <c r="AH40" i="6" s="1"/>
  <c r="AF19" i="6"/>
  <c r="AF40" i="6" s="1"/>
  <c r="AG18" i="6"/>
  <c r="AG39" i="6" s="1"/>
  <c r="AF18" i="6"/>
  <c r="AF39" i="6" s="1"/>
  <c r="AH20" i="6"/>
  <c r="AH41" i="6" s="1"/>
  <c r="AG20" i="6"/>
  <c r="AG41" i="6" s="1"/>
  <c r="AH18" i="6"/>
  <c r="AH39" i="6" s="1"/>
  <c r="AF20" i="6"/>
  <c r="AF41" i="6" s="1"/>
  <c r="AG19" i="6"/>
  <c r="AG40" i="6" s="1"/>
  <c r="J12" i="4"/>
  <c r="Q9" i="4"/>
  <c r="H10" i="4" s="1"/>
  <c r="M12" i="2"/>
  <c r="O21" i="2"/>
  <c r="N12" i="2"/>
  <c r="O20" i="2"/>
  <c r="M11" i="2"/>
  <c r="N21" i="2"/>
  <c r="M15" i="2"/>
  <c r="M17" i="2"/>
  <c r="O15" i="2"/>
  <c r="H11" i="3"/>
  <c r="G11" i="3"/>
  <c r="G10" i="3"/>
  <c r="I10" i="3"/>
  <c r="I9" i="3"/>
  <c r="H9" i="3"/>
  <c r="J37" i="6" l="1"/>
  <c r="AK37" i="6" s="1"/>
  <c r="H37" i="6"/>
  <c r="AM37" i="6" s="1"/>
  <c r="AM36" i="6"/>
  <c r="AK38" i="6"/>
  <c r="C36" i="6"/>
  <c r="B36" i="6"/>
  <c r="A36" i="6"/>
  <c r="C38" i="6"/>
  <c r="B38" i="6"/>
  <c r="A38" i="6"/>
  <c r="C37" i="6"/>
  <c r="B37" i="6"/>
  <c r="A37" i="6"/>
  <c r="M23" i="2" a="1"/>
  <c r="O24" i="2" s="1"/>
  <c r="B5" i="3"/>
  <c r="AK16" i="2"/>
  <c r="AM15" i="2"/>
  <c r="AL17" i="2"/>
  <c r="AK7" i="2"/>
  <c r="AK8" i="2"/>
  <c r="AM7" i="2"/>
  <c r="AM16" i="2"/>
  <c r="B16" i="2"/>
  <c r="C8" i="2"/>
  <c r="B7" i="2"/>
  <c r="AL36" i="6" l="1"/>
  <c r="AL38" i="6"/>
  <c r="AC6" i="2" a="1"/>
  <c r="AC6" i="2" s="1"/>
  <c r="O25" i="2"/>
  <c r="M25" i="2"/>
  <c r="N24" i="2"/>
  <c r="N25" i="2"/>
  <c r="O23" i="2"/>
  <c r="N23" i="2"/>
  <c r="M23" i="2"/>
  <c r="M24" i="2"/>
  <c r="AL15" i="2"/>
  <c r="AL8" i="2"/>
  <c r="AM6" i="2"/>
  <c r="C17" i="2"/>
  <c r="AK17" i="2"/>
  <c r="AL6" i="2"/>
  <c r="D36" i="6" l="1" a="1"/>
  <c r="E38" i="6" s="1"/>
  <c r="A39" i="6" a="1"/>
  <c r="D39" i="6" a="1"/>
  <c r="AC7" i="2"/>
  <c r="AE7" i="2"/>
  <c r="AE6" i="2"/>
  <c r="AD7" i="2"/>
  <c r="AC8" i="2"/>
  <c r="AD8" i="2"/>
  <c r="AE8" i="2"/>
  <c r="AD6" i="2"/>
  <c r="T15" i="2" a="1"/>
  <c r="T18" i="2" a="1"/>
  <c r="Q15" i="2" a="1"/>
  <c r="Q18" i="2" a="1"/>
  <c r="AF9" i="2" a="1"/>
  <c r="AF10" i="2" s="1"/>
  <c r="AF6" i="2" a="1"/>
  <c r="AF6" i="2" s="1"/>
  <c r="AC9" i="2" a="1"/>
  <c r="AC9" i="2" s="1"/>
  <c r="D38" i="6" l="1"/>
  <c r="F37" i="6"/>
  <c r="E37" i="6"/>
  <c r="D37" i="6"/>
  <c r="F36" i="6"/>
  <c r="E36" i="6"/>
  <c r="D36" i="6"/>
  <c r="F38" i="6"/>
  <c r="A41" i="6"/>
  <c r="C40" i="6"/>
  <c r="B40" i="6"/>
  <c r="A40" i="6"/>
  <c r="C39" i="6"/>
  <c r="B39" i="6"/>
  <c r="C41" i="6"/>
  <c r="A39" i="6"/>
  <c r="B41" i="6"/>
  <c r="F39" i="6"/>
  <c r="E39" i="6"/>
  <c r="D39" i="6"/>
  <c r="F41" i="6"/>
  <c r="E41" i="6"/>
  <c r="D41" i="6"/>
  <c r="E40" i="6"/>
  <c r="F40" i="6"/>
  <c r="D40" i="6"/>
  <c r="Q18" i="2"/>
  <c r="Q19" i="2"/>
  <c r="Q20" i="2"/>
  <c r="S18" i="2"/>
  <c r="R18" i="2"/>
  <c r="S20" i="2"/>
  <c r="R20" i="2"/>
  <c r="S19" i="2"/>
  <c r="R19" i="2"/>
  <c r="Q15" i="2"/>
  <c r="AC15" i="2" s="1" a="1"/>
  <c r="Q16" i="2"/>
  <c r="R15" i="2"/>
  <c r="R17" i="2"/>
  <c r="S15" i="2"/>
  <c r="Q17" i="2"/>
  <c r="S17" i="2"/>
  <c r="S16" i="2"/>
  <c r="R16" i="2"/>
  <c r="U18" i="2"/>
  <c r="U19" i="2"/>
  <c r="V20" i="2"/>
  <c r="U20" i="2"/>
  <c r="T19" i="2"/>
  <c r="T18" i="2"/>
  <c r="V18" i="2"/>
  <c r="T20" i="2"/>
  <c r="V19" i="2"/>
  <c r="T15" i="2"/>
  <c r="U16" i="2"/>
  <c r="T16" i="2"/>
  <c r="U15" i="2"/>
  <c r="V15" i="2"/>
  <c r="V16" i="2"/>
  <c r="V17" i="2"/>
  <c r="U17" i="2"/>
  <c r="T17" i="2"/>
  <c r="AG10" i="2"/>
  <c r="AF9" i="2"/>
  <c r="AG9" i="2"/>
  <c r="AG11" i="2"/>
  <c r="AH11" i="2"/>
  <c r="AF11" i="2"/>
  <c r="AH9" i="2"/>
  <c r="AH10" i="2"/>
  <c r="AF8" i="2"/>
  <c r="AH7" i="2"/>
  <c r="AG7" i="2"/>
  <c r="AH6" i="2"/>
  <c r="AG8" i="2"/>
  <c r="AH8" i="2"/>
  <c r="AG6" i="2"/>
  <c r="AF7" i="2"/>
  <c r="AE9" i="2"/>
  <c r="AC10" i="2"/>
  <c r="AE11" i="2"/>
  <c r="AD9" i="2"/>
  <c r="AD10" i="2"/>
  <c r="AD11" i="2"/>
  <c r="AC11" i="2"/>
  <c r="AE10" i="2"/>
  <c r="AC15" i="2" l="1"/>
  <c r="AC36" i="2" s="1"/>
  <c r="A36" i="2" s="1" a="1"/>
  <c r="C38" i="2" s="1"/>
  <c r="AC16" i="2"/>
  <c r="AC37" i="2" s="1"/>
  <c r="AC17" i="2"/>
  <c r="AC38" i="2" s="1"/>
  <c r="AD16" i="2"/>
  <c r="AD37" i="2" s="1"/>
  <c r="AD17" i="2"/>
  <c r="AD38" i="2" s="1"/>
  <c r="AE16" i="2"/>
  <c r="AE37" i="2" s="1"/>
  <c r="AD15" i="2"/>
  <c r="AD36" i="2" s="1"/>
  <c r="AE15" i="2"/>
  <c r="AE36" i="2" s="1"/>
  <c r="AE17" i="2"/>
  <c r="AE38" i="2" s="1"/>
  <c r="AF15" i="2" a="1"/>
  <c r="AC18" i="2" a="1"/>
  <c r="AF18" i="2" a="1"/>
  <c r="AF16" i="2" l="1"/>
  <c r="AF37" i="2" s="1"/>
  <c r="AH15" i="2"/>
  <c r="AH36" i="2" s="1"/>
  <c r="AG15" i="2"/>
  <c r="AG36" i="2" s="1"/>
  <c r="AG17" i="2"/>
  <c r="AG38" i="2" s="1"/>
  <c r="AG16" i="2"/>
  <c r="AG37" i="2" s="1"/>
  <c r="AF17" i="2"/>
  <c r="AF38" i="2" s="1"/>
  <c r="I37" i="2" s="1"/>
  <c r="C3" i="3" s="1"/>
  <c r="AF15" i="2"/>
  <c r="AF36" i="2" s="1"/>
  <c r="AH17" i="2"/>
  <c r="AH38" i="2" s="1"/>
  <c r="AH16" i="2"/>
  <c r="AH37" i="2" s="1"/>
  <c r="H37" i="2" s="1"/>
  <c r="B3" i="3" s="1"/>
  <c r="A38" i="2"/>
  <c r="A36" i="2"/>
  <c r="B6" i="3" s="1"/>
  <c r="A37" i="2"/>
  <c r="AG18" i="2"/>
  <c r="AG39" i="2" s="1"/>
  <c r="AG20" i="2"/>
  <c r="AG41" i="2" s="1"/>
  <c r="AH19" i="2"/>
  <c r="AH40" i="2" s="1"/>
  <c r="AH20" i="2"/>
  <c r="AH41" i="2" s="1"/>
  <c r="AH18" i="2"/>
  <c r="AH39" i="2" s="1"/>
  <c r="AF20" i="2"/>
  <c r="AF41" i="2" s="1"/>
  <c r="AG19" i="2"/>
  <c r="AG40" i="2" s="1"/>
  <c r="AF19" i="2"/>
  <c r="AF40" i="2" s="1"/>
  <c r="AF18" i="2"/>
  <c r="AF39" i="2" s="1"/>
  <c r="B37" i="2"/>
  <c r="B38" i="2"/>
  <c r="B36" i="2"/>
  <c r="C36" i="2"/>
  <c r="C37" i="2"/>
  <c r="AC18" i="2"/>
  <c r="AC39" i="2" s="1"/>
  <c r="AC19" i="2"/>
  <c r="AC40" i="2" s="1"/>
  <c r="AE18" i="2"/>
  <c r="AE39" i="2" s="1"/>
  <c r="AE19" i="2"/>
  <c r="AE40" i="2" s="1"/>
  <c r="AD18" i="2"/>
  <c r="AD39" i="2" s="1"/>
  <c r="AE20" i="2"/>
  <c r="AE41" i="2" s="1"/>
  <c r="AD20" i="2"/>
  <c r="AD41" i="2" s="1"/>
  <c r="AD19" i="2"/>
  <c r="AD40" i="2" s="1"/>
  <c r="AC20" i="2"/>
  <c r="AC41" i="2" s="1"/>
  <c r="AM36" i="2" l="1"/>
  <c r="D3" i="3"/>
  <c r="I11" i="3" s="1"/>
  <c r="AK38" i="2"/>
  <c r="AL36" i="2"/>
  <c r="AL38" i="2"/>
  <c r="AM37" i="2"/>
  <c r="H10" i="3" l="1"/>
  <c r="A39" i="2" a="1"/>
  <c r="A39" i="2" s="1"/>
  <c r="D36" i="2" a="1"/>
  <c r="E38" i="2" s="1"/>
  <c r="D39" i="2" a="1"/>
  <c r="C40" i="2" l="1"/>
  <c r="B40" i="2"/>
  <c r="C39" i="2"/>
  <c r="A41" i="2"/>
  <c r="C41" i="2"/>
  <c r="B39" i="2"/>
  <c r="B41" i="2"/>
  <c r="A40" i="2"/>
  <c r="F36" i="2"/>
  <c r="D37" i="2"/>
  <c r="F38" i="2"/>
  <c r="F37" i="2"/>
  <c r="E36" i="2"/>
  <c r="D38" i="2"/>
  <c r="E37" i="2"/>
  <c r="D36" i="2"/>
  <c r="D39" i="2"/>
  <c r="E41" i="2"/>
  <c r="E39" i="2"/>
  <c r="F41" i="2"/>
  <c r="F40" i="2"/>
  <c r="D40" i="2"/>
  <c r="F39" i="2"/>
  <c r="E40" i="2"/>
  <c r="D41" i="2"/>
</calcChain>
</file>

<file path=xl/sharedStrings.xml><?xml version="1.0" encoding="utf-8"?>
<sst xmlns="http://schemas.openxmlformats.org/spreadsheetml/2006/main" count="162" uniqueCount="74">
  <si>
    <t>x</t>
  </si>
  <si>
    <t>y</t>
  </si>
  <si>
    <t>z</t>
  </si>
  <si>
    <r>
      <t>I</t>
    </r>
    <r>
      <rPr>
        <vertAlign val="subscript"/>
        <sz val="11"/>
        <color theme="1"/>
        <rFont val="Calibri"/>
        <family val="2"/>
        <scheme val="minor"/>
      </rPr>
      <t>s</t>
    </r>
  </si>
  <si>
    <t>I</t>
  </si>
  <si>
    <t>find CoM of hull rel to combined Cog</t>
  </si>
  <si>
    <t>Final transformation to get hull inertia matrix wrt hull centre of mass</t>
  </si>
  <si>
    <t xml:space="preserve">Heave </t>
  </si>
  <si>
    <t>Roll</t>
  </si>
  <si>
    <t>Pitch</t>
  </si>
  <si>
    <t>Original hydrostatc stiffness matrix:</t>
  </si>
  <si>
    <t>g (m/s^2)</t>
  </si>
  <si>
    <t>Adjusted hydrostatc stiffness matrix:</t>
  </si>
  <si>
    <t>mc (combined mass) (te)</t>
  </si>
  <si>
    <t>Centre of gravity (combined)</t>
  </si>
  <si>
    <t>Centre of gravity (hull)</t>
  </si>
  <si>
    <t>mh (hull mass) (te)</t>
  </si>
  <si>
    <r>
      <t>Hull inertia matrix, I</t>
    </r>
    <r>
      <rPr>
        <vertAlign val="subscript"/>
        <sz val="11"/>
        <color theme="1"/>
        <rFont val="Calibri"/>
        <family val="2"/>
        <scheme val="minor"/>
      </rPr>
      <t>h</t>
    </r>
  </si>
  <si>
    <t>transform to same origin:</t>
  </si>
  <si>
    <r>
      <t xml:space="preserve">Hull inertia matrix 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, calculated from the above two</t>
    </r>
  </si>
  <si>
    <t>Green boxes denote data input into OrcaWave</t>
  </si>
  <si>
    <r>
      <t xml:space="preserve">Red boxes denote data input into OrcaFlex </t>
    </r>
    <r>
      <rPr>
        <i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the superstructure is to be modelled explicitly</t>
    </r>
  </si>
  <si>
    <t>Rotation 1</t>
  </si>
  <si>
    <t>Rotation 2</t>
  </si>
  <si>
    <t>Rotation 3</t>
  </si>
  <si>
    <r>
      <t>Structure inertia matrix, I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rotated to use same axes as total inertia matrix</t>
    </r>
  </si>
  <si>
    <t>deg</t>
  </si>
  <si>
    <t>rad</t>
  </si>
  <si>
    <t>Rz=</t>
  </si>
  <si>
    <t>Ry=</t>
  </si>
  <si>
    <t>Rx=</t>
  </si>
  <si>
    <r>
      <t>O</t>
    </r>
    <r>
      <rPr>
        <vertAlign val="subscript"/>
        <sz val="11"/>
        <color theme="1"/>
        <rFont val="Calibri"/>
        <family val="2"/>
        <scheme val="minor"/>
      </rPr>
      <t>cs</t>
    </r>
    <r>
      <rPr>
        <sz val="11"/>
        <color theme="1"/>
        <rFont val="Calibri"/>
        <family val="2"/>
        <scheme val="minor"/>
      </rPr>
      <t>=</t>
    </r>
  </si>
  <si>
    <t>(This is the stiffness matrix generated by OrcaWave)</t>
  </si>
  <si>
    <t>(Copy this back into OrcaFlex)</t>
  </si>
  <si>
    <t>Transform the total and superstructure inertia matrices to a common origin. Here we use the point (0,0,0) for convienience, because we also need the total inertia matrix at the body origin for OrcaWave input.</t>
  </si>
  <si>
    <t>Total (combined hull &amp; superstructure) inertia matrix, I</t>
  </si>
  <si>
    <r>
      <t>Superstructure inertia matrix, 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/>
    </r>
  </si>
  <si>
    <t>Red text is input data</t>
  </si>
  <si>
    <r>
      <t xml:space="preserve">See the Orcina knowledge base article </t>
    </r>
    <r>
      <rPr>
        <b/>
        <i/>
        <sz val="14"/>
        <color theme="1"/>
        <rFont val="Calibri"/>
        <family val="2"/>
        <scheme val="minor"/>
      </rPr>
      <t>Explicit modelling of floater superstructures</t>
    </r>
    <r>
      <rPr>
        <b/>
        <sz val="14"/>
        <color theme="1"/>
        <rFont val="Calibri"/>
        <family val="2"/>
        <scheme val="minor"/>
      </rPr>
      <t xml:space="preserve"> for full details of this calculation</t>
    </r>
  </si>
  <si>
    <t>reported at combined (total) CoG:</t>
  </si>
  <si>
    <t>reported at structure CoM:</t>
  </si>
  <si>
    <t>X</t>
  </si>
  <si>
    <t>Y</t>
  </si>
  <si>
    <t>Z</t>
  </si>
  <si>
    <t>reported at:</t>
  </si>
  <si>
    <t>subtract the structure matrix from the total to get the hull only</t>
  </si>
  <si>
    <t>see general rotations note below. If the superstructure and the combined inertia is reported using the same axes then no rotation is needed.</t>
  </si>
  <si>
    <t xml:space="preserve"> </t>
  </si>
  <si>
    <t>Platform</t>
  </si>
  <si>
    <t>Tower</t>
  </si>
  <si>
    <t>Nacelle</t>
  </si>
  <si>
    <t>Rotor (inkl. Hub)</t>
  </si>
  <si>
    <t>Mass (te)</t>
  </si>
  <si>
    <t>X (m)</t>
  </si>
  <si>
    <t>Y (m)</t>
  </si>
  <si>
    <t>Z (m)</t>
  </si>
  <si>
    <t>Total</t>
  </si>
  <si>
    <t>Centre of mass (rel. 0,0,0)</t>
  </si>
  <si>
    <t>Ixx (te.m^2)</t>
  </si>
  <si>
    <t>Iyy (te.m^2)</t>
  </si>
  <si>
    <t>Izz (te.m^2)</t>
  </si>
  <si>
    <t>Inertia about object's CoM</t>
  </si>
  <si>
    <t>X-dist</t>
  </si>
  <si>
    <t>Y-dist</t>
  </si>
  <si>
    <t>Z-dist</t>
  </si>
  <si>
    <t>Ix comb</t>
  </si>
  <si>
    <t>Iy comb</t>
  </si>
  <si>
    <t>Iz comb</t>
  </si>
  <si>
    <t>ZX-dist</t>
  </si>
  <si>
    <t>Ix offset</t>
  </si>
  <si>
    <t>Iy offset</t>
  </si>
  <si>
    <t>Iz offset</t>
  </si>
  <si>
    <t>Ixz offset</t>
  </si>
  <si>
    <t>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</si>
</sst>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00"/>
    <numFmt numFmtId="167" formatCode="0.0000000"/>
    <numFmt numFmtId="168" formatCode="0.000E+00"/>
  </numFmts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2" fontId="0" fillId="5" borderId="1" xfId="0" applyNumberFormat="1" applyFill="1" applyBorder="1"/>
    <xf numFmtId="11" fontId="0" fillId="5" borderId="1" xfId="0" applyNumberFormat="1" applyFill="1" applyBorder="1"/>
    <xf numFmtId="11" fontId="0" fillId="5" borderId="0" xfId="0" applyNumberFormat="1" applyFill="1" applyBorder="1"/>
    <xf numFmtId="2" fontId="0" fillId="5" borderId="8" xfId="0" applyNumberFormat="1" applyFill="1" applyBorder="1"/>
    <xf numFmtId="11" fontId="0" fillId="5" borderId="8" xfId="0" applyNumberFormat="1" applyFill="1" applyBorder="1"/>
    <xf numFmtId="2" fontId="0" fillId="5" borderId="0" xfId="0" applyNumberFormat="1" applyFill="1" applyBorder="1"/>
    <xf numFmtId="2" fontId="0" fillId="2" borderId="1" xfId="0" applyNumberFormat="1" applyFill="1" applyBorder="1"/>
    <xf numFmtId="2" fontId="0" fillId="2" borderId="0" xfId="0" applyNumberFormat="1" applyFill="1" applyBorder="1"/>
    <xf numFmtId="2" fontId="0" fillId="2" borderId="8" xfId="0" applyNumberFormat="1" applyFill="1" applyBorder="1"/>
    <xf numFmtId="11" fontId="0" fillId="2" borderId="1" xfId="0" applyNumberFormat="1" applyFill="1" applyBorder="1"/>
    <xf numFmtId="11" fontId="0" fillId="2" borderId="0" xfId="0" applyNumberFormat="1" applyFill="1" applyBorder="1"/>
    <xf numFmtId="11" fontId="0" fillId="2" borderId="8" xfId="0" applyNumberFormat="1" applyFill="1" applyBorder="1"/>
    <xf numFmtId="2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2" fontId="0" fillId="3" borderId="8" xfId="0" applyNumberFormat="1" applyFill="1" applyBorder="1"/>
    <xf numFmtId="0" fontId="0" fillId="3" borderId="8" xfId="0" applyFill="1" applyBorder="1"/>
    <xf numFmtId="11" fontId="0" fillId="3" borderId="0" xfId="0" applyNumberFormat="1" applyFill="1" applyBorder="1"/>
    <xf numFmtId="11" fontId="0" fillId="2" borderId="3" xfId="0" applyNumberFormat="1" applyFill="1" applyBorder="1"/>
    <xf numFmtId="11" fontId="0" fillId="2" borderId="6" xfId="0" applyNumberFormat="1" applyFill="1" applyBorder="1"/>
    <xf numFmtId="0" fontId="0" fillId="0" borderId="0" xfId="0" applyFill="1" applyBorder="1"/>
    <xf numFmtId="11" fontId="0" fillId="5" borderId="3" xfId="0" applyNumberFormat="1" applyFill="1" applyBorder="1"/>
    <xf numFmtId="11" fontId="0" fillId="5" borderId="6" xfId="0" applyNumberFormat="1" applyFill="1" applyBorder="1"/>
    <xf numFmtId="0" fontId="0" fillId="0" borderId="0" xfId="0" applyFont="1"/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166" fontId="0" fillId="0" borderId="0" xfId="0" applyNumberFormat="1"/>
    <xf numFmtId="11" fontId="0" fillId="5" borderId="9" xfId="0" applyNumberFormat="1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5" xfId="0" applyFill="1" applyBorder="1"/>
    <xf numFmtId="11" fontId="0" fillId="5" borderId="16" xfId="0" applyNumberFormat="1" applyFill="1" applyBorder="1"/>
    <xf numFmtId="2" fontId="0" fillId="5" borderId="20" xfId="0" applyNumberFormat="1" applyFill="1" applyBorder="1"/>
    <xf numFmtId="11" fontId="0" fillId="3" borderId="25" xfId="0" applyNumberFormat="1" applyFill="1" applyBorder="1"/>
    <xf numFmtId="0" fontId="0" fillId="3" borderId="26" xfId="0" applyFill="1" applyBorder="1"/>
    <xf numFmtId="11" fontId="0" fillId="3" borderId="27" xfId="0" applyNumberFormat="1" applyFill="1" applyBorder="1"/>
    <xf numFmtId="0" fontId="0" fillId="3" borderId="28" xfId="0" applyFill="1" applyBorder="1"/>
    <xf numFmtId="0" fontId="0" fillId="3" borderId="29" xfId="0" applyFill="1" applyBorder="1"/>
    <xf numFmtId="11" fontId="0" fillId="3" borderId="30" xfId="0" applyNumberFormat="1" applyFill="1" applyBorder="1"/>
    <xf numFmtId="0" fontId="0" fillId="3" borderId="31" xfId="0" applyFill="1" applyBorder="1"/>
    <xf numFmtId="11" fontId="0" fillId="3" borderId="32" xfId="0" applyNumberFormat="1" applyFill="1" applyBorder="1"/>
    <xf numFmtId="165" fontId="0" fillId="5" borderId="21" xfId="0" applyNumberFormat="1" applyFill="1" applyBorder="1"/>
    <xf numFmtId="165" fontId="0" fillId="5" borderId="22" xfId="0" applyNumberFormat="1" applyFill="1" applyBorder="1"/>
    <xf numFmtId="165" fontId="0" fillId="5" borderId="23" xfId="0" applyNumberFormat="1" applyFill="1" applyBorder="1"/>
    <xf numFmtId="164" fontId="0" fillId="2" borderId="18" xfId="0" applyNumberFormat="1" applyFill="1" applyBorder="1"/>
    <xf numFmtId="165" fontId="0" fillId="2" borderId="18" xfId="0" applyNumberFormat="1" applyFill="1" applyBorder="1"/>
    <xf numFmtId="164" fontId="0" fillId="2" borderId="17" xfId="0" applyNumberFormat="1" applyFill="1" applyBorder="1"/>
    <xf numFmtId="164" fontId="0" fillId="2" borderId="19" xfId="0" applyNumberFormat="1" applyFill="1" applyBorder="1"/>
    <xf numFmtId="164" fontId="0" fillId="5" borderId="17" xfId="0" applyNumberFormat="1" applyFill="1" applyBorder="1"/>
    <xf numFmtId="164" fontId="0" fillId="5" borderId="18" xfId="0" applyNumberFormat="1" applyFill="1" applyBorder="1"/>
    <xf numFmtId="164" fontId="0" fillId="5" borderId="19" xfId="0" applyNumberFormat="1" applyFill="1" applyBorder="1"/>
    <xf numFmtId="2" fontId="0" fillId="5" borderId="2" xfId="0" applyNumberFormat="1" applyFill="1" applyBorder="1"/>
    <xf numFmtId="2" fontId="0" fillId="5" borderId="4" xfId="0" applyNumberFormat="1" applyFill="1" applyBorder="1"/>
    <xf numFmtId="2" fontId="0" fillId="5" borderId="7" xfId="0" applyNumberFormat="1" applyFill="1" applyBorder="1"/>
    <xf numFmtId="2" fontId="0" fillId="5" borderId="5" xfId="0" applyNumberFormat="1" applyFill="1" applyBorder="1"/>
    <xf numFmtId="165" fontId="0" fillId="5" borderId="2" xfId="0" applyNumberFormat="1" applyFill="1" applyBorder="1"/>
    <xf numFmtId="165" fontId="0" fillId="5" borderId="4" xfId="0" applyNumberFormat="1" applyFill="1" applyBorder="1"/>
    <xf numFmtId="165" fontId="0" fillId="5" borderId="7" xfId="0" applyNumberFormat="1" applyFill="1" applyBorder="1"/>
    <xf numFmtId="165" fontId="0" fillId="5" borderId="5" xfId="0" applyNumberFormat="1" applyFill="1" applyBorder="1"/>
    <xf numFmtId="165" fontId="0" fillId="3" borderId="4" xfId="0" applyNumberFormat="1" applyFill="1" applyBorder="1"/>
    <xf numFmtId="165" fontId="0" fillId="3" borderId="2" xfId="0" applyNumberFormat="1" applyFill="1" applyBorder="1"/>
    <xf numFmtId="165" fontId="0" fillId="3" borderId="7" xfId="0" applyNumberFormat="1" applyFill="1" applyBorder="1"/>
    <xf numFmtId="165" fontId="0" fillId="3" borderId="5" xfId="0" applyNumberFormat="1" applyFill="1" applyBorder="1"/>
    <xf numFmtId="2" fontId="0" fillId="3" borderId="2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1" fontId="0" fillId="3" borderId="1" xfId="0" applyNumberFormat="1" applyFill="1" applyBorder="1"/>
    <xf numFmtId="1" fontId="0" fillId="3" borderId="4" xfId="0" applyNumberFormat="1" applyFill="1" applyBorder="1"/>
    <xf numFmtId="1" fontId="0" fillId="3" borderId="0" xfId="0" applyNumberFormat="1" applyFill="1" applyBorder="1"/>
    <xf numFmtId="1" fontId="0" fillId="3" borderId="3" xfId="0" applyNumberFormat="1" applyFill="1" applyBorder="1"/>
    <xf numFmtId="1" fontId="0" fillId="3" borderId="5" xfId="0" applyNumberFormat="1" applyFill="1" applyBorder="1"/>
    <xf numFmtId="11" fontId="0" fillId="5" borderId="11" xfId="0" applyNumberFormat="1" applyFill="1" applyBorder="1"/>
    <xf numFmtId="11" fontId="0" fillId="5" borderId="14" xfId="0" applyNumberFormat="1" applyFill="1" applyBorder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0" fillId="0" borderId="0" xfId="0" applyFill="1"/>
    <xf numFmtId="0" fontId="3" fillId="0" borderId="0" xfId="0" applyFont="1" applyFill="1" applyAlignment="1">
      <alignment vertical="center" wrapText="1"/>
    </xf>
    <xf numFmtId="165" fontId="0" fillId="0" borderId="0" xfId="0" applyNumberFormat="1" applyFill="1" applyBorder="1"/>
    <xf numFmtId="165" fontId="0" fillId="2" borderId="17" xfId="0" applyNumberFormat="1" applyFill="1" applyBorder="1"/>
    <xf numFmtId="165" fontId="0" fillId="2" borderId="19" xfId="0" applyNumberFormat="1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0" fontId="6" fillId="0" borderId="0" xfId="0" applyFont="1"/>
    <xf numFmtId="0" fontId="6" fillId="0" borderId="0" xfId="0" applyFont="1" applyFill="1" applyBorder="1"/>
    <xf numFmtId="11" fontId="0" fillId="2" borderId="2" xfId="0" applyNumberFormat="1" applyFill="1" applyBorder="1"/>
    <xf numFmtId="11" fontId="0" fillId="2" borderId="4" xfId="0" applyNumberFormat="1" applyFill="1" applyBorder="1"/>
    <xf numFmtId="11" fontId="0" fillId="2" borderId="5" xfId="0" applyNumberFormat="1" applyFill="1" applyBorder="1"/>
    <xf numFmtId="11" fontId="0" fillId="2" borderId="7" xfId="0" applyNumberFormat="1" applyFill="1" applyBorder="1"/>
    <xf numFmtId="167" fontId="0" fillId="2" borderId="2" xfId="0" applyNumberFormat="1" applyFill="1" applyBorder="1"/>
    <xf numFmtId="167" fontId="0" fillId="2" borderId="4" xfId="0" applyNumberFormat="1" applyFill="1" applyBorder="1"/>
    <xf numFmtId="167" fontId="0" fillId="2" borderId="5" xfId="0" applyNumberFormat="1" applyFill="1" applyBorder="1"/>
    <xf numFmtId="167" fontId="0" fillId="2" borderId="7" xfId="0" applyNumberFormat="1" applyFill="1" applyBorder="1"/>
    <xf numFmtId="2" fontId="6" fillId="3" borderId="24" xfId="0" applyNumberFormat="1" applyFont="1" applyFill="1" applyBorder="1"/>
    <xf numFmtId="2" fontId="6" fillId="2" borderId="1" xfId="0" applyNumberFormat="1" applyFont="1" applyFill="1" applyBorder="1"/>
    <xf numFmtId="11" fontId="6" fillId="2" borderId="1" xfId="0" applyNumberFormat="1" applyFont="1" applyFill="1" applyBorder="1"/>
    <xf numFmtId="0" fontId="6" fillId="2" borderId="2" xfId="0" applyFont="1" applyFill="1" applyBorder="1"/>
    <xf numFmtId="11" fontId="6" fillId="2" borderId="3" xfId="0" applyNumberFormat="1" applyFont="1" applyFill="1" applyBorder="1"/>
    <xf numFmtId="0" fontId="6" fillId="2" borderId="4" xfId="0" applyFont="1" applyFill="1" applyBorder="1"/>
    <xf numFmtId="11" fontId="6" fillId="2" borderId="0" xfId="0" applyNumberFormat="1" applyFont="1" applyFill="1" applyBorder="1"/>
    <xf numFmtId="0" fontId="6" fillId="2" borderId="5" xfId="0" applyFont="1" applyFill="1" applyBorder="1"/>
    <xf numFmtId="11" fontId="6" fillId="2" borderId="6" xfId="0" applyNumberFormat="1" applyFont="1" applyFill="1" applyBorder="1"/>
    <xf numFmtId="0" fontId="6" fillId="2" borderId="7" xfId="0" applyFont="1" applyFill="1" applyBorder="1"/>
    <xf numFmtId="11" fontId="6" fillId="2" borderId="8" xfId="0" applyNumberFormat="1" applyFont="1" applyFill="1" applyBorder="1"/>
    <xf numFmtId="11" fontId="6" fillId="3" borderId="1" xfId="0" applyNumberFormat="1" applyFont="1" applyFill="1" applyBorder="1"/>
    <xf numFmtId="0" fontId="6" fillId="3" borderId="2" xfId="0" applyFont="1" applyFill="1" applyBorder="1"/>
    <xf numFmtId="11" fontId="6" fillId="3" borderId="3" xfId="0" applyNumberFormat="1" applyFont="1" applyFill="1" applyBorder="1"/>
    <xf numFmtId="0" fontId="6" fillId="3" borderId="4" xfId="0" applyFont="1" applyFill="1" applyBorder="1"/>
    <xf numFmtId="11" fontId="6" fillId="3" borderId="0" xfId="0" applyNumberFormat="1" applyFont="1" applyFill="1" applyBorder="1"/>
    <xf numFmtId="0" fontId="6" fillId="3" borderId="5" xfId="0" applyFont="1" applyFill="1" applyBorder="1"/>
    <xf numFmtId="11" fontId="6" fillId="3" borderId="6" xfId="0" applyNumberFormat="1" applyFont="1" applyFill="1" applyBorder="1"/>
    <xf numFmtId="0" fontId="6" fillId="3" borderId="7" xfId="0" applyFont="1" applyFill="1" applyBorder="1"/>
    <xf numFmtId="11" fontId="6" fillId="3" borderId="8" xfId="0" applyNumberFormat="1" applyFont="1" applyFill="1" applyBorder="1"/>
    <xf numFmtId="0" fontId="6" fillId="3" borderId="33" xfId="0" applyFont="1" applyFill="1" applyBorder="1"/>
    <xf numFmtId="165" fontId="6" fillId="3" borderId="34" xfId="0" applyNumberFormat="1" applyFont="1" applyFill="1" applyBorder="1"/>
    <xf numFmtId="0" fontId="6" fillId="3" borderId="35" xfId="0" applyFont="1" applyFill="1" applyBorder="1"/>
    <xf numFmtId="0" fontId="6" fillId="2" borderId="17" xfId="0" applyFont="1" applyFill="1" applyBorder="1"/>
    <xf numFmtId="165" fontId="6" fillId="2" borderId="18" xfId="0" applyNumberFormat="1" applyFont="1" applyFill="1" applyBorder="1"/>
    <xf numFmtId="0" fontId="6" fillId="2" borderId="19" xfId="0" applyFont="1" applyFill="1" applyBorder="1"/>
    <xf numFmtId="0" fontId="6" fillId="2" borderId="18" xfId="0" applyFont="1" applyFill="1" applyBorder="1"/>
    <xf numFmtId="164" fontId="6" fillId="3" borderId="17" xfId="0" applyNumberFormat="1" applyFont="1" applyFill="1" applyBorder="1"/>
    <xf numFmtId="164" fontId="6" fillId="3" borderId="18" xfId="0" applyNumberFormat="1" applyFont="1" applyFill="1" applyBorder="1"/>
    <xf numFmtId="164" fontId="6" fillId="3" borderId="19" xfId="0" applyNumberFormat="1" applyFont="1" applyFill="1" applyBorder="1"/>
    <xf numFmtId="0" fontId="7" fillId="0" borderId="0" xfId="0" applyFont="1"/>
    <xf numFmtId="0" fontId="6" fillId="4" borderId="0" xfId="0" applyFont="1" applyFill="1"/>
    <xf numFmtId="11" fontId="6" fillId="4" borderId="0" xfId="0" applyNumberFormat="1" applyFont="1" applyFill="1"/>
    <xf numFmtId="11" fontId="0" fillId="6" borderId="0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1" fontId="0" fillId="6" borderId="12" xfId="0" applyNumberFormat="1" applyFill="1" applyBorder="1"/>
    <xf numFmtId="0" fontId="0" fillId="6" borderId="13" xfId="0" applyFill="1" applyBorder="1"/>
    <xf numFmtId="0" fontId="0" fillId="6" borderId="14" xfId="0" applyFill="1" applyBorder="1"/>
    <xf numFmtId="1" fontId="0" fillId="6" borderId="15" xfId="0" applyNumberFormat="1" applyFill="1" applyBorder="1"/>
    <xf numFmtId="11" fontId="0" fillId="6" borderId="16" xfId="0" applyNumberFormat="1" applyFill="1" applyBorder="1"/>
    <xf numFmtId="0" fontId="7" fillId="0" borderId="0" xfId="0" applyFont="1" applyAlignment="1">
      <alignment wrapText="1"/>
    </xf>
    <xf numFmtId="0" fontId="9" fillId="0" borderId="0" xfId="0" applyFont="1"/>
    <xf numFmtId="168" fontId="0" fillId="0" borderId="0" xfId="0" applyNumberFormat="1"/>
    <xf numFmtId="0" fontId="0" fillId="0" borderId="36" xfId="0" applyBorder="1"/>
    <xf numFmtId="0" fontId="11" fillId="0" borderId="36" xfId="0" applyFont="1" applyBorder="1"/>
    <xf numFmtId="0" fontId="0" fillId="7" borderId="36" xfId="0" applyFill="1" applyBorder="1"/>
    <xf numFmtId="168" fontId="0" fillId="0" borderId="36" xfId="0" applyNumberFormat="1" applyBorder="1"/>
    <xf numFmtId="0" fontId="11" fillId="0" borderId="4" xfId="0" applyFont="1" applyFill="1" applyBorder="1"/>
    <xf numFmtId="0" fontId="11" fillId="0" borderId="0" xfId="0" applyFont="1" applyFill="1" applyBorder="1"/>
    <xf numFmtId="168" fontId="11" fillId="0" borderId="0" xfId="0" applyNumberFormat="1" applyFont="1"/>
    <xf numFmtId="0" fontId="0" fillId="0" borderId="0" xfId="0" applyNumberFormat="1"/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1" fillId="0" borderId="36" xfId="0" applyFont="1" applyBorder="1" applyAlignment="1">
      <alignment horizont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1515632</xdr:colOff>
      <xdr:row>17</xdr:row>
      <xdr:rowOff>27711</xdr:rowOff>
    </xdr:from>
    <xdr:to>
      <xdr:col>27</xdr:col>
      <xdr:colOff>75137</xdr:colOff>
      <xdr:row>20</xdr:row>
      <xdr:rowOff>156527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4814" y="3329711"/>
          <a:ext cx="1965414" cy="682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290946</xdr:colOff>
      <xdr:row>8</xdr:row>
      <xdr:rowOff>127910</xdr:rowOff>
    </xdr:from>
    <xdr:to>
      <xdr:col>42</xdr:col>
      <xdr:colOff>232210</xdr:colOff>
      <xdr:row>13</xdr:row>
      <xdr:rowOff>44792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42946" y="1732728"/>
          <a:ext cx="4928900" cy="852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50800</xdr:colOff>
      <xdr:row>5</xdr:row>
      <xdr:rowOff>146050</xdr:rowOff>
    </xdr:from>
    <xdr:to>
      <xdr:col>35</xdr:col>
      <xdr:colOff>552450</xdr:colOff>
      <xdr:row>7</xdr:row>
      <xdr:rowOff>93010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9150" y="552450"/>
          <a:ext cx="50165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35</xdr:col>
      <xdr:colOff>50800</xdr:colOff>
      <xdr:row>14</xdr:row>
      <xdr:rowOff>146050</xdr:rowOff>
    </xdr:from>
    <xdr:ext cx="501650" cy="3302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9150" y="552450"/>
          <a:ext cx="50165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50800</xdr:colOff>
      <xdr:row>35</xdr:row>
      <xdr:rowOff>146050</xdr:rowOff>
    </xdr:from>
    <xdr:ext cx="501650" cy="33020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7682" y="2260226"/>
          <a:ext cx="50165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133405</xdr:colOff>
      <xdr:row>37</xdr:row>
      <xdr:rowOff>172359</xdr:rowOff>
    </xdr:from>
    <xdr:to>
      <xdr:col>9</xdr:col>
      <xdr:colOff>345943</xdr:colOff>
      <xdr:row>40</xdr:row>
      <xdr:rowOff>161260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3817" y="4378300"/>
          <a:ext cx="1907614" cy="556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392545</xdr:colOff>
      <xdr:row>5</xdr:row>
      <xdr:rowOff>97118</xdr:rowOff>
    </xdr:from>
    <xdr:to>
      <xdr:col>23</xdr:col>
      <xdr:colOff>1314824</xdr:colOff>
      <xdr:row>7</xdr:row>
      <xdr:rowOff>104588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112000" y="1066936"/>
          <a:ext cx="8230551" cy="400016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283882</xdr:colOff>
      <xdr:row>14</xdr:row>
      <xdr:rowOff>82177</xdr:rowOff>
    </xdr:from>
    <xdr:to>
      <xdr:col>23</xdr:col>
      <xdr:colOff>1344706</xdr:colOff>
      <xdr:row>16</xdr:row>
      <xdr:rowOff>89647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716058" y="2196353"/>
          <a:ext cx="1060824" cy="38100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160618</xdr:colOff>
      <xdr:row>21</xdr:row>
      <xdr:rowOff>127000</xdr:rowOff>
    </xdr:from>
    <xdr:to>
      <xdr:col>30</xdr:col>
      <xdr:colOff>508000</xdr:colOff>
      <xdr:row>33</xdr:row>
      <xdr:rowOff>18676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11594354" y="3709147"/>
          <a:ext cx="638734" cy="347382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542636</xdr:colOff>
      <xdr:row>35</xdr:row>
      <xdr:rowOff>89647</xdr:rowOff>
    </xdr:from>
    <xdr:to>
      <xdr:col>23</xdr:col>
      <xdr:colOff>1262530</xdr:colOff>
      <xdr:row>37</xdr:row>
      <xdr:rowOff>97118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0800000">
          <a:off x="7262091" y="5596829"/>
          <a:ext cx="10244894" cy="400016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392834</xdr:colOff>
      <xdr:row>16</xdr:row>
      <xdr:rowOff>58016</xdr:rowOff>
    </xdr:from>
    <xdr:to>
      <xdr:col>10</xdr:col>
      <xdr:colOff>1386609</xdr:colOff>
      <xdr:row>18</xdr:row>
      <xdr:rowOff>65486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098434" y="3086966"/>
          <a:ext cx="993775" cy="37577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125557</xdr:colOff>
      <xdr:row>45</xdr:row>
      <xdr:rowOff>62651</xdr:rowOff>
    </xdr:from>
    <xdr:to>
      <xdr:col>19</xdr:col>
      <xdr:colOff>532592</xdr:colOff>
      <xdr:row>62</xdr:row>
      <xdr:rowOff>92363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57" y="8675560"/>
          <a:ext cx="12114126" cy="317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1515632</xdr:colOff>
      <xdr:row>17</xdr:row>
      <xdr:rowOff>27711</xdr:rowOff>
    </xdr:from>
    <xdr:to>
      <xdr:col>27</xdr:col>
      <xdr:colOff>75137</xdr:colOff>
      <xdr:row>20</xdr:row>
      <xdr:rowOff>162877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73F6F-9D40-4E3E-95A8-53069C37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1332" y="3291611"/>
          <a:ext cx="1963105" cy="681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290946</xdr:colOff>
      <xdr:row>8</xdr:row>
      <xdr:rowOff>127910</xdr:rowOff>
    </xdr:from>
    <xdr:to>
      <xdr:col>42</xdr:col>
      <xdr:colOff>238560</xdr:colOff>
      <xdr:row>13</xdr:row>
      <xdr:rowOff>44792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649D32-A56F-4371-BDF0-31B6FA3D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0796" y="1702710"/>
          <a:ext cx="4919664" cy="843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50800</xdr:colOff>
      <xdr:row>5</xdr:row>
      <xdr:rowOff>146050</xdr:rowOff>
    </xdr:from>
    <xdr:to>
      <xdr:col>35</xdr:col>
      <xdr:colOff>552450</xdr:colOff>
      <xdr:row>7</xdr:row>
      <xdr:rowOff>93010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286DF4-5EE9-474F-A97B-37B78BBD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0650" y="1149350"/>
          <a:ext cx="501650" cy="32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35</xdr:col>
      <xdr:colOff>50800</xdr:colOff>
      <xdr:row>14</xdr:row>
      <xdr:rowOff>146050</xdr:rowOff>
    </xdr:from>
    <xdr:ext cx="501650" cy="330200"/>
    <xdr:pic>
      <xdr:nvPicPr>
        <xdr:cNvPr id="5" name="Picture 4">
          <a:extLst>
            <a:ext uri="{FF2B5EF4-FFF2-40B4-BE49-F238E27FC236}">
              <a16:creationId xmlns:a16="http://schemas.microsoft.com/office/drawing/2014/main" id="{F856A200-6745-4D42-AE0D-35B3F4B8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0650" y="2857500"/>
          <a:ext cx="50165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50800</xdr:colOff>
      <xdr:row>35</xdr:row>
      <xdr:rowOff>146050</xdr:rowOff>
    </xdr:from>
    <xdr:ext cx="501650" cy="330200"/>
    <xdr:pic>
      <xdr:nvPicPr>
        <xdr:cNvPr id="6" name="Picture 5">
          <a:extLst>
            <a:ext uri="{FF2B5EF4-FFF2-40B4-BE49-F238E27FC236}">
              <a16:creationId xmlns:a16="http://schemas.microsoft.com/office/drawing/2014/main" id="{7FBD157E-37B7-4C1E-8CFD-B8C8D5AC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0650" y="6781800"/>
          <a:ext cx="50165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133405</xdr:colOff>
      <xdr:row>37</xdr:row>
      <xdr:rowOff>172359</xdr:rowOff>
    </xdr:from>
    <xdr:to>
      <xdr:col>9</xdr:col>
      <xdr:colOff>345943</xdr:colOff>
      <xdr:row>40</xdr:row>
      <xdr:rowOff>161260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C2D0843-2078-4971-838A-0AE9DA2C8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55" y="7189109"/>
          <a:ext cx="1901638" cy="547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392545</xdr:colOff>
      <xdr:row>5</xdr:row>
      <xdr:rowOff>97118</xdr:rowOff>
    </xdr:from>
    <xdr:to>
      <xdr:col>23</xdr:col>
      <xdr:colOff>1314824</xdr:colOff>
      <xdr:row>7</xdr:row>
      <xdr:rowOff>104588</xdr:rowOff>
    </xdr:to>
    <xdr:sp macro="" textlink="">
      <xdr:nvSpPr>
        <xdr:cNvPr id="8" name="Right Arrow 12">
          <a:extLst>
            <a:ext uri="{FF2B5EF4-FFF2-40B4-BE49-F238E27FC236}">
              <a16:creationId xmlns:a16="http://schemas.microsoft.com/office/drawing/2014/main" id="{392A7039-9CF2-4234-AE27-BED319A67D15}"/>
            </a:ext>
          </a:extLst>
        </xdr:cNvPr>
        <xdr:cNvSpPr/>
      </xdr:nvSpPr>
      <xdr:spPr>
        <a:xfrm>
          <a:off x="7098145" y="1100418"/>
          <a:ext cx="8072379" cy="38847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283882</xdr:colOff>
      <xdr:row>14</xdr:row>
      <xdr:rowOff>82177</xdr:rowOff>
    </xdr:from>
    <xdr:to>
      <xdr:col>23</xdr:col>
      <xdr:colOff>1344706</xdr:colOff>
      <xdr:row>16</xdr:row>
      <xdr:rowOff>89647</xdr:rowOff>
    </xdr:to>
    <xdr:sp macro="" textlink="">
      <xdr:nvSpPr>
        <xdr:cNvPr id="9" name="Right Arrow 13">
          <a:extLst>
            <a:ext uri="{FF2B5EF4-FFF2-40B4-BE49-F238E27FC236}">
              <a16:creationId xmlns:a16="http://schemas.microsoft.com/office/drawing/2014/main" id="{D48DC050-7785-4322-8602-928199FAAFBD}"/>
            </a:ext>
          </a:extLst>
        </xdr:cNvPr>
        <xdr:cNvSpPr/>
      </xdr:nvSpPr>
      <xdr:spPr>
        <a:xfrm>
          <a:off x="14139582" y="2793627"/>
          <a:ext cx="1060824" cy="37577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160618</xdr:colOff>
      <xdr:row>21</xdr:row>
      <xdr:rowOff>127000</xdr:rowOff>
    </xdr:from>
    <xdr:to>
      <xdr:col>30</xdr:col>
      <xdr:colOff>508000</xdr:colOff>
      <xdr:row>33</xdr:row>
      <xdr:rowOff>18676</xdr:rowOff>
    </xdr:to>
    <xdr:sp macro="" textlink="">
      <xdr:nvSpPr>
        <xdr:cNvPr id="10" name="Right Arrow 14">
          <a:extLst>
            <a:ext uri="{FF2B5EF4-FFF2-40B4-BE49-F238E27FC236}">
              <a16:creationId xmlns:a16="http://schemas.microsoft.com/office/drawing/2014/main" id="{79FCB97A-5D4D-4770-B689-9AFA0784A36D}"/>
            </a:ext>
          </a:extLst>
        </xdr:cNvPr>
        <xdr:cNvSpPr/>
      </xdr:nvSpPr>
      <xdr:spPr>
        <a:xfrm rot="5400000">
          <a:off x="18009721" y="5017247"/>
          <a:ext cx="2126876" cy="347382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542636</xdr:colOff>
      <xdr:row>35</xdr:row>
      <xdr:rowOff>89647</xdr:rowOff>
    </xdr:from>
    <xdr:to>
      <xdr:col>23</xdr:col>
      <xdr:colOff>1262530</xdr:colOff>
      <xdr:row>37</xdr:row>
      <xdr:rowOff>97118</xdr:rowOff>
    </xdr:to>
    <xdr:sp macro="" textlink="">
      <xdr:nvSpPr>
        <xdr:cNvPr id="11" name="Right Arrow 15">
          <a:extLst>
            <a:ext uri="{FF2B5EF4-FFF2-40B4-BE49-F238E27FC236}">
              <a16:creationId xmlns:a16="http://schemas.microsoft.com/office/drawing/2014/main" id="{51B7C89F-8EA8-4DF4-A3B3-8040E913FA28}"/>
            </a:ext>
          </a:extLst>
        </xdr:cNvPr>
        <xdr:cNvSpPr/>
      </xdr:nvSpPr>
      <xdr:spPr>
        <a:xfrm rot="10800000">
          <a:off x="7248236" y="6725397"/>
          <a:ext cx="7869994" cy="388471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392834</xdr:colOff>
      <xdr:row>16</xdr:row>
      <xdr:rowOff>58016</xdr:rowOff>
    </xdr:from>
    <xdr:to>
      <xdr:col>10</xdr:col>
      <xdr:colOff>1386609</xdr:colOff>
      <xdr:row>18</xdr:row>
      <xdr:rowOff>65486</xdr:rowOff>
    </xdr:to>
    <xdr:sp macro="" textlink="">
      <xdr:nvSpPr>
        <xdr:cNvPr id="12" name="Right Arrow 16">
          <a:extLst>
            <a:ext uri="{FF2B5EF4-FFF2-40B4-BE49-F238E27FC236}">
              <a16:creationId xmlns:a16="http://schemas.microsoft.com/office/drawing/2014/main" id="{212DC8EA-9DEC-4466-AABA-A9B7CD574902}"/>
            </a:ext>
          </a:extLst>
        </xdr:cNvPr>
        <xdr:cNvSpPr/>
      </xdr:nvSpPr>
      <xdr:spPr>
        <a:xfrm>
          <a:off x="7098434" y="3137766"/>
          <a:ext cx="993775" cy="37577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125557</xdr:colOff>
      <xdr:row>45</xdr:row>
      <xdr:rowOff>62651</xdr:rowOff>
    </xdr:from>
    <xdr:to>
      <xdr:col>19</xdr:col>
      <xdr:colOff>532592</xdr:colOff>
      <xdr:row>62</xdr:row>
      <xdr:rowOff>92363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7E63C4C-CD1F-4B4F-8B1C-A27834F2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57" y="8590701"/>
          <a:ext cx="12091035" cy="3160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64"/>
  <sheetViews>
    <sheetView topLeftCell="X4" zoomScale="85" zoomScaleNormal="85" workbookViewId="0">
      <selection activeCell="T29" sqref="T29"/>
    </sheetView>
  </sheetViews>
  <sheetFormatPr defaultRowHeight="14.5" x14ac:dyDescent="0.35"/>
  <cols>
    <col min="4" max="4" width="9.54296875" customWidth="1"/>
    <col min="6" max="6" width="9.36328125" bestFit="1" customWidth="1"/>
    <col min="7" max="7" width="7" customWidth="1"/>
    <col min="8" max="8" width="12.54296875" bestFit="1" customWidth="1"/>
    <col min="9" max="9" width="11.6328125" customWidth="1"/>
    <col min="10" max="10" width="11" bestFit="1" customWidth="1"/>
    <col min="11" max="11" width="21.7265625" customWidth="1"/>
    <col min="12" max="12" width="5.1796875" customWidth="1"/>
    <col min="13" max="15" width="4.453125" customWidth="1"/>
    <col min="16" max="16" width="2.90625" customWidth="1"/>
    <col min="17" max="22" width="9.36328125" customWidth="1"/>
    <col min="23" max="23" width="3" customWidth="1"/>
    <col min="24" max="24" width="22" customWidth="1"/>
    <col min="25" max="25" width="9.26953125" customWidth="1"/>
    <col min="28" max="28" width="3.26953125" customWidth="1"/>
    <col min="29" max="29" width="8.90625" bestFit="1" customWidth="1"/>
    <col min="30" max="30" width="9" bestFit="1" customWidth="1"/>
    <col min="31" max="31" width="8.90625" bestFit="1" customWidth="1"/>
    <col min="32" max="33" width="16.26953125" customWidth="1"/>
    <col min="34" max="34" width="15.7265625" customWidth="1"/>
    <col min="35" max="35" width="2.81640625" customWidth="1"/>
    <col min="37" max="37" width="11.54296875" customWidth="1"/>
    <col min="38" max="38" width="12.453125" bestFit="1" customWidth="1"/>
    <col min="39" max="39" width="12.36328125" customWidth="1"/>
  </cols>
  <sheetData>
    <row r="1" spans="1:39" ht="18.5" x14ac:dyDescent="0.45">
      <c r="A1" s="165" t="s">
        <v>38</v>
      </c>
    </row>
    <row r="2" spans="1:39" ht="15" thickBot="1" x14ac:dyDescent="0.4">
      <c r="A2" s="112" t="s">
        <v>37</v>
      </c>
    </row>
    <row r="3" spans="1:39" ht="16" thickBot="1" x14ac:dyDescent="0.4">
      <c r="A3" s="175" t="s">
        <v>20</v>
      </c>
      <c r="B3" s="176"/>
      <c r="C3" s="176"/>
      <c r="D3" s="176"/>
      <c r="E3" s="176"/>
      <c r="F3" s="176"/>
      <c r="G3" s="176"/>
      <c r="H3" s="176"/>
      <c r="I3" s="177"/>
    </row>
    <row r="4" spans="1:39" x14ac:dyDescent="0.35">
      <c r="Y4" t="s">
        <v>18</v>
      </c>
    </row>
    <row r="5" spans="1:39" ht="15" thickBot="1" x14ac:dyDescent="0.4">
      <c r="A5" t="s">
        <v>35</v>
      </c>
      <c r="H5" t="s">
        <v>39</v>
      </c>
      <c r="Y5" t="s">
        <v>44</v>
      </c>
      <c r="AC5" s="51" t="s">
        <v>4</v>
      </c>
    </row>
    <row r="6" spans="1:39" ht="15" thickBot="1" x14ac:dyDescent="0.4">
      <c r="A6" s="122">
        <v>14072.718000000001</v>
      </c>
      <c r="B6" s="34">
        <v>0</v>
      </c>
      <c r="C6" s="35">
        <v>0</v>
      </c>
      <c r="D6" s="36">
        <v>0</v>
      </c>
      <c r="E6" s="34">
        <v>0</v>
      </c>
      <c r="F6" s="35">
        <v>0</v>
      </c>
      <c r="H6" t="s">
        <v>41</v>
      </c>
      <c r="I6" t="s">
        <v>42</v>
      </c>
      <c r="J6" t="s">
        <v>43</v>
      </c>
      <c r="Y6" t="s">
        <v>41</v>
      </c>
      <c r="Z6" t="s">
        <v>42</v>
      </c>
      <c r="AA6" t="s">
        <v>43</v>
      </c>
      <c r="AC6" s="33">
        <f t="array" ref="AC6:AE8">A6:C8</f>
        <v>14072.718000000001</v>
      </c>
      <c r="AD6" s="34">
        <v>0</v>
      </c>
      <c r="AE6" s="35">
        <v>0</v>
      </c>
      <c r="AF6" s="96">
        <f t="array" ref="AF6:AH8">D6:F8+MMULT(A6:C8,AK6:AM8)</f>
        <v>0</v>
      </c>
      <c r="AG6" s="93">
        <v>-139181.71410924001</v>
      </c>
      <c r="AH6" s="99">
        <v>0</v>
      </c>
      <c r="AK6" s="36">
        <v>0</v>
      </c>
      <c r="AL6" s="90">
        <f>J7-AA7</f>
        <v>-9.8901800000000009</v>
      </c>
      <c r="AM6" s="35">
        <f>-(I7-Z7)</f>
        <v>0</v>
      </c>
    </row>
    <row r="7" spans="1:39" ht="15" thickBot="1" x14ac:dyDescent="0.4">
      <c r="A7" s="37">
        <v>0</v>
      </c>
      <c r="B7" s="38">
        <f>A6</f>
        <v>14072.718000000001</v>
      </c>
      <c r="C7" s="39">
        <v>0</v>
      </c>
      <c r="D7" s="37">
        <v>0</v>
      </c>
      <c r="E7" s="40">
        <v>0</v>
      </c>
      <c r="F7" s="39">
        <v>0</v>
      </c>
      <c r="H7" s="142">
        <v>-1.021E-2</v>
      </c>
      <c r="I7" s="143">
        <v>0</v>
      </c>
      <c r="J7" s="144">
        <v>-9.8901800000000009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Y7" s="149">
        <v>0</v>
      </c>
      <c r="Z7" s="150">
        <v>0</v>
      </c>
      <c r="AA7" s="151">
        <v>0</v>
      </c>
      <c r="AC7" s="37">
        <v>0</v>
      </c>
      <c r="AD7" s="38">
        <v>14072.718000000001</v>
      </c>
      <c r="AE7" s="39">
        <v>0</v>
      </c>
      <c r="AF7" s="94">
        <v>139181.71410924001</v>
      </c>
      <c r="AG7" s="98">
        <v>0</v>
      </c>
      <c r="AH7" s="95">
        <v>-143.68245078000001</v>
      </c>
      <c r="AJ7" s="2"/>
      <c r="AK7" s="89">
        <f>-(J7-AA7)</f>
        <v>9.8901800000000009</v>
      </c>
      <c r="AL7" s="40">
        <v>0</v>
      </c>
      <c r="AM7" s="92">
        <f>H7-Y7</f>
        <v>-1.021E-2</v>
      </c>
    </row>
    <row r="8" spans="1:39" ht="15" thickBot="1" x14ac:dyDescent="0.4">
      <c r="A8" s="41">
        <v>0</v>
      </c>
      <c r="B8" s="42">
        <v>0</v>
      </c>
      <c r="C8" s="43">
        <f>A6</f>
        <v>14072.718000000001</v>
      </c>
      <c r="D8" s="41">
        <v>0</v>
      </c>
      <c r="E8" s="42">
        <v>0</v>
      </c>
      <c r="F8" s="44">
        <v>0</v>
      </c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AC8" s="41">
        <v>0</v>
      </c>
      <c r="AD8" s="42">
        <v>0</v>
      </c>
      <c r="AE8" s="43">
        <v>14072.718000000001</v>
      </c>
      <c r="AF8" s="97">
        <v>0</v>
      </c>
      <c r="AG8" s="38">
        <v>143.68245078000001</v>
      </c>
      <c r="AH8" s="100">
        <v>0</v>
      </c>
      <c r="AK8" s="41">
        <f>I7-Z7</f>
        <v>0</v>
      </c>
      <c r="AL8" s="91">
        <f>-(H7-Y7)</f>
        <v>1.021E-2</v>
      </c>
      <c r="AM8" s="44">
        <v>0</v>
      </c>
    </row>
    <row r="9" spans="1:39" ht="14.5" customHeight="1" x14ac:dyDescent="0.35">
      <c r="A9" s="36">
        <v>0</v>
      </c>
      <c r="B9" s="34">
        <v>0</v>
      </c>
      <c r="C9" s="35">
        <v>0</v>
      </c>
      <c r="D9" s="133">
        <v>11330000</v>
      </c>
      <c r="E9" s="134">
        <v>0</v>
      </c>
      <c r="F9" s="135">
        <v>13180</v>
      </c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81" t="s">
        <v>34</v>
      </c>
      <c r="Y9" s="181"/>
      <c r="Z9" s="181"/>
      <c r="AA9" s="181"/>
      <c r="AC9" s="36">
        <f t="array" ref="AC9:AE11">A9:C11 + MMULT(TRANSPOSE(AK6:AM8),A6:C8)</f>
        <v>0</v>
      </c>
      <c r="AD9" s="34">
        <v>139181.71410924001</v>
      </c>
      <c r="AE9" s="34">
        <v>0</v>
      </c>
      <c r="AF9" s="63">
        <f t="array" ref="AF9:AH11">D9:F11 + MMULT(TRANSPOSE(AK6:AM8),D6:F8) + MMULT(A9:C11, AK6:AM8) + MMULT(MMULT(TRANSPOSE(AK6:AM8),A6:C8),AK6:AM8)</f>
        <v>12706532.205248924</v>
      </c>
      <c r="AG9" s="64">
        <v>0</v>
      </c>
      <c r="AH9" s="65">
        <v>11758.954698944659</v>
      </c>
    </row>
    <row r="10" spans="1:39" ht="14.5" customHeight="1" x14ac:dyDescent="0.35">
      <c r="A10" s="37">
        <v>0</v>
      </c>
      <c r="B10" s="40">
        <v>0</v>
      </c>
      <c r="C10" s="39">
        <v>0</v>
      </c>
      <c r="D10" s="136">
        <v>0</v>
      </c>
      <c r="E10" s="137">
        <v>11320000</v>
      </c>
      <c r="F10" s="138">
        <v>0</v>
      </c>
      <c r="J10" s="104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81"/>
      <c r="Y10" s="181"/>
      <c r="Z10" s="181"/>
      <c r="AA10" s="181"/>
      <c r="AC10" s="37">
        <v>-139181.71410924001</v>
      </c>
      <c r="AD10" s="40">
        <v>0</v>
      </c>
      <c r="AE10" s="40">
        <v>143.68245078000001</v>
      </c>
      <c r="AF10" s="66">
        <v>0</v>
      </c>
      <c r="AG10" s="45">
        <v>12696533.672246747</v>
      </c>
      <c r="AH10" s="67">
        <v>0</v>
      </c>
    </row>
    <row r="11" spans="1:39" ht="15" thickBot="1" x14ac:dyDescent="0.4">
      <c r="A11" s="41">
        <v>0</v>
      </c>
      <c r="B11" s="42">
        <v>0</v>
      </c>
      <c r="C11" s="44">
        <v>0</v>
      </c>
      <c r="D11" s="139">
        <v>13180</v>
      </c>
      <c r="E11" s="140">
        <v>0</v>
      </c>
      <c r="F11" s="141">
        <v>12230000</v>
      </c>
      <c r="J11" s="104"/>
      <c r="K11" s="106"/>
      <c r="M11" s="3">
        <f>COS(J20)</f>
        <v>1</v>
      </c>
      <c r="N11" s="4">
        <f>-SIN(J20)</f>
        <v>0</v>
      </c>
      <c r="O11" s="5">
        <v>0</v>
      </c>
      <c r="P11" s="106"/>
      <c r="Q11" s="106"/>
      <c r="R11" s="106"/>
      <c r="S11" s="106"/>
      <c r="T11" s="106"/>
      <c r="U11" s="106"/>
      <c r="V11" s="106"/>
      <c r="W11" s="106"/>
      <c r="X11" s="181"/>
      <c r="Y11" s="181"/>
      <c r="Z11" s="181"/>
      <c r="AA11" s="181"/>
      <c r="AC11" s="41">
        <v>0</v>
      </c>
      <c r="AD11" s="42">
        <v>-143.68245078000001</v>
      </c>
      <c r="AE11" s="42">
        <v>0</v>
      </c>
      <c r="AF11" s="68">
        <v>11758.954698944659</v>
      </c>
      <c r="AG11" s="69">
        <v>0</v>
      </c>
      <c r="AH11" s="70">
        <v>12230001.466997823</v>
      </c>
    </row>
    <row r="12" spans="1:39" x14ac:dyDescent="0.35">
      <c r="J12" s="104"/>
      <c r="K12" s="106"/>
      <c r="L12" t="s">
        <v>28</v>
      </c>
      <c r="M12" s="6">
        <f>SIN(J20)</f>
        <v>0</v>
      </c>
      <c r="N12" s="7">
        <f>COS(J20)</f>
        <v>1</v>
      </c>
      <c r="O12" s="8">
        <v>0</v>
      </c>
      <c r="P12" s="106"/>
      <c r="Q12" s="106"/>
      <c r="R12" s="106"/>
      <c r="S12" s="106"/>
      <c r="T12" s="106"/>
      <c r="U12" s="106"/>
      <c r="V12" s="106"/>
      <c r="W12" s="106"/>
      <c r="X12" s="181"/>
      <c r="Y12" s="181"/>
      <c r="Z12" s="181"/>
      <c r="AA12" s="181"/>
    </row>
    <row r="13" spans="1:39" x14ac:dyDescent="0.35">
      <c r="K13" s="105"/>
      <c r="M13" s="9">
        <v>0</v>
      </c>
      <c r="N13" s="10">
        <v>0</v>
      </c>
      <c r="O13" s="11">
        <v>1</v>
      </c>
      <c r="P13" s="105"/>
      <c r="Q13" s="105"/>
      <c r="R13" s="105"/>
      <c r="S13" s="105"/>
      <c r="T13" s="105"/>
      <c r="U13" s="105"/>
      <c r="V13" s="105"/>
      <c r="W13" s="105"/>
      <c r="X13" s="181"/>
      <c r="Y13" s="181"/>
      <c r="Z13" s="181"/>
      <c r="AA13" s="181"/>
    </row>
    <row r="14" spans="1:39" ht="16.5" x14ac:dyDescent="0.45">
      <c r="A14" t="s">
        <v>36</v>
      </c>
      <c r="D14" s="112"/>
      <c r="H14" t="s">
        <v>40</v>
      </c>
      <c r="K14" s="105"/>
      <c r="Q14" t="s">
        <v>25</v>
      </c>
      <c r="R14" s="105"/>
      <c r="S14" s="105"/>
      <c r="T14" s="105"/>
      <c r="U14" s="105"/>
      <c r="V14" s="105"/>
      <c r="W14" s="105"/>
      <c r="Y14" t="s">
        <v>44</v>
      </c>
      <c r="AC14" t="s">
        <v>3</v>
      </c>
    </row>
    <row r="15" spans="1:39" x14ac:dyDescent="0.35">
      <c r="A15" s="123">
        <v>599.71799999999996</v>
      </c>
      <c r="B15" s="4">
        <v>0</v>
      </c>
      <c r="C15" s="5">
        <v>0</v>
      </c>
      <c r="D15" s="3">
        <v>0</v>
      </c>
      <c r="E15" s="4">
        <v>0</v>
      </c>
      <c r="F15" s="5">
        <v>0</v>
      </c>
      <c r="H15" t="s">
        <v>41</v>
      </c>
      <c r="I15" t="s">
        <v>42</v>
      </c>
      <c r="J15" t="s">
        <v>43</v>
      </c>
      <c r="K15" s="105"/>
      <c r="M15" s="3">
        <f>COS(I20)</f>
        <v>1</v>
      </c>
      <c r="N15" s="4">
        <v>0</v>
      </c>
      <c r="O15" s="5">
        <f>SIN(I20)</f>
        <v>0</v>
      </c>
      <c r="P15" s="48"/>
      <c r="Q15" s="27">
        <f t="array" ref="Q15:S17">MMULT(MMULT(M23:O25,A15:C17),TRANSPOSE(M23:O25))</f>
        <v>599.71799999999996</v>
      </c>
      <c r="R15" s="4">
        <v>0</v>
      </c>
      <c r="S15" s="5">
        <v>0</v>
      </c>
      <c r="T15" s="3">
        <f t="array" ref="T15:V17">MMULT(MMULT(M23:O25,D15:F17),TRANSPOSE(M23:O25))</f>
        <v>0</v>
      </c>
      <c r="U15" s="4">
        <v>0</v>
      </c>
      <c r="V15" s="5">
        <v>0</v>
      </c>
      <c r="W15" s="105"/>
      <c r="Y15" t="s">
        <v>41</v>
      </c>
      <c r="Z15" t="s">
        <v>42</v>
      </c>
      <c r="AA15" t="s">
        <v>43</v>
      </c>
      <c r="AC15" s="27">
        <f t="array" ref="AC15:AE17">Q15:S17</f>
        <v>599.71799999999996</v>
      </c>
      <c r="AD15" s="4">
        <v>0</v>
      </c>
      <c r="AE15" s="5">
        <v>0</v>
      </c>
      <c r="AF15" s="3">
        <f t="array" ref="AF15:AH17">T15:V17+MMULT(Q15:S17,AK15:AM17)</f>
        <v>0</v>
      </c>
      <c r="AG15" s="118">
        <v>42164.853200400001</v>
      </c>
      <c r="AH15" s="5">
        <v>0</v>
      </c>
      <c r="AK15" s="3">
        <v>0</v>
      </c>
      <c r="AL15" s="4">
        <f>J16-AA16</f>
        <v>70.3078</v>
      </c>
      <c r="AM15" s="5">
        <f>-(I16-Z16)</f>
        <v>0</v>
      </c>
    </row>
    <row r="16" spans="1:39" x14ac:dyDescent="0.35">
      <c r="A16" s="6">
        <v>0</v>
      </c>
      <c r="B16" s="28">
        <f>A15</f>
        <v>599.71799999999996</v>
      </c>
      <c r="C16" s="8">
        <v>0</v>
      </c>
      <c r="D16" s="6">
        <v>0</v>
      </c>
      <c r="E16" s="7">
        <v>0</v>
      </c>
      <c r="F16" s="8">
        <v>0</v>
      </c>
      <c r="H16" s="145">
        <v>-0.23965</v>
      </c>
      <c r="I16" s="146">
        <v>0</v>
      </c>
      <c r="J16" s="147">
        <v>70.3078</v>
      </c>
      <c r="K16" s="48"/>
      <c r="L16" t="s">
        <v>29</v>
      </c>
      <c r="M16" s="6">
        <v>0</v>
      </c>
      <c r="N16" s="7">
        <v>1</v>
      </c>
      <c r="O16" s="8">
        <v>0</v>
      </c>
      <c r="P16" s="48"/>
      <c r="Q16" s="6">
        <v>0</v>
      </c>
      <c r="R16" s="28">
        <v>599.71799999999996</v>
      </c>
      <c r="S16" s="8">
        <v>0</v>
      </c>
      <c r="T16" s="6">
        <v>0</v>
      </c>
      <c r="U16" s="7">
        <v>0</v>
      </c>
      <c r="V16" s="8">
        <v>0</v>
      </c>
      <c r="W16" s="48"/>
      <c r="Y16" s="76">
        <f>Y7</f>
        <v>0</v>
      </c>
      <c r="Z16" s="74">
        <f>Z7</f>
        <v>0</v>
      </c>
      <c r="AA16" s="77">
        <f>AA7</f>
        <v>0</v>
      </c>
      <c r="AC16" s="6">
        <v>0</v>
      </c>
      <c r="AD16" s="28">
        <v>599.71799999999996</v>
      </c>
      <c r="AE16" s="8">
        <v>0</v>
      </c>
      <c r="AF16" s="119">
        <v>-42164.853200400001</v>
      </c>
      <c r="AG16" s="7">
        <v>0</v>
      </c>
      <c r="AH16" s="120">
        <v>-143.72241869999999</v>
      </c>
      <c r="AJ16" s="2"/>
      <c r="AK16" s="6">
        <f>-(J16-AA16)</f>
        <v>-70.3078</v>
      </c>
      <c r="AL16" s="7">
        <v>0</v>
      </c>
      <c r="AM16" s="8">
        <f>H16-Y16</f>
        <v>-0.23965</v>
      </c>
    </row>
    <row r="17" spans="1:39" x14ac:dyDescent="0.35">
      <c r="A17" s="9">
        <v>0</v>
      </c>
      <c r="B17" s="10">
        <v>0</v>
      </c>
      <c r="C17" s="29">
        <f>A15</f>
        <v>599.71799999999996</v>
      </c>
      <c r="D17" s="9">
        <v>0</v>
      </c>
      <c r="E17" s="10">
        <v>0</v>
      </c>
      <c r="F17" s="11">
        <v>0</v>
      </c>
      <c r="K17" s="105"/>
      <c r="M17" s="9">
        <f>-SIN(I20)</f>
        <v>0</v>
      </c>
      <c r="N17" s="10">
        <v>0</v>
      </c>
      <c r="O17" s="11">
        <f>COS(I20)</f>
        <v>1</v>
      </c>
      <c r="P17" s="48"/>
      <c r="Q17" s="9">
        <v>0</v>
      </c>
      <c r="R17" s="10">
        <v>0</v>
      </c>
      <c r="S17" s="29">
        <v>599.71799999999996</v>
      </c>
      <c r="T17" s="9">
        <v>0</v>
      </c>
      <c r="U17" s="10">
        <v>0</v>
      </c>
      <c r="V17" s="11">
        <v>0</v>
      </c>
      <c r="W17" s="105"/>
      <c r="AC17" s="9">
        <v>0</v>
      </c>
      <c r="AD17" s="10">
        <v>0</v>
      </c>
      <c r="AE17" s="29">
        <v>599.71799999999996</v>
      </c>
      <c r="AF17" s="9">
        <v>0</v>
      </c>
      <c r="AG17" s="121">
        <v>143.72241869999999</v>
      </c>
      <c r="AH17" s="11">
        <v>0</v>
      </c>
      <c r="AK17" s="9">
        <f>I16-Z16</f>
        <v>0</v>
      </c>
      <c r="AL17" s="10">
        <f>-(H16-Y16)</f>
        <v>0.23965</v>
      </c>
      <c r="AM17" s="11">
        <v>0</v>
      </c>
    </row>
    <row r="18" spans="1:39" x14ac:dyDescent="0.35">
      <c r="A18" s="3">
        <v>0</v>
      </c>
      <c r="B18" s="4">
        <v>0</v>
      </c>
      <c r="C18" s="5">
        <v>0</v>
      </c>
      <c r="D18" s="124">
        <v>471500</v>
      </c>
      <c r="E18" s="125">
        <v>0</v>
      </c>
      <c r="F18" s="126">
        <v>1655.81</v>
      </c>
      <c r="H18" t="s">
        <v>22</v>
      </c>
      <c r="I18" t="s">
        <v>23</v>
      </c>
      <c r="J18" t="s">
        <v>24</v>
      </c>
      <c r="K18" s="105"/>
      <c r="P18" s="110"/>
      <c r="Q18" s="3">
        <f t="array" ref="Q18:S20">MMULT(MMULT(M23:O25,A18:C20),TRANSPOSE(M23:O25))</f>
        <v>0</v>
      </c>
      <c r="R18" s="4">
        <v>0</v>
      </c>
      <c r="S18" s="5">
        <v>0</v>
      </c>
      <c r="T18" s="30">
        <f t="array" ref="T18:V20">MMULT(MMULT(M23:O25,D18:F20),TRANSPOSE(M23:O25))</f>
        <v>471500</v>
      </c>
      <c r="U18" s="114">
        <v>0</v>
      </c>
      <c r="V18" s="46">
        <v>1655.81</v>
      </c>
      <c r="W18" s="105"/>
      <c r="AC18" s="3">
        <f t="array" ref="AC18:AE20">Q18:S20 + MMULT(TRANSPOSE(AK15:AM17),Q15:S17)</f>
        <v>0</v>
      </c>
      <c r="AD18" s="4">
        <v>-42164.853200400001</v>
      </c>
      <c r="AE18" s="5">
        <v>0</v>
      </c>
      <c r="AF18" s="30">
        <f t="array" ref="AF18:AH20">T18:V20 + MMULT(TRANSPOSE(AK15:AM17),T15:V17) + MMULT(Q18:S20,AK15:AM17) + MMULT(MMULT(TRANSPOSE(AK15:AM17),Q15:S17),AK15:AM17)</f>
        <v>3436018.065843083</v>
      </c>
      <c r="AG18" s="4">
        <v>0</v>
      </c>
      <c r="AH18" s="46">
        <v>11760.61706947586</v>
      </c>
    </row>
    <row r="19" spans="1:39" x14ac:dyDescent="0.35">
      <c r="A19" s="6">
        <v>0</v>
      </c>
      <c r="B19" s="7">
        <v>0</v>
      </c>
      <c r="C19" s="8">
        <v>0</v>
      </c>
      <c r="D19" s="127">
        <v>0</v>
      </c>
      <c r="E19" s="128">
        <v>461300</v>
      </c>
      <c r="F19" s="129">
        <v>0</v>
      </c>
      <c r="H19" s="145">
        <v>0</v>
      </c>
      <c r="I19" s="148">
        <v>0</v>
      </c>
      <c r="J19" s="147">
        <v>0</v>
      </c>
      <c r="K19" s="105" t="s">
        <v>26</v>
      </c>
      <c r="M19" s="3">
        <v>1</v>
      </c>
      <c r="N19" s="4">
        <v>0</v>
      </c>
      <c r="O19" s="5">
        <v>0</v>
      </c>
      <c r="P19" s="48"/>
      <c r="Q19" s="6">
        <v>0</v>
      </c>
      <c r="R19" s="7">
        <v>0</v>
      </c>
      <c r="S19" s="8">
        <v>0</v>
      </c>
      <c r="T19" s="115">
        <v>0</v>
      </c>
      <c r="U19" s="31">
        <v>461300</v>
      </c>
      <c r="V19" s="116">
        <v>0</v>
      </c>
      <c r="W19" s="105"/>
      <c r="AC19" s="6">
        <v>42164.853200400001</v>
      </c>
      <c r="AD19" s="7">
        <v>0</v>
      </c>
      <c r="AE19" s="8">
        <v>143.72241869999999</v>
      </c>
      <c r="AF19" s="6">
        <v>0</v>
      </c>
      <c r="AG19" s="31">
        <v>3425852.5089207245</v>
      </c>
      <c r="AH19" s="8">
        <v>0</v>
      </c>
    </row>
    <row r="20" spans="1:39" x14ac:dyDescent="0.35">
      <c r="A20" s="9">
        <v>0</v>
      </c>
      <c r="B20" s="10">
        <v>0</v>
      </c>
      <c r="C20" s="11">
        <v>0</v>
      </c>
      <c r="D20" s="130">
        <v>1655.81</v>
      </c>
      <c r="E20" s="131">
        <v>0</v>
      </c>
      <c r="F20" s="132">
        <v>28210</v>
      </c>
      <c r="H20" s="108">
        <f>RADIANS(H19)</f>
        <v>0</v>
      </c>
      <c r="I20" s="75">
        <f t="shared" ref="I20:J20" si="0">RADIANS(I19)</f>
        <v>0</v>
      </c>
      <c r="J20" s="109">
        <f t="shared" si="0"/>
        <v>0</v>
      </c>
      <c r="K20" s="105" t="s">
        <v>27</v>
      </c>
      <c r="L20" t="s">
        <v>30</v>
      </c>
      <c r="M20" s="6">
        <v>0</v>
      </c>
      <c r="N20" s="7">
        <f>COS(H20)</f>
        <v>1</v>
      </c>
      <c r="O20" s="8">
        <f>-SIN(H20)</f>
        <v>0</v>
      </c>
      <c r="P20" s="48"/>
      <c r="Q20" s="9">
        <v>0</v>
      </c>
      <c r="R20" s="10">
        <v>0</v>
      </c>
      <c r="S20" s="11">
        <v>0</v>
      </c>
      <c r="T20" s="47">
        <v>1655.81</v>
      </c>
      <c r="U20" s="117">
        <v>0</v>
      </c>
      <c r="V20" s="32">
        <v>28210</v>
      </c>
      <c r="W20" s="105"/>
      <c r="AC20" s="9">
        <v>0</v>
      </c>
      <c r="AD20" s="10">
        <v>-143.72241869999999</v>
      </c>
      <c r="AE20" s="11">
        <v>0</v>
      </c>
      <c r="AF20" s="47">
        <v>11760.617069475858</v>
      </c>
      <c r="AG20" s="10">
        <v>0</v>
      </c>
      <c r="AH20" s="32">
        <v>28244.443077641456</v>
      </c>
    </row>
    <row r="21" spans="1:39" x14ac:dyDescent="0.35">
      <c r="K21" s="105"/>
      <c r="M21" s="9">
        <v>0</v>
      </c>
      <c r="N21" s="10">
        <f>SIN(H20)</f>
        <v>0</v>
      </c>
      <c r="O21" s="11">
        <f>COS(H20)</f>
        <v>1</v>
      </c>
      <c r="P21" s="105"/>
      <c r="Q21" s="105"/>
      <c r="R21" s="105"/>
      <c r="S21" s="105"/>
      <c r="T21" s="105"/>
      <c r="U21" s="105"/>
      <c r="V21" s="105"/>
      <c r="W21" s="105"/>
    </row>
    <row r="22" spans="1:39" ht="14.5" customHeight="1" x14ac:dyDescent="0.35">
      <c r="A22" s="110"/>
      <c r="B22" s="48"/>
      <c r="C22" s="48"/>
      <c r="D22" s="48"/>
      <c r="E22" s="48"/>
      <c r="F22" s="48"/>
      <c r="G22" s="48"/>
      <c r="H22" s="183" t="s">
        <v>46</v>
      </c>
      <c r="I22" s="183"/>
      <c r="J22" s="183"/>
      <c r="K22" s="105"/>
      <c r="P22" s="48"/>
      <c r="Q22" s="110"/>
      <c r="R22" s="48"/>
      <c r="S22" s="48"/>
      <c r="U22" s="48"/>
      <c r="V22" s="48"/>
      <c r="W22" s="48"/>
      <c r="X22" s="48"/>
    </row>
    <row r="23" spans="1:39" x14ac:dyDescent="0.35">
      <c r="A23" s="48"/>
      <c r="B23" s="110"/>
      <c r="C23" s="48"/>
      <c r="D23" s="48"/>
      <c r="E23" s="48"/>
      <c r="F23" s="48"/>
      <c r="G23" s="48"/>
      <c r="H23" s="183"/>
      <c r="I23" s="183"/>
      <c r="J23" s="183"/>
      <c r="K23" s="105"/>
      <c r="M23" s="3">
        <f t="array" ref="M23:O25">MMULT(MMULT(M19:O21,M15:O17),M11:O13)</f>
        <v>1</v>
      </c>
      <c r="N23" s="4">
        <v>0</v>
      </c>
      <c r="O23" s="5">
        <v>0</v>
      </c>
      <c r="P23" s="48"/>
      <c r="Q23" s="48"/>
      <c r="R23" s="110"/>
      <c r="S23" s="48"/>
      <c r="U23" s="48"/>
      <c r="V23" s="48"/>
      <c r="W23" s="48"/>
      <c r="X23" s="48"/>
    </row>
    <row r="24" spans="1:39" ht="16.5" x14ac:dyDescent="0.45">
      <c r="A24" s="48"/>
      <c r="B24" s="48"/>
      <c r="C24" s="110"/>
      <c r="D24" s="48"/>
      <c r="E24" s="48"/>
      <c r="F24" s="48"/>
      <c r="G24" s="48"/>
      <c r="H24" s="183"/>
      <c r="I24" s="183"/>
      <c r="J24" s="183"/>
      <c r="K24" s="105"/>
      <c r="L24" t="s">
        <v>31</v>
      </c>
      <c r="M24" s="6">
        <v>0</v>
      </c>
      <c r="N24" s="7">
        <v>1</v>
      </c>
      <c r="O24" s="8">
        <v>0</v>
      </c>
      <c r="P24" s="48"/>
      <c r="Q24" s="48"/>
      <c r="R24" s="48"/>
      <c r="S24" s="110"/>
      <c r="U24" s="48"/>
      <c r="V24" s="48"/>
      <c r="W24" s="48"/>
      <c r="X24" s="48"/>
    </row>
    <row r="25" spans="1:39" x14ac:dyDescent="0.35">
      <c r="A25" s="48"/>
      <c r="B25" s="48"/>
      <c r="C25" s="48"/>
      <c r="D25" s="111"/>
      <c r="E25" s="48"/>
      <c r="F25" s="111"/>
      <c r="G25" s="113"/>
      <c r="H25" s="183"/>
      <c r="I25" s="183"/>
      <c r="J25" s="183"/>
      <c r="K25" s="105"/>
      <c r="M25" s="9">
        <v>0</v>
      </c>
      <c r="N25" s="10">
        <v>0</v>
      </c>
      <c r="O25" s="11">
        <v>1</v>
      </c>
      <c r="P25" s="48"/>
      <c r="Q25" s="48"/>
      <c r="R25" s="48"/>
      <c r="S25" s="48"/>
      <c r="T25" s="111"/>
      <c r="U25" s="48"/>
      <c r="V25" s="111"/>
      <c r="W25" s="48"/>
      <c r="X25" s="48"/>
      <c r="AF25" s="181" t="s">
        <v>45</v>
      </c>
      <c r="AG25" s="181"/>
    </row>
    <row r="26" spans="1:39" x14ac:dyDescent="0.35">
      <c r="A26" s="48"/>
      <c r="B26" s="48"/>
      <c r="C26" s="48"/>
      <c r="D26" s="48"/>
      <c r="E26" s="111"/>
      <c r="F26" s="48"/>
      <c r="G26" s="48"/>
      <c r="H26" s="183"/>
      <c r="I26" s="183"/>
      <c r="J26" s="183"/>
      <c r="K26" s="105"/>
      <c r="P26" s="48"/>
      <c r="Q26" s="48"/>
      <c r="R26" s="48"/>
      <c r="S26" s="48"/>
      <c r="T26" s="48"/>
      <c r="U26" s="111"/>
      <c r="V26" s="48"/>
      <c r="W26" s="48"/>
      <c r="X26" s="48"/>
      <c r="AF26" s="181"/>
      <c r="AG26" s="181"/>
    </row>
    <row r="27" spans="1:39" x14ac:dyDescent="0.35">
      <c r="A27" s="48"/>
      <c r="B27" s="48"/>
      <c r="C27" s="48"/>
      <c r="D27" s="48"/>
      <c r="E27" s="111"/>
      <c r="F27" s="48"/>
      <c r="G27" s="48"/>
      <c r="K27" s="105"/>
      <c r="P27" s="48"/>
      <c r="Q27" s="48"/>
      <c r="R27" s="48"/>
      <c r="S27" s="48"/>
      <c r="T27" s="48"/>
      <c r="U27" s="111"/>
      <c r="V27" s="48"/>
      <c r="W27" s="48"/>
      <c r="X27" s="48"/>
      <c r="AF27" s="181"/>
      <c r="AG27" s="181"/>
    </row>
    <row r="28" spans="1:39" x14ac:dyDescent="0.35">
      <c r="A28" s="48"/>
      <c r="B28" s="48"/>
      <c r="C28" s="48"/>
      <c r="D28" s="48"/>
      <c r="E28" s="111"/>
      <c r="F28" s="48"/>
      <c r="G28" s="48"/>
      <c r="K28" s="105"/>
      <c r="P28" s="48"/>
      <c r="Q28" s="48"/>
      <c r="R28" s="48"/>
      <c r="S28" s="48"/>
      <c r="T28" s="48"/>
      <c r="U28" s="111"/>
      <c r="V28" s="48"/>
      <c r="W28" s="48"/>
      <c r="X28" s="48"/>
      <c r="AF28" s="181"/>
      <c r="AG28" s="181"/>
    </row>
    <row r="29" spans="1:39" x14ac:dyDescent="0.35">
      <c r="A29" s="48"/>
      <c r="B29" s="48"/>
      <c r="C29" s="48"/>
      <c r="D29" s="48"/>
      <c r="E29" s="111"/>
      <c r="F29" s="48"/>
      <c r="G29" s="48"/>
      <c r="K29" s="105"/>
      <c r="P29" s="48"/>
      <c r="Q29" s="48"/>
      <c r="R29" s="48"/>
      <c r="S29" s="48"/>
      <c r="T29" s="48"/>
      <c r="U29" s="111"/>
      <c r="V29" s="48"/>
      <c r="W29" s="48"/>
      <c r="X29" s="48"/>
      <c r="AF29" s="181"/>
      <c r="AG29" s="181"/>
    </row>
    <row r="30" spans="1:39" x14ac:dyDescent="0.35">
      <c r="A30" s="48"/>
      <c r="B30" s="48"/>
      <c r="C30" s="48"/>
      <c r="D30" s="48"/>
      <c r="E30" s="111"/>
      <c r="F30" s="48"/>
      <c r="G30" s="48"/>
      <c r="K30" s="105"/>
      <c r="P30" s="48"/>
      <c r="Q30" s="48"/>
      <c r="R30" s="48"/>
      <c r="S30" s="48"/>
      <c r="T30" s="48"/>
      <c r="U30" s="111"/>
      <c r="V30" s="48"/>
      <c r="W30" s="48"/>
      <c r="X30" s="48"/>
      <c r="AF30" s="181"/>
      <c r="AG30" s="181"/>
    </row>
    <row r="31" spans="1:39" x14ac:dyDescent="0.35">
      <c r="A31" s="48"/>
      <c r="B31" s="48"/>
      <c r="C31" s="48"/>
      <c r="D31" s="48"/>
      <c r="E31" s="111"/>
      <c r="F31" s="48"/>
      <c r="G31" s="48"/>
      <c r="K31" s="105"/>
      <c r="P31" s="48"/>
      <c r="Q31" s="48"/>
      <c r="R31" s="48"/>
      <c r="S31" s="48"/>
      <c r="T31" s="48"/>
      <c r="U31" s="111"/>
      <c r="V31" s="48"/>
      <c r="W31" s="48"/>
      <c r="X31" s="48"/>
      <c r="AF31" s="181"/>
      <c r="AG31" s="181"/>
    </row>
    <row r="32" spans="1:39" x14ac:dyDescent="0.35">
      <c r="A32" s="48"/>
      <c r="B32" s="48"/>
      <c r="C32" s="48"/>
      <c r="D32" s="48"/>
      <c r="E32" s="111"/>
      <c r="F32" s="48"/>
      <c r="G32" s="48"/>
      <c r="K32" s="105"/>
      <c r="P32" s="48"/>
      <c r="Q32" s="48"/>
      <c r="R32" s="48"/>
      <c r="S32" s="48"/>
      <c r="T32" s="48"/>
      <c r="U32" s="111"/>
      <c r="V32" s="48"/>
      <c r="W32" s="48"/>
      <c r="X32" s="48"/>
      <c r="AF32" s="181"/>
      <c r="AG32" s="181"/>
    </row>
    <row r="33" spans="1:39" x14ac:dyDescent="0.35">
      <c r="A33" s="48"/>
      <c r="B33" s="48"/>
      <c r="C33" s="48"/>
      <c r="D33" s="111"/>
      <c r="E33" s="48"/>
      <c r="F33" s="111"/>
      <c r="G33" s="48"/>
      <c r="K33" s="105"/>
      <c r="P33" s="48"/>
      <c r="Q33" s="48"/>
      <c r="R33" s="48"/>
      <c r="S33" s="48"/>
      <c r="T33" s="111"/>
      <c r="U33" s="48"/>
      <c r="V33" s="111"/>
      <c r="W33" s="48"/>
      <c r="X33" s="48"/>
      <c r="AF33" s="181"/>
      <c r="AG33" s="181"/>
    </row>
    <row r="34" spans="1:39" x14ac:dyDescent="0.35">
      <c r="K34" s="105"/>
      <c r="P34" s="48"/>
      <c r="Q34" s="113"/>
      <c r="R34" s="48"/>
      <c r="S34" s="48"/>
      <c r="T34" s="48"/>
      <c r="U34" s="48"/>
      <c r="V34" s="48"/>
      <c r="W34" s="48"/>
      <c r="X34" s="48"/>
    </row>
    <row r="35" spans="1:39" ht="17" thickBot="1" x14ac:dyDescent="0.5">
      <c r="A35" t="s">
        <v>17</v>
      </c>
      <c r="H35" t="s">
        <v>5</v>
      </c>
      <c r="K35" s="105"/>
      <c r="L35" s="105"/>
      <c r="M35" s="105"/>
      <c r="N35" s="105"/>
      <c r="O35" s="107"/>
      <c r="P35" s="105"/>
      <c r="Q35" s="105"/>
      <c r="R35" s="105"/>
      <c r="S35" s="105"/>
      <c r="T35" s="105"/>
      <c r="U35" s="105"/>
      <c r="V35" s="105"/>
      <c r="W35" s="105"/>
      <c r="Y35" t="s">
        <v>44</v>
      </c>
      <c r="AC35" t="s">
        <v>19</v>
      </c>
    </row>
    <row r="36" spans="1:39" ht="15" thickBot="1" x14ac:dyDescent="0.4">
      <c r="A36" s="62">
        <f t="array" ref="A36:C38">AC36:AE38</f>
        <v>13473</v>
      </c>
      <c r="B36" s="13">
        <v>0</v>
      </c>
      <c r="C36" s="14">
        <v>0</v>
      </c>
      <c r="D36" s="12">
        <f t="array" ref="D36:F38">AF36:AH38 + MMULT(AC36:AE38,AK36:AM38)</f>
        <v>0</v>
      </c>
      <c r="E36" s="13">
        <v>2.9103830456733704E-11</v>
      </c>
      <c r="F36" s="14">
        <v>0</v>
      </c>
      <c r="H36" t="s">
        <v>0</v>
      </c>
      <c r="I36" t="s">
        <v>1</v>
      </c>
      <c r="J36" t="s">
        <v>2</v>
      </c>
      <c r="K36" s="105"/>
      <c r="L36" s="105"/>
      <c r="M36" s="105"/>
      <c r="N36" s="105"/>
      <c r="P36" s="105"/>
      <c r="Q36" s="105"/>
      <c r="R36" s="105"/>
      <c r="S36" s="105"/>
      <c r="T36" s="105"/>
      <c r="U36" s="105"/>
      <c r="V36" s="105"/>
      <c r="W36" s="105"/>
      <c r="Y36" t="s">
        <v>41</v>
      </c>
      <c r="Z36" t="s">
        <v>42</v>
      </c>
      <c r="AA36" t="s">
        <v>43</v>
      </c>
      <c r="AC36" s="21">
        <f>AC6-AC15</f>
        <v>13473</v>
      </c>
      <c r="AD36" s="13">
        <f t="shared" ref="AD36:AH36" si="1">AD6-AD15</f>
        <v>0</v>
      </c>
      <c r="AE36" s="14">
        <f t="shared" si="1"/>
        <v>0</v>
      </c>
      <c r="AF36" s="12">
        <f t="shared" si="1"/>
        <v>0</v>
      </c>
      <c r="AG36" s="81">
        <f t="shared" si="1"/>
        <v>-181346.56730964</v>
      </c>
      <c r="AH36" s="14">
        <f t="shared" si="1"/>
        <v>0</v>
      </c>
      <c r="AK36" s="12">
        <v>0</v>
      </c>
      <c r="AL36" s="85">
        <f>AA37-J37</f>
        <v>13.459999058089513</v>
      </c>
      <c r="AM36" s="14">
        <f>-(Z37-I37)</f>
        <v>0</v>
      </c>
    </row>
    <row r="37" spans="1:39" ht="15" thickBot="1" x14ac:dyDescent="0.4">
      <c r="A37" s="15">
        <v>0</v>
      </c>
      <c r="B37" s="26">
        <v>13473</v>
      </c>
      <c r="C37" s="17">
        <v>0</v>
      </c>
      <c r="D37" s="15">
        <v>-2.9103830456733704E-11</v>
      </c>
      <c r="E37" s="16">
        <v>0</v>
      </c>
      <c r="F37" s="17">
        <v>0</v>
      </c>
      <c r="H37" s="71">
        <f>0.5*1/AC36*(AH37-AG38)</f>
        <v>2.9665197060774104E-6</v>
      </c>
      <c r="I37" s="72">
        <f>0.5*1/AC36*(AF38-AH36)</f>
        <v>0</v>
      </c>
      <c r="J37" s="73">
        <f>0.5*1/AC36*(AG36-AF37)</f>
        <v>-13.459999058089513</v>
      </c>
      <c r="K37" s="107"/>
      <c r="L37" s="107"/>
      <c r="M37" s="107"/>
      <c r="N37" s="107"/>
      <c r="P37" s="107"/>
      <c r="Q37" s="107"/>
      <c r="R37" s="107"/>
      <c r="S37" s="107"/>
      <c r="T37" s="107"/>
      <c r="U37" s="107"/>
      <c r="V37" s="107"/>
      <c r="W37" s="107"/>
      <c r="Y37" s="78">
        <f>Y7</f>
        <v>0</v>
      </c>
      <c r="Z37" s="79">
        <f>Z7</f>
        <v>0</v>
      </c>
      <c r="AA37" s="80">
        <f>AA7</f>
        <v>0</v>
      </c>
      <c r="AC37" s="15">
        <f t="shared" ref="AC37:AH37" si="2">AC7-AC16</f>
        <v>0</v>
      </c>
      <c r="AD37" s="26">
        <f t="shared" si="2"/>
        <v>13473</v>
      </c>
      <c r="AE37" s="17">
        <f t="shared" si="2"/>
        <v>0</v>
      </c>
      <c r="AF37" s="82">
        <f t="shared" si="2"/>
        <v>181346.56730964</v>
      </c>
      <c r="AG37" s="16">
        <f t="shared" si="2"/>
        <v>0</v>
      </c>
      <c r="AH37" s="84">
        <f t="shared" si="2"/>
        <v>3.996791999998095E-2</v>
      </c>
      <c r="AJ37" s="2"/>
      <c r="AK37" s="86">
        <f>-(AA37-J37)</f>
        <v>-13.459999058089513</v>
      </c>
      <c r="AL37" s="16">
        <v>0</v>
      </c>
      <c r="AM37" s="88">
        <f>Y37-H37</f>
        <v>-2.9665197060774104E-6</v>
      </c>
    </row>
    <row r="38" spans="1:39" ht="15" thickBot="1" x14ac:dyDescent="0.4">
      <c r="A38" s="18">
        <v>0</v>
      </c>
      <c r="B38" s="19">
        <v>0</v>
      </c>
      <c r="C38" s="24">
        <v>13473</v>
      </c>
      <c r="D38" s="15">
        <v>0</v>
      </c>
      <c r="E38" s="16">
        <v>0</v>
      </c>
      <c r="F38" s="17">
        <v>0</v>
      </c>
      <c r="AC38" s="18">
        <f t="shared" ref="AC38:AH38" si="3">AC8-AC17</f>
        <v>0</v>
      </c>
      <c r="AD38" s="19">
        <f t="shared" si="3"/>
        <v>0</v>
      </c>
      <c r="AE38" s="24">
        <f t="shared" si="3"/>
        <v>13473</v>
      </c>
      <c r="AF38" s="18">
        <f t="shared" si="3"/>
        <v>0</v>
      </c>
      <c r="AG38" s="83">
        <f t="shared" si="3"/>
        <v>-3.996791999998095E-2</v>
      </c>
      <c r="AH38" s="20">
        <f t="shared" si="3"/>
        <v>0</v>
      </c>
      <c r="AK38" s="18">
        <f>Z37-I37</f>
        <v>0</v>
      </c>
      <c r="AL38" s="87">
        <f>-(Y37-H37)</f>
        <v>2.9665197060774104E-6</v>
      </c>
      <c r="AM38" s="20">
        <v>0</v>
      </c>
    </row>
    <row r="39" spans="1:39" ht="14.5" customHeight="1" x14ac:dyDescent="0.35">
      <c r="A39" s="12">
        <f t="array" ref="A39:C41">AC39:AE41 + MMULT(TRANSPOSE(AK36:AM38),AC36:AE38)</f>
        <v>0</v>
      </c>
      <c r="B39" s="13">
        <v>-2.9103830456733704E-11</v>
      </c>
      <c r="C39" s="13">
        <v>0</v>
      </c>
      <c r="D39" s="56">
        <f t="array" ref="D39:F41">AF39:AH41 + MMULT(TRANSPOSE(AK36:AM38),AF36:AH38) + MMULT(AC39:AE41,AK36:AM38) + MMULT(MMULT(TRANSPOSE(AK36:AM38),AC36:AE38),AK36:AM38)</f>
        <v>6829589.5142303202</v>
      </c>
      <c r="E39" s="57">
        <v>0</v>
      </c>
      <c r="F39" s="101">
        <v>-2.2003386967548453</v>
      </c>
      <c r="Q39" s="182" t="s">
        <v>6</v>
      </c>
      <c r="R39" s="182"/>
      <c r="S39" s="182"/>
      <c r="T39" s="182"/>
      <c r="U39" s="182"/>
      <c r="V39" s="182"/>
      <c r="W39" s="182"/>
      <c r="AC39" s="12">
        <f t="shared" ref="AC39:AH39" si="4">AC9-AC18</f>
        <v>0</v>
      </c>
      <c r="AD39" s="13">
        <f t="shared" si="4"/>
        <v>181346.56730964</v>
      </c>
      <c r="AE39" s="14">
        <f t="shared" si="4"/>
        <v>0</v>
      </c>
      <c r="AF39" s="22">
        <f t="shared" si="4"/>
        <v>9270514.139405841</v>
      </c>
      <c r="AG39" s="13">
        <f t="shared" si="4"/>
        <v>0</v>
      </c>
      <c r="AH39" s="49">
        <f t="shared" si="4"/>
        <v>-1.6623705312013044</v>
      </c>
    </row>
    <row r="40" spans="1:39" x14ac:dyDescent="0.35">
      <c r="A40" s="15">
        <v>2.9103830456733704E-11</v>
      </c>
      <c r="B40" s="16">
        <v>0</v>
      </c>
      <c r="C40" s="16">
        <v>0</v>
      </c>
      <c r="D40" s="58">
        <v>0</v>
      </c>
      <c r="E40" s="23">
        <v>6829756.5381503813</v>
      </c>
      <c r="F40" s="59">
        <v>0</v>
      </c>
      <c r="G40" s="1"/>
      <c r="K40" t="s">
        <v>47</v>
      </c>
      <c r="AC40" s="15">
        <f t="shared" ref="AC40:AH40" si="5">AC10-AC19</f>
        <v>-181346.56730964</v>
      </c>
      <c r="AD40" s="16">
        <f t="shared" si="5"/>
        <v>0</v>
      </c>
      <c r="AE40" s="17">
        <f t="shared" si="5"/>
        <v>-3.996791999998095E-2</v>
      </c>
      <c r="AF40" s="15">
        <f t="shared" si="5"/>
        <v>0</v>
      </c>
      <c r="AG40" s="23">
        <f t="shared" si="5"/>
        <v>9270681.1633260213</v>
      </c>
      <c r="AH40" s="17">
        <f t="shared" si="5"/>
        <v>0</v>
      </c>
    </row>
    <row r="41" spans="1:39" ht="15" thickBot="1" x14ac:dyDescent="0.4">
      <c r="A41" s="18">
        <v>0</v>
      </c>
      <c r="B41" s="19">
        <v>0</v>
      </c>
      <c r="C41" s="19">
        <v>0</v>
      </c>
      <c r="D41" s="102">
        <v>-2.2003386967530254</v>
      </c>
      <c r="E41" s="60">
        <v>0</v>
      </c>
      <c r="F41" s="61">
        <v>12201757.023920063</v>
      </c>
      <c r="O41" s="48"/>
      <c r="AC41" s="18">
        <f t="shared" ref="AC41:AH41" si="6">AC11-AC20</f>
        <v>0</v>
      </c>
      <c r="AD41" s="19">
        <f t="shared" si="6"/>
        <v>3.996791999998095E-2</v>
      </c>
      <c r="AE41" s="20">
        <f t="shared" si="6"/>
        <v>0</v>
      </c>
      <c r="AF41" s="50">
        <f t="shared" si="6"/>
        <v>-1.6623705311994854</v>
      </c>
      <c r="AG41" s="19">
        <f t="shared" si="6"/>
        <v>0</v>
      </c>
      <c r="AH41" s="25">
        <f t="shared" si="6"/>
        <v>12201757.023920182</v>
      </c>
    </row>
    <row r="42" spans="1:39" ht="15" thickBot="1" x14ac:dyDescent="0.4">
      <c r="O42" s="48"/>
    </row>
    <row r="43" spans="1:39" ht="16" thickBot="1" x14ac:dyDescent="0.4">
      <c r="A43" s="178" t="s">
        <v>21</v>
      </c>
      <c r="B43" s="179"/>
      <c r="C43" s="179"/>
      <c r="D43" s="179"/>
      <c r="E43" s="179"/>
      <c r="F43" s="179"/>
      <c r="G43" s="179"/>
      <c r="H43" s="179"/>
      <c r="I43" s="180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1:39" x14ac:dyDescent="0.35">
      <c r="A44" s="103"/>
      <c r="B44" s="103"/>
      <c r="C44" s="103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39" x14ac:dyDescent="0.35">
      <c r="A45" s="103"/>
      <c r="B45" s="103"/>
      <c r="C45" s="103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1:39" x14ac:dyDescent="0.35">
      <c r="A46" s="103"/>
      <c r="B46" s="103"/>
      <c r="C46" s="103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1:39" x14ac:dyDescent="0.35"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1:39" x14ac:dyDescent="0.35">
      <c r="L48" s="110"/>
      <c r="M48" s="48"/>
      <c r="N48" s="48"/>
      <c r="O48" s="48"/>
      <c r="P48" s="48"/>
      <c r="Q48" s="110"/>
      <c r="R48" s="48"/>
      <c r="S48" s="48"/>
      <c r="T48" s="48"/>
      <c r="U48" s="48"/>
      <c r="V48" s="48"/>
      <c r="W48" s="48"/>
    </row>
    <row r="49" spans="12:34" x14ac:dyDescent="0.35">
      <c r="L49" s="48"/>
      <c r="M49" s="110"/>
      <c r="N49" s="48"/>
      <c r="O49" s="110"/>
      <c r="P49" s="48"/>
      <c r="Q49" s="48"/>
      <c r="R49" s="110"/>
      <c r="S49" s="48"/>
      <c r="T49" s="48"/>
      <c r="U49" s="48"/>
      <c r="V49" s="48"/>
      <c r="W49" s="48"/>
    </row>
    <row r="50" spans="12:34" x14ac:dyDescent="0.35">
      <c r="L50" s="48"/>
      <c r="M50" s="48"/>
      <c r="N50" s="110"/>
      <c r="O50" s="48"/>
      <c r="P50" s="48"/>
      <c r="Q50" s="48"/>
      <c r="R50" s="48"/>
      <c r="S50" s="110"/>
      <c r="T50" s="48"/>
      <c r="U50" s="48"/>
      <c r="V50" s="48"/>
      <c r="W50" s="48"/>
    </row>
    <row r="51" spans="12:34" x14ac:dyDescent="0.35">
      <c r="L51" s="48"/>
      <c r="M51" s="48"/>
      <c r="N51" s="48"/>
      <c r="O51" s="48"/>
      <c r="P51" s="110"/>
      <c r="Q51" s="48"/>
      <c r="R51" s="48"/>
      <c r="S51" s="48"/>
      <c r="T51" s="111"/>
      <c r="U51" s="48"/>
      <c r="V51" s="111"/>
      <c r="W51" s="48"/>
      <c r="AF51" s="53"/>
      <c r="AG51" s="53"/>
      <c r="AH51" s="53"/>
    </row>
    <row r="52" spans="12:34" x14ac:dyDescent="0.35">
      <c r="L52" s="48"/>
      <c r="M52" s="48"/>
      <c r="N52" s="48"/>
      <c r="O52" s="48"/>
      <c r="P52" s="48"/>
      <c r="Q52" s="48"/>
      <c r="R52" s="48"/>
      <c r="S52" s="48"/>
      <c r="T52" s="48"/>
      <c r="U52" s="111"/>
      <c r="V52" s="48"/>
      <c r="W52" s="48"/>
      <c r="AF52" s="53"/>
      <c r="AG52" s="53"/>
      <c r="AH52" s="53"/>
    </row>
    <row r="53" spans="12:34" x14ac:dyDescent="0.35">
      <c r="L53" s="48"/>
      <c r="M53" s="48"/>
      <c r="N53" s="48"/>
      <c r="O53" s="48"/>
      <c r="P53" s="48"/>
      <c r="Q53" s="48"/>
      <c r="R53" s="48"/>
      <c r="S53" s="48"/>
      <c r="T53" s="111"/>
      <c r="U53" s="48"/>
      <c r="V53" s="111"/>
      <c r="W53" s="48"/>
      <c r="AF53" s="53"/>
      <c r="AG53" s="53"/>
      <c r="AH53" s="53"/>
    </row>
    <row r="54" spans="12:34" x14ac:dyDescent="0.35"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12:34" x14ac:dyDescent="0.35"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12:34" x14ac:dyDescent="0.35">
      <c r="L56" s="48"/>
      <c r="M56" s="48"/>
      <c r="N56" s="48"/>
      <c r="O56" s="48"/>
      <c r="P56" s="48"/>
      <c r="Q56" s="110"/>
      <c r="R56" s="48"/>
      <c r="S56" s="48"/>
      <c r="T56" s="48"/>
      <c r="U56" s="48"/>
      <c r="V56" s="48"/>
      <c r="W56" s="48"/>
    </row>
    <row r="57" spans="12:34" x14ac:dyDescent="0.35">
      <c r="L57" s="48"/>
      <c r="M57" s="48"/>
      <c r="N57" s="48"/>
      <c r="O57" s="48"/>
      <c r="P57" s="48"/>
      <c r="Q57" s="48"/>
      <c r="R57" s="110"/>
      <c r="S57" s="48"/>
      <c r="T57" s="48"/>
      <c r="U57" s="48"/>
      <c r="V57" s="48"/>
      <c r="W57" s="48"/>
    </row>
    <row r="58" spans="12:34" x14ac:dyDescent="0.35">
      <c r="L58" s="48"/>
      <c r="M58" s="48"/>
      <c r="N58" s="48"/>
      <c r="O58" s="48"/>
      <c r="P58" s="48"/>
      <c r="Q58" s="48"/>
      <c r="R58" s="48"/>
      <c r="S58" s="110"/>
      <c r="T58" s="48"/>
      <c r="U58" s="48"/>
      <c r="V58" s="48"/>
      <c r="W58" s="48"/>
    </row>
    <row r="59" spans="12:34" x14ac:dyDescent="0.35">
      <c r="L59" s="48"/>
      <c r="M59" s="48"/>
      <c r="N59" s="48"/>
      <c r="O59" s="48"/>
      <c r="P59" s="48"/>
      <c r="Q59" s="48"/>
      <c r="R59" s="48"/>
      <c r="S59" s="48"/>
      <c r="T59" s="111"/>
      <c r="U59" s="48"/>
      <c r="V59" s="111"/>
      <c r="W59" s="48"/>
    </row>
    <row r="60" spans="12:34" x14ac:dyDescent="0.35">
      <c r="L60" s="48"/>
      <c r="M60" s="48"/>
      <c r="N60" s="48"/>
      <c r="O60" s="48"/>
      <c r="P60" s="48"/>
      <c r="Q60" s="48"/>
      <c r="R60" s="48"/>
      <c r="S60" s="48"/>
      <c r="T60" s="48"/>
      <c r="U60" s="111"/>
      <c r="V60" s="48"/>
      <c r="W60" s="48"/>
    </row>
    <row r="61" spans="12:34" x14ac:dyDescent="0.35">
      <c r="L61" s="48"/>
      <c r="M61" s="48"/>
      <c r="N61" s="48"/>
      <c r="O61" s="48"/>
      <c r="P61" s="48"/>
      <c r="Q61" s="48"/>
      <c r="R61" s="48"/>
      <c r="S61" s="48"/>
      <c r="T61" s="111"/>
      <c r="U61" s="48"/>
      <c r="V61" s="111"/>
      <c r="W61" s="48"/>
    </row>
    <row r="62" spans="12:34" x14ac:dyDescent="0.35"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</row>
    <row r="63" spans="12:34" x14ac:dyDescent="0.35">
      <c r="L63" s="48"/>
      <c r="M63" s="48"/>
      <c r="N63" s="48"/>
      <c r="P63" s="48"/>
      <c r="Q63" s="48"/>
      <c r="R63" s="48"/>
      <c r="S63" s="48"/>
      <c r="T63" s="48"/>
      <c r="U63" s="48"/>
      <c r="V63" s="48"/>
      <c r="W63" s="48"/>
    </row>
    <row r="64" spans="12:34" x14ac:dyDescent="0.35">
      <c r="L64" s="48"/>
      <c r="M64" s="48"/>
      <c r="N64" s="48"/>
      <c r="P64" s="48"/>
      <c r="Q64" s="48"/>
      <c r="R64" s="48"/>
      <c r="S64" s="48"/>
      <c r="T64" s="48"/>
      <c r="U64" s="48"/>
      <c r="V64" s="48"/>
      <c r="W64" s="48"/>
    </row>
  </sheetData>
  <mergeCells count="6">
    <mergeCell ref="A3:I3"/>
    <mergeCell ref="A43:I43"/>
    <mergeCell ref="AF25:AG33"/>
    <mergeCell ref="X9:AA13"/>
    <mergeCell ref="Q39:W39"/>
    <mergeCell ref="H22:J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workbookViewId="0">
      <selection activeCell="G20" sqref="G20"/>
    </sheetView>
  </sheetViews>
  <sheetFormatPr defaultRowHeight="14.5" x14ac:dyDescent="0.35"/>
  <cols>
    <col min="1" max="1" width="30.7265625" bestFit="1" customWidth="1"/>
    <col min="2" max="2" width="11.81640625" bestFit="1" customWidth="1"/>
    <col min="6" max="6" width="47.36328125" customWidth="1"/>
    <col min="7" max="7" width="11.81640625" bestFit="1" customWidth="1"/>
    <col min="8" max="8" width="9" bestFit="1" customWidth="1"/>
    <col min="9" max="9" width="11.81640625" bestFit="1" customWidth="1"/>
  </cols>
  <sheetData>
    <row r="1" spans="1:9" x14ac:dyDescent="0.35">
      <c r="B1" t="s">
        <v>0</v>
      </c>
      <c r="C1" t="s">
        <v>1</v>
      </c>
      <c r="D1" t="s">
        <v>2</v>
      </c>
    </row>
    <row r="2" spans="1:9" x14ac:dyDescent="0.35">
      <c r="A2" s="52" t="s">
        <v>14</v>
      </c>
      <c r="B2">
        <f>'Inertia subtraction'!H7</f>
        <v>-1.021E-2</v>
      </c>
      <c r="C2">
        <f>'Inertia subtraction'!I7</f>
        <v>0</v>
      </c>
      <c r="D2">
        <f>'Inertia subtraction'!J7</f>
        <v>-9.8901800000000009</v>
      </c>
      <c r="G2" t="s">
        <v>7</v>
      </c>
      <c r="H2" t="s">
        <v>8</v>
      </c>
      <c r="I2" t="s">
        <v>9</v>
      </c>
    </row>
    <row r="3" spans="1:9" ht="14.5" customHeight="1" x14ac:dyDescent="0.35">
      <c r="A3" s="52" t="s">
        <v>15</v>
      </c>
      <c r="B3">
        <f>'Inertia subtraction'!H37</f>
        <v>2.9665197060774104E-6</v>
      </c>
      <c r="C3">
        <f>'Inertia subtraction'!I37</f>
        <v>0</v>
      </c>
      <c r="D3">
        <f>'Inertia subtraction'!J37</f>
        <v>-13.459999058089513</v>
      </c>
      <c r="F3" t="s">
        <v>10</v>
      </c>
      <c r="G3" s="153">
        <v>3648.2312991717799</v>
      </c>
      <c r="H3" s="153">
        <v>0</v>
      </c>
      <c r="I3" s="153">
        <v>9.3773619969848205</v>
      </c>
    </row>
    <row r="4" spans="1:9" x14ac:dyDescent="0.35">
      <c r="A4" s="52"/>
      <c r="F4" s="164" t="s">
        <v>32</v>
      </c>
      <c r="G4" s="153">
        <v>0</v>
      </c>
      <c r="H4" s="154">
        <v>1003220.72413803</v>
      </c>
      <c r="I4" s="153">
        <v>0</v>
      </c>
    </row>
    <row r="5" spans="1:9" x14ac:dyDescent="0.35">
      <c r="A5" t="s">
        <v>13</v>
      </c>
      <c r="B5" s="53">
        <f>'Inertia subtraction'!A6</f>
        <v>14072.718000000001</v>
      </c>
      <c r="C5" s="54"/>
      <c r="G5" s="153">
        <v>9.3773619969848205</v>
      </c>
      <c r="H5" s="153">
        <v>0</v>
      </c>
      <c r="I5" s="154">
        <v>1003050.40344479</v>
      </c>
    </row>
    <row r="6" spans="1:9" x14ac:dyDescent="0.35">
      <c r="A6" s="52" t="s">
        <v>16</v>
      </c>
      <c r="B6" s="53">
        <f>'Inertia subtraction'!A36</f>
        <v>13473</v>
      </c>
      <c r="C6" s="54"/>
    </row>
    <row r="7" spans="1:9" x14ac:dyDescent="0.35">
      <c r="A7" t="s">
        <v>11</v>
      </c>
      <c r="B7" s="55">
        <v>9.8066499999999994</v>
      </c>
    </row>
    <row r="8" spans="1:9" ht="15" thickBot="1" x14ac:dyDescent="0.4">
      <c r="G8" t="s">
        <v>7</v>
      </c>
      <c r="H8" t="s">
        <v>8</v>
      </c>
      <c r="I8" t="s">
        <v>9</v>
      </c>
    </row>
    <row r="9" spans="1:9" ht="14.5" customHeight="1" x14ac:dyDescent="0.35">
      <c r="F9" t="s">
        <v>12</v>
      </c>
      <c r="G9" s="156">
        <f>G3</f>
        <v>3648.2312991717799</v>
      </c>
      <c r="H9" s="157">
        <f>H37</f>
        <v>0</v>
      </c>
      <c r="I9" s="158">
        <f>I3</f>
        <v>9.3773619969848205</v>
      </c>
    </row>
    <row r="10" spans="1:9" x14ac:dyDescent="0.35">
      <c r="F10" s="152" t="s">
        <v>33</v>
      </c>
      <c r="G10" s="159">
        <f>G4</f>
        <v>0</v>
      </c>
      <c r="H10" s="155">
        <f>H4 + B7*(B5*D2 - B6*D3)</f>
        <v>1416716.6817757329</v>
      </c>
      <c r="I10" s="160">
        <f>I4</f>
        <v>0</v>
      </c>
    </row>
    <row r="11" spans="1:9" ht="15" thickBot="1" x14ac:dyDescent="0.4">
      <c r="G11" s="161">
        <f>G5</f>
        <v>9.3773619969848205</v>
      </c>
      <c r="H11" s="162">
        <f>H5</f>
        <v>0</v>
      </c>
      <c r="I11" s="163">
        <f>I5 + B7*(B5*D2 - B6*D3)</f>
        <v>1416546.3610824929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569E-26D8-41EF-ADFA-A56A6BD3ED71}">
  <sheetPr codeName="Sheet4"/>
  <dimension ref="A1:AM64"/>
  <sheetViews>
    <sheetView tabSelected="1" topLeftCell="G1" zoomScale="70" zoomScaleNormal="70" workbookViewId="0">
      <selection activeCell="U2" sqref="U2"/>
    </sheetView>
  </sheetViews>
  <sheetFormatPr defaultRowHeight="14.5" x14ac:dyDescent="0.35"/>
  <cols>
    <col min="4" max="4" width="9.54296875" customWidth="1"/>
    <col min="6" max="6" width="9.36328125" bestFit="1" customWidth="1"/>
    <col min="7" max="7" width="7" customWidth="1"/>
    <col min="8" max="8" width="12.54296875" bestFit="1" customWidth="1"/>
    <col min="9" max="9" width="11.6328125" customWidth="1"/>
    <col min="10" max="10" width="11" bestFit="1" customWidth="1"/>
    <col min="11" max="11" width="21.7265625" customWidth="1"/>
    <col min="12" max="12" width="5.1796875" customWidth="1"/>
    <col min="13" max="15" width="4.453125" customWidth="1"/>
    <col min="16" max="16" width="2.90625" customWidth="1"/>
    <col min="17" max="22" width="9.36328125" customWidth="1"/>
    <col min="23" max="23" width="3" customWidth="1"/>
    <col min="24" max="24" width="22" customWidth="1"/>
    <col min="25" max="25" width="9.26953125" customWidth="1"/>
    <col min="28" max="28" width="3.26953125" customWidth="1"/>
    <col min="29" max="29" width="8.90625" bestFit="1" customWidth="1"/>
    <col min="30" max="30" width="9" bestFit="1" customWidth="1"/>
    <col min="31" max="31" width="8.90625" bestFit="1" customWidth="1"/>
    <col min="32" max="33" width="16.26953125" customWidth="1"/>
    <col min="34" max="34" width="15.7265625" customWidth="1"/>
    <col min="35" max="35" width="2.81640625" customWidth="1"/>
    <col min="37" max="37" width="11.54296875" customWidth="1"/>
    <col min="38" max="38" width="12.453125" bestFit="1" customWidth="1"/>
    <col min="39" max="39" width="12.36328125" customWidth="1"/>
  </cols>
  <sheetData>
    <row r="1" spans="1:39" ht="18.5" x14ac:dyDescent="0.45">
      <c r="A1" s="165" t="s">
        <v>38</v>
      </c>
    </row>
    <row r="2" spans="1:39" ht="15" thickBot="1" x14ac:dyDescent="0.4">
      <c r="A2" s="112" t="s">
        <v>37</v>
      </c>
    </row>
    <row r="3" spans="1:39" ht="16" thickBot="1" x14ac:dyDescent="0.4">
      <c r="A3" s="175" t="s">
        <v>20</v>
      </c>
      <c r="B3" s="176"/>
      <c r="C3" s="176"/>
      <c r="D3" s="176"/>
      <c r="E3" s="176"/>
      <c r="F3" s="176"/>
      <c r="G3" s="176"/>
      <c r="H3" s="176"/>
      <c r="I3" s="177"/>
    </row>
    <row r="4" spans="1:39" x14ac:dyDescent="0.35">
      <c r="Y4" t="s">
        <v>18</v>
      </c>
    </row>
    <row r="5" spans="1:39" ht="15" thickBot="1" x14ac:dyDescent="0.4">
      <c r="A5" t="s">
        <v>35</v>
      </c>
      <c r="H5" t="s">
        <v>39</v>
      </c>
      <c r="Y5" t="s">
        <v>44</v>
      </c>
      <c r="AC5" s="51" t="s">
        <v>4</v>
      </c>
    </row>
    <row r="6" spans="1:39" ht="15" thickBot="1" x14ac:dyDescent="0.4">
      <c r="A6" s="122">
        <v>20130</v>
      </c>
      <c r="B6" s="34">
        <v>0</v>
      </c>
      <c r="C6" s="35">
        <v>0</v>
      </c>
      <c r="D6" s="36">
        <v>0</v>
      </c>
      <c r="E6" s="34">
        <v>0</v>
      </c>
      <c r="F6" s="35">
        <v>0</v>
      </c>
      <c r="H6" t="s">
        <v>41</v>
      </c>
      <c r="I6" t="s">
        <v>42</v>
      </c>
      <c r="J6" t="s">
        <v>43</v>
      </c>
      <c r="Y6" t="s">
        <v>41</v>
      </c>
      <c r="Z6" t="s">
        <v>42</v>
      </c>
      <c r="AA6" t="s">
        <v>43</v>
      </c>
      <c r="AC6" s="33">
        <f t="array" ref="AC6:AE8">A6:C8</f>
        <v>20130</v>
      </c>
      <c r="AD6" s="34">
        <v>0</v>
      </c>
      <c r="AE6" s="35">
        <v>0</v>
      </c>
      <c r="AF6" s="96">
        <f t="array" ref="AF6:AH8">D6:F8+MMULT(A6:C8,AK6:AM8)</f>
        <v>0</v>
      </c>
      <c r="AG6" s="93">
        <v>-44939.017200000002</v>
      </c>
      <c r="AH6" s="99">
        <v>0</v>
      </c>
      <c r="AK6" s="36">
        <v>0</v>
      </c>
      <c r="AL6" s="90">
        <f>J7-AA7</f>
        <v>-2.23244</v>
      </c>
      <c r="AM6" s="35">
        <f>-(I7-Z7)</f>
        <v>0</v>
      </c>
    </row>
    <row r="7" spans="1:39" ht="15" thickBot="1" x14ac:dyDescent="0.4">
      <c r="A7" s="37">
        <v>0</v>
      </c>
      <c r="B7" s="38">
        <f>A6</f>
        <v>20130</v>
      </c>
      <c r="C7" s="39">
        <v>0</v>
      </c>
      <c r="D7" s="37">
        <v>0</v>
      </c>
      <c r="E7" s="40">
        <v>0</v>
      </c>
      <c r="F7" s="39">
        <v>0</v>
      </c>
      <c r="H7" s="142">
        <v>-0.35239999999999999</v>
      </c>
      <c r="I7" s="143">
        <v>0</v>
      </c>
      <c r="J7" s="144">
        <v>-2.23244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Y7" s="149">
        <v>0</v>
      </c>
      <c r="Z7" s="150">
        <v>0</v>
      </c>
      <c r="AA7" s="151">
        <v>0</v>
      </c>
      <c r="AC7" s="37">
        <v>0</v>
      </c>
      <c r="AD7" s="38">
        <v>20130</v>
      </c>
      <c r="AE7" s="39">
        <v>0</v>
      </c>
      <c r="AF7" s="94">
        <v>44939.017200000002</v>
      </c>
      <c r="AG7" s="98">
        <v>0</v>
      </c>
      <c r="AH7" s="95">
        <v>-7093.8119999999999</v>
      </c>
      <c r="AJ7" s="2"/>
      <c r="AK7" s="89">
        <f>-(J7-AA7)</f>
        <v>2.23244</v>
      </c>
      <c r="AL7" s="40">
        <v>0</v>
      </c>
      <c r="AM7" s="92">
        <f>H7-Y7</f>
        <v>-0.35239999999999999</v>
      </c>
    </row>
    <row r="8" spans="1:39" ht="15" thickBot="1" x14ac:dyDescent="0.4">
      <c r="A8" s="41">
        <v>0</v>
      </c>
      <c r="B8" s="42">
        <v>0</v>
      </c>
      <c r="C8" s="43">
        <f>A6</f>
        <v>20130</v>
      </c>
      <c r="D8" s="41">
        <v>0</v>
      </c>
      <c r="E8" s="42">
        <v>0</v>
      </c>
      <c r="F8" s="44">
        <v>0</v>
      </c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AC8" s="41">
        <v>0</v>
      </c>
      <c r="AD8" s="42">
        <v>0</v>
      </c>
      <c r="AE8" s="43">
        <v>20130</v>
      </c>
      <c r="AF8" s="97">
        <v>0</v>
      </c>
      <c r="AG8" s="38">
        <v>7093.8119999999999</v>
      </c>
      <c r="AH8" s="100">
        <v>0</v>
      </c>
      <c r="AK8" s="41">
        <f>I7-Z7</f>
        <v>0</v>
      </c>
      <c r="AL8" s="91">
        <f>-(H7-Y7)</f>
        <v>0.35239999999999999</v>
      </c>
      <c r="AM8" s="44">
        <v>0</v>
      </c>
    </row>
    <row r="9" spans="1:39" ht="14.5" customHeight="1" x14ac:dyDescent="0.35">
      <c r="A9" s="36">
        <v>0</v>
      </c>
      <c r="B9" s="34">
        <v>0</v>
      </c>
      <c r="C9" s="35">
        <v>0</v>
      </c>
      <c r="D9" s="133">
        <v>44580000</v>
      </c>
      <c r="E9" s="134">
        <v>0</v>
      </c>
      <c r="F9" s="135">
        <v>1060000</v>
      </c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81" t="s">
        <v>34</v>
      </c>
      <c r="Y9" s="181"/>
      <c r="Z9" s="181"/>
      <c r="AA9" s="181"/>
      <c r="AC9" s="36">
        <f t="array" ref="AC9:AE11">A9:C11 + MMULT(TRANSPOSE(AK6:AM8),A6:C8)</f>
        <v>0</v>
      </c>
      <c r="AD9" s="34">
        <v>44939.017200000002</v>
      </c>
      <c r="AE9" s="34">
        <v>0</v>
      </c>
      <c r="AF9" s="63">
        <f t="array" ref="AF9:AH11">D9:F11 + MMULT(TRANSPOSE(AK6:AM8),D6:F8) + MMULT(A9:C11, AK6:AM8) + MMULT(MMULT(TRANSPOSE(AK6:AM8),A6:C8),AK6:AM8)</f>
        <v>44680323.659557968</v>
      </c>
      <c r="AG9" s="64">
        <v>0</v>
      </c>
      <c r="AH9" s="65">
        <v>1044163.49033872</v>
      </c>
    </row>
    <row r="10" spans="1:39" ht="14.5" customHeight="1" x14ac:dyDescent="0.35">
      <c r="A10" s="37">
        <v>0</v>
      </c>
      <c r="B10" s="40">
        <v>0</v>
      </c>
      <c r="C10" s="39">
        <v>0</v>
      </c>
      <c r="D10" s="136">
        <v>0</v>
      </c>
      <c r="E10" s="137">
        <v>44490000</v>
      </c>
      <c r="F10" s="138">
        <v>0</v>
      </c>
      <c r="J10" s="104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81"/>
      <c r="Y10" s="181"/>
      <c r="Z10" s="181"/>
      <c r="AA10" s="181"/>
      <c r="AC10" s="37">
        <v>-44939.017200000002</v>
      </c>
      <c r="AD10" s="40">
        <v>0</v>
      </c>
      <c r="AE10" s="40">
        <v>7093.8119999999999</v>
      </c>
      <c r="AF10" s="66">
        <v>0</v>
      </c>
      <c r="AG10" s="45">
        <v>44592823.518906765</v>
      </c>
      <c r="AH10" s="67">
        <v>0</v>
      </c>
    </row>
    <row r="11" spans="1:39" ht="15" thickBot="1" x14ac:dyDescent="0.4">
      <c r="A11" s="41">
        <v>0</v>
      </c>
      <c r="B11" s="42">
        <v>0</v>
      </c>
      <c r="C11" s="44">
        <v>0</v>
      </c>
      <c r="D11" s="139">
        <v>1060000</v>
      </c>
      <c r="E11" s="140">
        <v>0</v>
      </c>
      <c r="F11" s="141">
        <v>23930000</v>
      </c>
      <c r="J11" s="104"/>
      <c r="K11" s="106"/>
      <c r="M11" s="3">
        <f>COS(J20)</f>
        <v>1</v>
      </c>
      <c r="N11" s="4">
        <f>-SIN(J20)</f>
        <v>0</v>
      </c>
      <c r="O11" s="5">
        <v>0</v>
      </c>
      <c r="P11" s="106"/>
      <c r="Q11" s="106"/>
      <c r="R11" s="106"/>
      <c r="S11" s="106"/>
      <c r="T11" s="106"/>
      <c r="U11" s="106"/>
      <c r="V11" s="106"/>
      <c r="W11" s="106"/>
      <c r="X11" s="181"/>
      <c r="Y11" s="181"/>
      <c r="Z11" s="181"/>
      <c r="AA11" s="181"/>
      <c r="AC11" s="41">
        <v>0</v>
      </c>
      <c r="AD11" s="42">
        <v>-7093.8119999999999</v>
      </c>
      <c r="AE11" s="42">
        <v>0</v>
      </c>
      <c r="AF11" s="68">
        <v>1044163.49033872</v>
      </c>
      <c r="AG11" s="69">
        <v>0</v>
      </c>
      <c r="AH11" s="70">
        <v>23932499.8593488</v>
      </c>
    </row>
    <row r="12" spans="1:39" x14ac:dyDescent="0.35">
      <c r="J12" s="104"/>
      <c r="K12" s="106"/>
      <c r="L12" t="s">
        <v>28</v>
      </c>
      <c r="M12" s="6">
        <f>SIN(J20)</f>
        <v>0</v>
      </c>
      <c r="N12" s="7">
        <f>COS(J20)</f>
        <v>1</v>
      </c>
      <c r="O12" s="8">
        <v>0</v>
      </c>
      <c r="P12" s="106"/>
      <c r="Q12" s="106"/>
      <c r="R12" s="106"/>
      <c r="S12" s="106"/>
      <c r="T12" s="106"/>
      <c r="U12" s="106"/>
      <c r="V12" s="106"/>
      <c r="W12" s="106"/>
      <c r="X12" s="181"/>
      <c r="Y12" s="181"/>
      <c r="Z12" s="181"/>
      <c r="AA12" s="181"/>
    </row>
    <row r="13" spans="1:39" x14ac:dyDescent="0.35">
      <c r="K13" s="105"/>
      <c r="M13" s="9">
        <v>0</v>
      </c>
      <c r="N13" s="10">
        <v>0</v>
      </c>
      <c r="O13" s="11">
        <v>1</v>
      </c>
      <c r="P13" s="105"/>
      <c r="Q13" s="105"/>
      <c r="R13" s="105"/>
      <c r="S13" s="105"/>
      <c r="T13" s="105"/>
      <c r="U13" s="105"/>
      <c r="V13" s="105"/>
      <c r="W13" s="105"/>
      <c r="X13" s="181"/>
      <c r="Y13" s="181"/>
      <c r="Z13" s="181"/>
      <c r="AA13" s="181"/>
    </row>
    <row r="14" spans="1:39" ht="16.5" x14ac:dyDescent="0.45">
      <c r="A14" t="s">
        <v>36</v>
      </c>
      <c r="D14" s="112"/>
      <c r="H14" t="s">
        <v>40</v>
      </c>
      <c r="K14" s="105"/>
      <c r="Q14" t="s">
        <v>25</v>
      </c>
      <c r="R14" s="105"/>
      <c r="S14" s="105"/>
      <c r="T14" s="105"/>
      <c r="U14" s="105"/>
      <c r="V14" s="105"/>
      <c r="W14" s="105"/>
      <c r="Y14" t="s">
        <v>44</v>
      </c>
      <c r="AC14" t="s">
        <v>3</v>
      </c>
    </row>
    <row r="15" spans="1:39" x14ac:dyDescent="0.35">
      <c r="A15" s="123">
        <v>2277.37</v>
      </c>
      <c r="B15" s="4">
        <v>0</v>
      </c>
      <c r="C15" s="5">
        <v>0</v>
      </c>
      <c r="D15" s="3">
        <v>0</v>
      </c>
      <c r="E15" s="4">
        <v>0</v>
      </c>
      <c r="F15" s="5">
        <v>0</v>
      </c>
      <c r="H15" t="s">
        <v>41</v>
      </c>
      <c r="I15" t="s">
        <v>42</v>
      </c>
      <c r="J15" t="s">
        <v>43</v>
      </c>
      <c r="K15" s="105"/>
      <c r="M15" s="3">
        <f>COS(I20)</f>
        <v>1</v>
      </c>
      <c r="N15" s="4">
        <v>0</v>
      </c>
      <c r="O15" s="5">
        <f>SIN(I20)</f>
        <v>0</v>
      </c>
      <c r="P15" s="48"/>
      <c r="Q15" s="27">
        <f t="array" ref="Q15:S17">MMULT(MMULT(M23:O25,A15:C17),TRANSPOSE(M23:O25))</f>
        <v>2277.37</v>
      </c>
      <c r="R15" s="4">
        <v>0</v>
      </c>
      <c r="S15" s="5">
        <v>0</v>
      </c>
      <c r="T15" s="3">
        <f t="array" ref="T15:V17">MMULT(MMULT(M23:O25,D15:F17),TRANSPOSE(M23:O25))</f>
        <v>0</v>
      </c>
      <c r="U15" s="4">
        <v>0</v>
      </c>
      <c r="V15" s="5">
        <v>0</v>
      </c>
      <c r="W15" s="105"/>
      <c r="Y15" t="s">
        <v>41</v>
      </c>
      <c r="Z15" t="s">
        <v>42</v>
      </c>
      <c r="AA15" t="s">
        <v>43</v>
      </c>
      <c r="AC15" s="27">
        <f t="array" ref="AC15:AE17">Q15:S17</f>
        <v>2277.37</v>
      </c>
      <c r="AD15" s="4">
        <v>0</v>
      </c>
      <c r="AE15" s="5">
        <v>0</v>
      </c>
      <c r="AF15" s="3">
        <f t="array" ref="AF15:AH17">T15:V17+MMULT(Q15:S17,AK15:AM17)</f>
        <v>0</v>
      </c>
      <c r="AG15" s="118">
        <v>221796.93582899999</v>
      </c>
      <c r="AH15" s="5">
        <v>0</v>
      </c>
      <c r="AK15" s="3">
        <v>0</v>
      </c>
      <c r="AL15" s="4">
        <f>J16-AA16</f>
        <v>97.3917</v>
      </c>
      <c r="AM15" s="5">
        <f>-(I16-Z16)</f>
        <v>0</v>
      </c>
    </row>
    <row r="16" spans="1:39" x14ac:dyDescent="0.35">
      <c r="A16" s="6">
        <v>0</v>
      </c>
      <c r="B16" s="28">
        <f>A15</f>
        <v>2277.37</v>
      </c>
      <c r="C16" s="8">
        <v>0</v>
      </c>
      <c r="D16" s="6">
        <v>0</v>
      </c>
      <c r="E16" s="7">
        <v>0</v>
      </c>
      <c r="F16" s="8">
        <v>0</v>
      </c>
      <c r="H16" s="145">
        <v>-3.11511</v>
      </c>
      <c r="I16" s="146">
        <v>0</v>
      </c>
      <c r="J16" s="147">
        <v>97.3917</v>
      </c>
      <c r="K16" s="48"/>
      <c r="L16" t="s">
        <v>29</v>
      </c>
      <c r="M16" s="6">
        <v>0</v>
      </c>
      <c r="N16" s="7">
        <v>1</v>
      </c>
      <c r="O16" s="8">
        <v>0</v>
      </c>
      <c r="P16" s="48"/>
      <c r="Q16" s="6">
        <v>0</v>
      </c>
      <c r="R16" s="28">
        <v>2277.37</v>
      </c>
      <c r="S16" s="8">
        <v>0</v>
      </c>
      <c r="T16" s="6">
        <v>0</v>
      </c>
      <c r="U16" s="7">
        <v>0</v>
      </c>
      <c r="V16" s="8">
        <v>0</v>
      </c>
      <c r="W16" s="48"/>
      <c r="Y16" s="76">
        <f>Y7</f>
        <v>0</v>
      </c>
      <c r="Z16" s="74">
        <f>Z7</f>
        <v>0</v>
      </c>
      <c r="AA16" s="77">
        <f>AA7</f>
        <v>0</v>
      </c>
      <c r="AC16" s="6">
        <v>0</v>
      </c>
      <c r="AD16" s="28">
        <v>2277.37</v>
      </c>
      <c r="AE16" s="8">
        <v>0</v>
      </c>
      <c r="AF16" s="119">
        <v>-221796.93582899999</v>
      </c>
      <c r="AG16" s="7">
        <v>0</v>
      </c>
      <c r="AH16" s="120">
        <v>-7094.2580607</v>
      </c>
      <c r="AJ16" s="2"/>
      <c r="AK16" s="6">
        <f>-(J16-AA16)</f>
        <v>-97.3917</v>
      </c>
      <c r="AL16" s="7">
        <v>0</v>
      </c>
      <c r="AM16" s="8">
        <f>H16-Y16</f>
        <v>-3.11511</v>
      </c>
    </row>
    <row r="17" spans="1:39" x14ac:dyDescent="0.35">
      <c r="A17" s="9">
        <v>0</v>
      </c>
      <c r="B17" s="10">
        <v>0</v>
      </c>
      <c r="C17" s="29">
        <f>A15</f>
        <v>2277.37</v>
      </c>
      <c r="D17" s="9">
        <v>0</v>
      </c>
      <c r="E17" s="10">
        <v>0</v>
      </c>
      <c r="F17" s="11">
        <v>0</v>
      </c>
      <c r="K17" s="105"/>
      <c r="M17" s="9">
        <f>-SIN(I20)</f>
        <v>0</v>
      </c>
      <c r="N17" s="10">
        <v>0</v>
      </c>
      <c r="O17" s="11">
        <f>COS(I20)</f>
        <v>1</v>
      </c>
      <c r="P17" s="48"/>
      <c r="Q17" s="9">
        <v>0</v>
      </c>
      <c r="R17" s="10">
        <v>0</v>
      </c>
      <c r="S17" s="29">
        <v>2277.37</v>
      </c>
      <c r="T17" s="9">
        <v>0</v>
      </c>
      <c r="U17" s="10">
        <v>0</v>
      </c>
      <c r="V17" s="11">
        <v>0</v>
      </c>
      <c r="W17" s="105"/>
      <c r="AC17" s="9">
        <v>0</v>
      </c>
      <c r="AD17" s="10">
        <v>0</v>
      </c>
      <c r="AE17" s="29">
        <v>2277.37</v>
      </c>
      <c r="AF17" s="9">
        <v>0</v>
      </c>
      <c r="AG17" s="121">
        <v>7094.2580607</v>
      </c>
      <c r="AH17" s="11">
        <v>0</v>
      </c>
      <c r="AK17" s="9">
        <f>I16-Z16</f>
        <v>0</v>
      </c>
      <c r="AL17" s="10">
        <f>-(H16-Y16)</f>
        <v>3.11511</v>
      </c>
      <c r="AM17" s="11">
        <v>0</v>
      </c>
    </row>
    <row r="18" spans="1:39" x14ac:dyDescent="0.35">
      <c r="A18" s="3">
        <v>0</v>
      </c>
      <c r="B18" s="4">
        <v>0</v>
      </c>
      <c r="C18" s="5">
        <v>0</v>
      </c>
      <c r="D18" s="124">
        <v>6583000</v>
      </c>
      <c r="E18" s="125">
        <v>0</v>
      </c>
      <c r="F18" s="126">
        <v>353200</v>
      </c>
      <c r="H18" t="s">
        <v>22</v>
      </c>
      <c r="I18" t="s">
        <v>23</v>
      </c>
      <c r="J18" t="s">
        <v>24</v>
      </c>
      <c r="K18" s="105"/>
      <c r="P18" s="110"/>
      <c r="Q18" s="3">
        <f t="array" ref="Q18:S20">MMULT(MMULT(M23:O25,A18:C20),TRANSPOSE(M23:O25))</f>
        <v>0</v>
      </c>
      <c r="R18" s="4">
        <v>0</v>
      </c>
      <c r="S18" s="5">
        <v>0</v>
      </c>
      <c r="T18" s="30">
        <f t="array" ref="T18:V20">MMULT(MMULT(M23:O25,D18:F20),TRANSPOSE(M23:O25))</f>
        <v>6583000</v>
      </c>
      <c r="U18" s="114">
        <v>0</v>
      </c>
      <c r="V18" s="46">
        <v>353200</v>
      </c>
      <c r="W18" s="105"/>
      <c r="AC18" s="3">
        <f t="array" ref="AC18:AE20">Q18:S20 + MMULT(TRANSPOSE(AK15:AM17),Q15:S17)</f>
        <v>0</v>
      </c>
      <c r="AD18" s="4">
        <v>-221796.93582899999</v>
      </c>
      <c r="AE18" s="5">
        <v>0</v>
      </c>
      <c r="AF18" s="30">
        <f t="array" ref="AF18:AH20">T18:V20 + MMULT(TRANSPOSE(AK15:AM17),T15:V17) + MMULT(Q18:S20,AK15:AM17) + MMULT(MMULT(TRANSPOSE(AK15:AM17),Q15:S17),AK15:AM17)</f>
        <v>28184180.635177217</v>
      </c>
      <c r="AG18" s="4">
        <v>0</v>
      </c>
      <c r="AH18" s="46">
        <v>1044121.8527702761</v>
      </c>
    </row>
    <row r="19" spans="1:39" x14ac:dyDescent="0.35">
      <c r="A19" s="6">
        <v>0</v>
      </c>
      <c r="B19" s="7">
        <v>0</v>
      </c>
      <c r="C19" s="8">
        <v>0</v>
      </c>
      <c r="D19" s="127">
        <v>0</v>
      </c>
      <c r="E19" s="128">
        <v>6476000</v>
      </c>
      <c r="F19" s="129">
        <v>0</v>
      </c>
      <c r="H19" s="145">
        <v>0</v>
      </c>
      <c r="I19" s="148">
        <v>0</v>
      </c>
      <c r="J19" s="147">
        <v>0</v>
      </c>
      <c r="K19" s="105" t="s">
        <v>26</v>
      </c>
      <c r="M19" s="3">
        <v>1</v>
      </c>
      <c r="N19" s="4">
        <v>0</v>
      </c>
      <c r="O19" s="5">
        <v>0</v>
      </c>
      <c r="P19" s="48"/>
      <c r="Q19" s="6">
        <v>0</v>
      </c>
      <c r="R19" s="7">
        <v>0</v>
      </c>
      <c r="S19" s="8">
        <v>0</v>
      </c>
      <c r="T19" s="115">
        <v>0</v>
      </c>
      <c r="U19" s="31">
        <v>6476000</v>
      </c>
      <c r="V19" s="116">
        <v>0</v>
      </c>
      <c r="W19" s="105"/>
      <c r="AC19" s="6">
        <v>221796.93582899999</v>
      </c>
      <c r="AD19" s="7">
        <v>0</v>
      </c>
      <c r="AE19" s="8">
        <v>7094.2580607</v>
      </c>
      <c r="AF19" s="6">
        <v>0</v>
      </c>
      <c r="AG19" s="31">
        <v>28099280.029404685</v>
      </c>
      <c r="AH19" s="8">
        <v>0</v>
      </c>
    </row>
    <row r="20" spans="1:39" x14ac:dyDescent="0.35">
      <c r="A20" s="9">
        <v>0</v>
      </c>
      <c r="B20" s="10">
        <v>0</v>
      </c>
      <c r="C20" s="11">
        <v>0</v>
      </c>
      <c r="D20" s="130">
        <v>353200</v>
      </c>
      <c r="E20" s="131">
        <v>0</v>
      </c>
      <c r="F20" s="132">
        <v>241600</v>
      </c>
      <c r="H20" s="108">
        <f>RADIANS(H19)</f>
        <v>0</v>
      </c>
      <c r="I20" s="75">
        <f t="shared" ref="I20:J20" si="0">RADIANS(I19)</f>
        <v>0</v>
      </c>
      <c r="J20" s="109">
        <f t="shared" si="0"/>
        <v>0</v>
      </c>
      <c r="K20" s="105" t="s">
        <v>27</v>
      </c>
      <c r="L20" t="s">
        <v>30</v>
      </c>
      <c r="M20" s="6">
        <v>0</v>
      </c>
      <c r="N20" s="7">
        <f>COS(H20)</f>
        <v>1</v>
      </c>
      <c r="O20" s="8">
        <f>-SIN(H20)</f>
        <v>0</v>
      </c>
      <c r="P20" s="48"/>
      <c r="Q20" s="9">
        <v>0</v>
      </c>
      <c r="R20" s="10">
        <v>0</v>
      </c>
      <c r="S20" s="11">
        <v>0</v>
      </c>
      <c r="T20" s="47">
        <v>353200</v>
      </c>
      <c r="U20" s="117">
        <v>0</v>
      </c>
      <c r="V20" s="32">
        <v>241600</v>
      </c>
      <c r="W20" s="105"/>
      <c r="AC20" s="9">
        <v>0</v>
      </c>
      <c r="AD20" s="10">
        <v>-7094.2580607</v>
      </c>
      <c r="AE20" s="11">
        <v>0</v>
      </c>
      <c r="AF20" s="47">
        <v>1044121.8527702761</v>
      </c>
      <c r="AG20" s="10">
        <v>0</v>
      </c>
      <c r="AH20" s="32">
        <v>263699.39422746719</v>
      </c>
    </row>
    <row r="21" spans="1:39" x14ac:dyDescent="0.35">
      <c r="K21" s="105"/>
      <c r="M21" s="9">
        <v>0</v>
      </c>
      <c r="N21" s="10">
        <f>SIN(H20)</f>
        <v>0</v>
      </c>
      <c r="O21" s="11">
        <f>COS(H20)</f>
        <v>1</v>
      </c>
      <c r="P21" s="105"/>
      <c r="Q21" s="105"/>
      <c r="R21" s="105"/>
      <c r="S21" s="105"/>
      <c r="T21" s="105"/>
      <c r="U21" s="105"/>
      <c r="V21" s="105"/>
      <c r="W21" s="105"/>
    </row>
    <row r="22" spans="1:39" ht="14.5" customHeight="1" x14ac:dyDescent="0.35">
      <c r="A22" s="110"/>
      <c r="B22" s="48"/>
      <c r="C22" s="48"/>
      <c r="D22" s="48"/>
      <c r="E22" s="48"/>
      <c r="F22" s="48"/>
      <c r="G22" s="48"/>
      <c r="H22" s="183" t="s">
        <v>46</v>
      </c>
      <c r="I22" s="183"/>
      <c r="J22" s="183"/>
      <c r="K22" s="105"/>
      <c r="P22" s="48"/>
      <c r="Q22" s="110"/>
      <c r="R22" s="48"/>
      <c r="S22" s="48"/>
      <c r="U22" s="48"/>
      <c r="V22" s="48"/>
      <c r="W22" s="48"/>
      <c r="X22" s="48"/>
    </row>
    <row r="23" spans="1:39" x14ac:dyDescent="0.35">
      <c r="A23" s="48"/>
      <c r="B23" s="110"/>
      <c r="C23" s="48"/>
      <c r="D23" s="48"/>
      <c r="E23" s="48"/>
      <c r="F23" s="48"/>
      <c r="G23" s="48"/>
      <c r="H23" s="183"/>
      <c r="I23" s="183"/>
      <c r="J23" s="183"/>
      <c r="K23" s="105"/>
      <c r="M23" s="3">
        <f t="array" ref="M23:O25">MMULT(MMULT(M19:O21,M15:O17),M11:O13)</f>
        <v>1</v>
      </c>
      <c r="N23" s="4">
        <v>0</v>
      </c>
      <c r="O23" s="5">
        <v>0</v>
      </c>
      <c r="P23" s="48"/>
      <c r="Q23" s="48"/>
      <c r="R23" s="110"/>
      <c r="S23" s="48"/>
      <c r="U23" s="48"/>
      <c r="V23" s="48"/>
      <c r="W23" s="48"/>
      <c r="X23" s="48"/>
    </row>
    <row r="24" spans="1:39" ht="16.5" x14ac:dyDescent="0.45">
      <c r="A24" s="48"/>
      <c r="B24" s="48"/>
      <c r="C24" s="110"/>
      <c r="D24" s="48"/>
      <c r="E24" s="48"/>
      <c r="F24" s="48"/>
      <c r="G24" s="48"/>
      <c r="H24" s="183"/>
      <c r="I24" s="183"/>
      <c r="J24" s="183"/>
      <c r="K24" s="105"/>
      <c r="L24" t="s">
        <v>31</v>
      </c>
      <c r="M24" s="6">
        <v>0</v>
      </c>
      <c r="N24" s="7">
        <v>1</v>
      </c>
      <c r="O24" s="8">
        <v>0</v>
      </c>
      <c r="P24" s="48"/>
      <c r="Q24" s="48"/>
      <c r="R24" s="48"/>
      <c r="S24" s="110"/>
      <c r="U24" s="48"/>
      <c r="V24" s="48"/>
      <c r="W24" s="48"/>
      <c r="X24" s="48"/>
    </row>
    <row r="25" spans="1:39" x14ac:dyDescent="0.35">
      <c r="A25" s="48"/>
      <c r="B25" s="48"/>
      <c r="C25" s="48"/>
      <c r="D25" s="111"/>
      <c r="E25" s="48"/>
      <c r="F25" s="111"/>
      <c r="G25" s="113"/>
      <c r="H25" s="183"/>
      <c r="I25" s="183"/>
      <c r="J25" s="183"/>
      <c r="K25" s="105"/>
      <c r="M25" s="9">
        <v>0</v>
      </c>
      <c r="N25" s="10">
        <v>0</v>
      </c>
      <c r="O25" s="11">
        <v>1</v>
      </c>
      <c r="P25" s="48"/>
      <c r="Q25" s="48"/>
      <c r="R25" s="48"/>
      <c r="S25" s="48"/>
      <c r="T25" s="111"/>
      <c r="U25" s="48"/>
      <c r="V25" s="111"/>
      <c r="W25" s="48"/>
      <c r="X25" s="48"/>
      <c r="AF25" s="181" t="s">
        <v>45</v>
      </c>
      <c r="AG25" s="181"/>
    </row>
    <row r="26" spans="1:39" x14ac:dyDescent="0.35">
      <c r="A26" s="48"/>
      <c r="B26" s="48"/>
      <c r="C26" s="48"/>
      <c r="D26" s="48"/>
      <c r="E26" s="111"/>
      <c r="F26" s="48"/>
      <c r="G26" s="48"/>
      <c r="H26" s="183"/>
      <c r="I26" s="183"/>
      <c r="J26" s="183"/>
      <c r="K26" s="105"/>
      <c r="P26" s="48"/>
      <c r="Q26" s="48"/>
      <c r="R26" s="48"/>
      <c r="S26" s="48"/>
      <c r="T26" s="48"/>
      <c r="U26" s="111"/>
      <c r="V26" s="48"/>
      <c r="W26" s="48"/>
      <c r="X26" s="48"/>
      <c r="AF26" s="181"/>
      <c r="AG26" s="181"/>
    </row>
    <row r="27" spans="1:39" x14ac:dyDescent="0.35">
      <c r="A27" s="48"/>
      <c r="B27" s="48"/>
      <c r="C27" s="48"/>
      <c r="D27" s="48"/>
      <c r="E27" s="111"/>
      <c r="F27" s="48"/>
      <c r="G27" s="48"/>
      <c r="K27" s="105"/>
      <c r="P27" s="48"/>
      <c r="Q27" s="48"/>
      <c r="R27" s="48"/>
      <c r="S27" s="48"/>
      <c r="T27" s="48"/>
      <c r="U27" s="111"/>
      <c r="V27" s="48"/>
      <c r="W27" s="48"/>
      <c r="X27" s="48"/>
      <c r="AF27" s="181"/>
      <c r="AG27" s="181"/>
    </row>
    <row r="28" spans="1:39" x14ac:dyDescent="0.35">
      <c r="A28" s="48"/>
      <c r="B28" s="48"/>
      <c r="C28" s="48"/>
      <c r="D28" s="48"/>
      <c r="E28" s="111"/>
      <c r="F28" s="48"/>
      <c r="G28" s="48"/>
      <c r="K28" s="105"/>
      <c r="P28" s="48"/>
      <c r="Q28" s="48"/>
      <c r="R28" s="48"/>
      <c r="S28" s="48"/>
      <c r="T28" s="48"/>
      <c r="U28" s="111"/>
      <c r="V28" s="48"/>
      <c r="W28" s="48"/>
      <c r="X28" s="48"/>
      <c r="AF28" s="181"/>
      <c r="AG28" s="181"/>
    </row>
    <row r="29" spans="1:39" x14ac:dyDescent="0.35">
      <c r="A29" s="48"/>
      <c r="B29" s="48"/>
      <c r="C29" s="48"/>
      <c r="D29" s="48"/>
      <c r="E29" s="111"/>
      <c r="F29" s="48"/>
      <c r="G29" s="48"/>
      <c r="K29" s="105"/>
      <c r="P29" s="48"/>
      <c r="Q29" s="48"/>
      <c r="R29" s="48"/>
      <c r="S29" s="48"/>
      <c r="T29" s="48"/>
      <c r="U29" s="111"/>
      <c r="V29" s="48"/>
      <c r="W29" s="48"/>
      <c r="X29" s="48"/>
      <c r="AF29" s="181"/>
      <c r="AG29" s="181"/>
    </row>
    <row r="30" spans="1:39" x14ac:dyDescent="0.35">
      <c r="A30" s="48"/>
      <c r="B30" s="48"/>
      <c r="C30" s="48"/>
      <c r="D30" s="48"/>
      <c r="E30" s="111"/>
      <c r="F30" s="48"/>
      <c r="G30" s="48"/>
      <c r="K30" s="105"/>
      <c r="P30" s="48"/>
      <c r="Q30" s="48"/>
      <c r="R30" s="48"/>
      <c r="S30" s="48"/>
      <c r="T30" s="48"/>
      <c r="U30" s="111"/>
      <c r="V30" s="48"/>
      <c r="W30" s="48"/>
      <c r="X30" s="48"/>
      <c r="AF30" s="181"/>
      <c r="AG30" s="181"/>
    </row>
    <row r="31" spans="1:39" x14ac:dyDescent="0.35">
      <c r="A31" s="48"/>
      <c r="B31" s="48"/>
      <c r="C31" s="48"/>
      <c r="D31" s="48"/>
      <c r="E31" s="111"/>
      <c r="F31" s="48"/>
      <c r="G31" s="48"/>
      <c r="K31" s="105"/>
      <c r="P31" s="48"/>
      <c r="Q31" s="48"/>
      <c r="R31" s="48"/>
      <c r="S31" s="48"/>
      <c r="T31" s="48"/>
      <c r="U31" s="111"/>
      <c r="V31" s="48"/>
      <c r="W31" s="48"/>
      <c r="X31" s="48"/>
      <c r="AF31" s="181"/>
      <c r="AG31" s="181"/>
    </row>
    <row r="32" spans="1:39" x14ac:dyDescent="0.35">
      <c r="A32" s="48"/>
      <c r="B32" s="48"/>
      <c r="C32" s="48"/>
      <c r="D32" s="48"/>
      <c r="E32" s="111"/>
      <c r="F32" s="48"/>
      <c r="G32" s="48"/>
      <c r="K32" s="105"/>
      <c r="P32" s="48"/>
      <c r="Q32" s="48"/>
      <c r="R32" s="48"/>
      <c r="S32" s="48"/>
      <c r="T32" s="48"/>
      <c r="U32" s="111"/>
      <c r="V32" s="48"/>
      <c r="W32" s="48"/>
      <c r="X32" s="48"/>
      <c r="AF32" s="181"/>
      <c r="AG32" s="181"/>
    </row>
    <row r="33" spans="1:39" x14ac:dyDescent="0.35">
      <c r="A33" s="48"/>
      <c r="B33" s="48"/>
      <c r="C33" s="48"/>
      <c r="D33" s="111"/>
      <c r="E33" s="48"/>
      <c r="F33" s="111"/>
      <c r="G33" s="48"/>
      <c r="K33" s="105"/>
      <c r="P33" s="48"/>
      <c r="Q33" s="48"/>
      <c r="R33" s="48"/>
      <c r="S33" s="48"/>
      <c r="T33" s="111"/>
      <c r="U33" s="48"/>
      <c r="V33" s="111"/>
      <c r="W33" s="48"/>
      <c r="X33" s="48"/>
      <c r="AF33" s="181"/>
      <c r="AG33" s="181"/>
    </row>
    <row r="34" spans="1:39" x14ac:dyDescent="0.35">
      <c r="K34" s="105"/>
      <c r="P34" s="48"/>
      <c r="Q34" s="113"/>
      <c r="R34" s="48"/>
      <c r="S34" s="48"/>
      <c r="T34" s="48"/>
      <c r="U34" s="48"/>
      <c r="V34" s="48"/>
      <c r="W34" s="48"/>
      <c r="X34" s="48"/>
    </row>
    <row r="35" spans="1:39" ht="17" thickBot="1" x14ac:dyDescent="0.5">
      <c r="A35" t="s">
        <v>17</v>
      </c>
      <c r="H35" t="s">
        <v>5</v>
      </c>
      <c r="K35" s="105"/>
      <c r="L35" s="105"/>
      <c r="M35" s="105"/>
      <c r="N35" s="105"/>
      <c r="O35" s="107"/>
      <c r="P35" s="105"/>
      <c r="Q35" s="105"/>
      <c r="R35" s="105"/>
      <c r="S35" s="105"/>
      <c r="T35" s="105"/>
      <c r="U35" s="105"/>
      <c r="V35" s="105"/>
      <c r="W35" s="105"/>
      <c r="Y35" t="s">
        <v>44</v>
      </c>
      <c r="AC35" t="s">
        <v>19</v>
      </c>
    </row>
    <row r="36" spans="1:39" ht="15" thickBot="1" x14ac:dyDescent="0.4">
      <c r="A36" s="62">
        <f t="array" ref="A36:C38">AC36:AE38</f>
        <v>17852.63</v>
      </c>
      <c r="B36" s="13">
        <v>0</v>
      </c>
      <c r="C36" s="14">
        <v>0</v>
      </c>
      <c r="D36" s="12">
        <f t="array" ref="D36:F38">AF36:AH38 + MMULT(AC36:AE38,AK36:AM38)</f>
        <v>0</v>
      </c>
      <c r="E36" s="13">
        <v>0</v>
      </c>
      <c r="F36" s="14">
        <v>0</v>
      </c>
      <c r="H36" t="s">
        <v>0</v>
      </c>
      <c r="I36" t="s">
        <v>1</v>
      </c>
      <c r="J36" t="s">
        <v>2</v>
      </c>
      <c r="K36" s="105"/>
      <c r="L36" s="105"/>
      <c r="M36" s="105"/>
      <c r="N36" s="105"/>
      <c r="P36" s="105"/>
      <c r="Q36" s="105"/>
      <c r="R36" s="105"/>
      <c r="S36" s="105"/>
      <c r="T36" s="105"/>
      <c r="U36" s="105"/>
      <c r="V36" s="105"/>
      <c r="W36" s="105"/>
      <c r="Y36" t="s">
        <v>41</v>
      </c>
      <c r="Z36" t="s">
        <v>42</v>
      </c>
      <c r="AA36" t="s">
        <v>43</v>
      </c>
      <c r="AC36" s="21">
        <f>AC6-AC15</f>
        <v>17852.63</v>
      </c>
      <c r="AD36" s="13">
        <f t="shared" ref="AD36:AH36" si="1">AD6-AD15</f>
        <v>0</v>
      </c>
      <c r="AE36" s="14">
        <f t="shared" si="1"/>
        <v>0</v>
      </c>
      <c r="AF36" s="12">
        <f t="shared" si="1"/>
        <v>0</v>
      </c>
      <c r="AG36" s="81">
        <f t="shared" si="1"/>
        <v>-266735.95302899997</v>
      </c>
      <c r="AH36" s="14">
        <f t="shared" si="1"/>
        <v>0</v>
      </c>
      <c r="AK36" s="12">
        <v>0</v>
      </c>
      <c r="AL36" s="85">
        <f>AA37-J37</f>
        <v>14.940989256428882</v>
      </c>
      <c r="AM36" s="14">
        <f>-(Z37-I37)</f>
        <v>0</v>
      </c>
    </row>
    <row r="37" spans="1:39" ht="15" thickBot="1" x14ac:dyDescent="0.4">
      <c r="A37" s="15">
        <v>0</v>
      </c>
      <c r="B37" s="26">
        <v>17852.63</v>
      </c>
      <c r="C37" s="17">
        <v>0</v>
      </c>
      <c r="D37" s="15">
        <v>0</v>
      </c>
      <c r="E37" s="16">
        <v>0</v>
      </c>
      <c r="F37" s="17">
        <v>0</v>
      </c>
      <c r="H37" s="71">
        <f>0.5*1/AC36*(AH37-AG38)</f>
        <v>2.498571358954334E-5</v>
      </c>
      <c r="I37" s="72">
        <f>0.5*1/AC36*(AF38-AH36)</f>
        <v>0</v>
      </c>
      <c r="J37" s="73">
        <f>0.5*1/AC36*(AG36-AF37)</f>
        <v>-14.940989256428882</v>
      </c>
      <c r="K37" s="107"/>
      <c r="L37" s="107"/>
      <c r="M37" s="107"/>
      <c r="N37" s="107"/>
      <c r="P37" s="107"/>
      <c r="Q37" s="107"/>
      <c r="R37" s="107"/>
      <c r="S37" s="107"/>
      <c r="T37" s="107"/>
      <c r="U37" s="107"/>
      <c r="V37" s="107"/>
      <c r="W37" s="107"/>
      <c r="Y37" s="78">
        <f>Y7</f>
        <v>0</v>
      </c>
      <c r="Z37" s="79">
        <f>Z7</f>
        <v>0</v>
      </c>
      <c r="AA37" s="80">
        <f>AA7</f>
        <v>0</v>
      </c>
      <c r="AC37" s="15">
        <f t="shared" ref="AC37:AH41" si="2">AC7-AC16</f>
        <v>0</v>
      </c>
      <c r="AD37" s="26">
        <f t="shared" si="2"/>
        <v>17852.63</v>
      </c>
      <c r="AE37" s="17">
        <f t="shared" si="2"/>
        <v>0</v>
      </c>
      <c r="AF37" s="82">
        <f t="shared" si="2"/>
        <v>266735.95302899997</v>
      </c>
      <c r="AG37" s="16">
        <f t="shared" si="2"/>
        <v>0</v>
      </c>
      <c r="AH37" s="84">
        <f t="shared" si="2"/>
        <v>0.44606070000008913</v>
      </c>
      <c r="AJ37" s="2"/>
      <c r="AK37" s="86">
        <f>-(AA37-J37)</f>
        <v>-14.940989256428882</v>
      </c>
      <c r="AL37" s="16">
        <v>0</v>
      </c>
      <c r="AM37" s="88">
        <f>Y37-H37</f>
        <v>-2.498571358954334E-5</v>
      </c>
    </row>
    <row r="38" spans="1:39" ht="15" thickBot="1" x14ac:dyDescent="0.4">
      <c r="A38" s="18">
        <v>0</v>
      </c>
      <c r="B38" s="19">
        <v>0</v>
      </c>
      <c r="C38" s="24">
        <v>17852.63</v>
      </c>
      <c r="D38" s="15">
        <v>0</v>
      </c>
      <c r="E38" s="16">
        <v>0</v>
      </c>
      <c r="F38" s="17">
        <v>0</v>
      </c>
      <c r="AC38" s="18">
        <f t="shared" si="2"/>
        <v>0</v>
      </c>
      <c r="AD38" s="19">
        <f t="shared" si="2"/>
        <v>0</v>
      </c>
      <c r="AE38" s="24">
        <f t="shared" si="2"/>
        <v>17852.63</v>
      </c>
      <c r="AF38" s="18">
        <f t="shared" si="2"/>
        <v>0</v>
      </c>
      <c r="AG38" s="83">
        <f t="shared" si="2"/>
        <v>-0.44606070000008913</v>
      </c>
      <c r="AH38" s="20">
        <f t="shared" si="2"/>
        <v>0</v>
      </c>
      <c r="AK38" s="18">
        <f>Z37-I37</f>
        <v>0</v>
      </c>
      <c r="AL38" s="87">
        <f>-(Y37-H37)</f>
        <v>2.498571358954334E-5</v>
      </c>
      <c r="AM38" s="20">
        <v>0</v>
      </c>
    </row>
    <row r="39" spans="1:39" ht="14.5" customHeight="1" x14ac:dyDescent="0.35">
      <c r="A39" s="12">
        <f t="array" ref="A39:C41">AC39:AE41 + MMULT(TRANSPOSE(AK36:AM38),AC36:AE38)</f>
        <v>0</v>
      </c>
      <c r="B39" s="13">
        <v>0</v>
      </c>
      <c r="C39" s="13">
        <v>0</v>
      </c>
      <c r="D39" s="56">
        <f t="array" ref="D39:F41">AF39:AH41 + MMULT(TRANSPOSE(AK36:AM38),AF36:AH38) + MMULT(AC39:AE41,AK36:AM38) + MMULT(MMULT(TRANSPOSE(AK36:AM38),AC36:AE38),AK36:AM38)</f>
        <v>12510844.015871143</v>
      </c>
      <c r="E39" s="57">
        <v>0</v>
      </c>
      <c r="F39" s="101">
        <v>34.972980317480705</v>
      </c>
      <c r="Q39" s="182" t="s">
        <v>6</v>
      </c>
      <c r="R39" s="182"/>
      <c r="S39" s="182"/>
      <c r="T39" s="182"/>
      <c r="U39" s="182"/>
      <c r="V39" s="182"/>
      <c r="W39" s="182"/>
      <c r="AC39" s="12">
        <f t="shared" si="2"/>
        <v>0</v>
      </c>
      <c r="AD39" s="13">
        <f t="shared" si="2"/>
        <v>266735.95302899997</v>
      </c>
      <c r="AE39" s="14">
        <f t="shared" si="2"/>
        <v>0</v>
      </c>
      <c r="AF39" s="22">
        <f t="shared" si="2"/>
        <v>16496143.024380751</v>
      </c>
      <c r="AG39" s="13">
        <f t="shared" si="2"/>
        <v>0</v>
      </c>
      <c r="AH39" s="49">
        <f t="shared" si="2"/>
        <v>41.63756844389718</v>
      </c>
    </row>
    <row r="40" spans="1:39" x14ac:dyDescent="0.35">
      <c r="A40" s="15">
        <v>0</v>
      </c>
      <c r="B40" s="16">
        <v>0</v>
      </c>
      <c r="C40" s="16">
        <v>0</v>
      </c>
      <c r="D40" s="58">
        <v>0</v>
      </c>
      <c r="E40" s="23">
        <v>12508244.480981328</v>
      </c>
      <c r="F40" s="59">
        <v>0</v>
      </c>
      <c r="G40" s="1"/>
      <c r="K40" t="s">
        <v>47</v>
      </c>
      <c r="AC40" s="15">
        <f t="shared" si="2"/>
        <v>-266735.95302899997</v>
      </c>
      <c r="AD40" s="16">
        <f t="shared" si="2"/>
        <v>0</v>
      </c>
      <c r="AE40" s="17">
        <f t="shared" si="2"/>
        <v>-0.44606070000008913</v>
      </c>
      <c r="AF40" s="15">
        <f t="shared" si="2"/>
        <v>0</v>
      </c>
      <c r="AG40" s="23">
        <f t="shared" si="2"/>
        <v>16493543.48950208</v>
      </c>
      <c r="AH40" s="17">
        <f t="shared" si="2"/>
        <v>0</v>
      </c>
    </row>
    <row r="41" spans="1:39" ht="15" thickBot="1" x14ac:dyDescent="0.4">
      <c r="A41" s="18">
        <v>0</v>
      </c>
      <c r="B41" s="19">
        <v>0</v>
      </c>
      <c r="C41" s="19">
        <v>0</v>
      </c>
      <c r="D41" s="102">
        <v>34.972980317480705</v>
      </c>
      <c r="E41" s="60">
        <v>0</v>
      </c>
      <c r="F41" s="61">
        <v>23668800.465110186</v>
      </c>
      <c r="O41" s="48"/>
      <c r="AC41" s="18">
        <f t="shared" si="2"/>
        <v>0</v>
      </c>
      <c r="AD41" s="19">
        <f t="shared" si="2"/>
        <v>0.44606070000008913</v>
      </c>
      <c r="AE41" s="20">
        <f t="shared" si="2"/>
        <v>0</v>
      </c>
      <c r="AF41" s="50">
        <f t="shared" si="2"/>
        <v>41.63756844389718</v>
      </c>
      <c r="AG41" s="19">
        <f t="shared" si="2"/>
        <v>0</v>
      </c>
      <c r="AH41" s="25">
        <f t="shared" si="2"/>
        <v>23668800.465121333</v>
      </c>
    </row>
    <row r="42" spans="1:39" ht="15" thickBot="1" x14ac:dyDescent="0.4">
      <c r="O42" s="48"/>
    </row>
    <row r="43" spans="1:39" ht="16" thickBot="1" x14ac:dyDescent="0.4">
      <c r="A43" s="178" t="s">
        <v>21</v>
      </c>
      <c r="B43" s="179"/>
      <c r="C43" s="179"/>
      <c r="D43" s="179"/>
      <c r="E43" s="179"/>
      <c r="F43" s="179"/>
      <c r="G43" s="179"/>
      <c r="H43" s="179"/>
      <c r="I43" s="180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1:39" x14ac:dyDescent="0.35">
      <c r="A44" s="103"/>
      <c r="B44" s="103"/>
      <c r="C44" s="103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39" x14ac:dyDescent="0.35">
      <c r="A45" s="103"/>
      <c r="B45" s="103"/>
      <c r="C45" s="103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1:39" x14ac:dyDescent="0.35">
      <c r="A46" s="103"/>
      <c r="B46" s="103"/>
      <c r="C46" s="103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1:39" x14ac:dyDescent="0.35"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1:39" x14ac:dyDescent="0.35">
      <c r="L48" s="110"/>
      <c r="M48" s="48"/>
      <c r="N48" s="48"/>
      <c r="O48" s="48"/>
      <c r="P48" s="48"/>
      <c r="Q48" s="110"/>
      <c r="R48" s="48"/>
      <c r="S48" s="48"/>
      <c r="T48" s="48"/>
      <c r="U48" s="48"/>
      <c r="V48" s="48"/>
      <c r="W48" s="48"/>
    </row>
    <row r="49" spans="12:34" x14ac:dyDescent="0.35">
      <c r="L49" s="48"/>
      <c r="M49" s="110"/>
      <c r="N49" s="48"/>
      <c r="O49" s="110"/>
      <c r="P49" s="48"/>
      <c r="Q49" s="48"/>
      <c r="R49" s="110"/>
      <c r="S49" s="48"/>
      <c r="T49" s="48"/>
      <c r="U49" s="48"/>
      <c r="V49" s="48"/>
      <c r="W49" s="48"/>
    </row>
    <row r="50" spans="12:34" x14ac:dyDescent="0.35">
      <c r="L50" s="48"/>
      <c r="M50" s="48"/>
      <c r="N50" s="110"/>
      <c r="O50" s="48"/>
      <c r="P50" s="48"/>
      <c r="Q50" s="48"/>
      <c r="R50" s="48"/>
      <c r="S50" s="110"/>
      <c r="T50" s="48"/>
      <c r="U50" s="48"/>
      <c r="V50" s="48"/>
      <c r="W50" s="48"/>
    </row>
    <row r="51" spans="12:34" x14ac:dyDescent="0.35">
      <c r="L51" s="48"/>
      <c r="M51" s="48"/>
      <c r="N51" s="48"/>
      <c r="O51" s="48"/>
      <c r="P51" s="110"/>
      <c r="Q51" s="48"/>
      <c r="R51" s="48"/>
      <c r="S51" s="48"/>
      <c r="T51" s="111"/>
      <c r="U51" s="48"/>
      <c r="V51" s="111"/>
      <c r="W51" s="48"/>
      <c r="AF51" s="53"/>
      <c r="AG51" s="53"/>
      <c r="AH51" s="53"/>
    </row>
    <row r="52" spans="12:34" x14ac:dyDescent="0.35">
      <c r="L52" s="48"/>
      <c r="M52" s="48"/>
      <c r="N52" s="48"/>
      <c r="O52" s="48"/>
      <c r="P52" s="48"/>
      <c r="Q52" s="48"/>
      <c r="R52" s="48"/>
      <c r="S52" s="48"/>
      <c r="T52" s="48"/>
      <c r="U52" s="111"/>
      <c r="V52" s="48"/>
      <c r="W52" s="48"/>
      <c r="AF52" s="53"/>
      <c r="AG52" s="53"/>
      <c r="AH52" s="53"/>
    </row>
    <row r="53" spans="12:34" x14ac:dyDescent="0.35">
      <c r="L53" s="48"/>
      <c r="M53" s="48"/>
      <c r="N53" s="48"/>
      <c r="O53" s="48"/>
      <c r="P53" s="48"/>
      <c r="Q53" s="48"/>
      <c r="R53" s="48"/>
      <c r="S53" s="48"/>
      <c r="T53" s="111"/>
      <c r="U53" s="48"/>
      <c r="V53" s="111"/>
      <c r="W53" s="48"/>
      <c r="AF53" s="53"/>
      <c r="AG53" s="53"/>
      <c r="AH53" s="53"/>
    </row>
    <row r="54" spans="12:34" x14ac:dyDescent="0.35"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12:34" x14ac:dyDescent="0.35"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12:34" x14ac:dyDescent="0.35">
      <c r="L56" s="48"/>
      <c r="M56" s="48"/>
      <c r="N56" s="48"/>
      <c r="O56" s="48"/>
      <c r="P56" s="48"/>
      <c r="Q56" s="110"/>
      <c r="R56" s="48"/>
      <c r="S56" s="48"/>
      <c r="T56" s="48"/>
      <c r="U56" s="48"/>
      <c r="V56" s="48"/>
      <c r="W56" s="48"/>
    </row>
    <row r="57" spans="12:34" x14ac:dyDescent="0.35">
      <c r="L57" s="48"/>
      <c r="M57" s="48"/>
      <c r="N57" s="48"/>
      <c r="O57" s="48"/>
      <c r="P57" s="48"/>
      <c r="Q57" s="48"/>
      <c r="R57" s="110"/>
      <c r="S57" s="48"/>
      <c r="T57" s="48"/>
      <c r="U57" s="48"/>
      <c r="V57" s="48"/>
      <c r="W57" s="48"/>
    </row>
    <row r="58" spans="12:34" x14ac:dyDescent="0.35">
      <c r="L58" s="48"/>
      <c r="M58" s="48"/>
      <c r="N58" s="48"/>
      <c r="O58" s="48"/>
      <c r="P58" s="48"/>
      <c r="Q58" s="48"/>
      <c r="R58" s="48"/>
      <c r="S58" s="110"/>
      <c r="T58" s="48"/>
      <c r="U58" s="48"/>
      <c r="V58" s="48"/>
      <c r="W58" s="48"/>
    </row>
    <row r="59" spans="12:34" x14ac:dyDescent="0.35">
      <c r="L59" s="48"/>
      <c r="M59" s="48"/>
      <c r="N59" s="48"/>
      <c r="O59" s="48"/>
      <c r="P59" s="48"/>
      <c r="Q59" s="48"/>
      <c r="R59" s="48"/>
      <c r="S59" s="48"/>
      <c r="T59" s="111"/>
      <c r="U59" s="48"/>
      <c r="V59" s="111"/>
      <c r="W59" s="48"/>
    </row>
    <row r="60" spans="12:34" x14ac:dyDescent="0.35">
      <c r="L60" s="48"/>
      <c r="M60" s="48"/>
      <c r="N60" s="48"/>
      <c r="O60" s="48"/>
      <c r="P60" s="48"/>
      <c r="Q60" s="48"/>
      <c r="R60" s="48"/>
      <c r="S60" s="48"/>
      <c r="T60" s="48"/>
      <c r="U60" s="111"/>
      <c r="V60" s="48"/>
      <c r="W60" s="48"/>
    </row>
    <row r="61" spans="12:34" x14ac:dyDescent="0.35">
      <c r="L61" s="48"/>
      <c r="M61" s="48"/>
      <c r="N61" s="48"/>
      <c r="O61" s="48"/>
      <c r="P61" s="48"/>
      <c r="Q61" s="48"/>
      <c r="R61" s="48"/>
      <c r="S61" s="48"/>
      <c r="T61" s="111"/>
      <c r="U61" s="48"/>
      <c r="V61" s="111"/>
      <c r="W61" s="48"/>
    </row>
    <row r="62" spans="12:34" x14ac:dyDescent="0.35"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</row>
    <row r="63" spans="12:34" x14ac:dyDescent="0.35">
      <c r="L63" s="48"/>
      <c r="M63" s="48"/>
      <c r="N63" s="48"/>
      <c r="P63" s="48"/>
      <c r="Q63" s="48"/>
      <c r="R63" s="48"/>
      <c r="S63" s="48"/>
      <c r="T63" s="48"/>
      <c r="U63" s="48"/>
      <c r="V63" s="48"/>
      <c r="W63" s="48"/>
    </row>
    <row r="64" spans="12:34" x14ac:dyDescent="0.35">
      <c r="L64" s="48"/>
      <c r="M64" s="48"/>
      <c r="N64" s="48"/>
      <c r="P64" s="48"/>
      <c r="Q64" s="48"/>
      <c r="R64" s="48"/>
      <c r="S64" s="48"/>
      <c r="T64" s="48"/>
      <c r="U64" s="48"/>
      <c r="V64" s="48"/>
      <c r="W64" s="48"/>
    </row>
  </sheetData>
  <mergeCells count="6">
    <mergeCell ref="A43:I43"/>
    <mergeCell ref="A3:I3"/>
    <mergeCell ref="X9:AA13"/>
    <mergeCell ref="H22:J26"/>
    <mergeCell ref="AF25:AG33"/>
    <mergeCell ref="Q39:W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2860-C5B8-4C03-861B-4FB90E4F1A6B}">
  <dimension ref="A1:I11"/>
  <sheetViews>
    <sheetView workbookViewId="0">
      <selection activeCell="H19" sqref="H19"/>
    </sheetView>
  </sheetViews>
  <sheetFormatPr defaultRowHeight="14.5" x14ac:dyDescent="0.35"/>
  <cols>
    <col min="1" max="1" width="30.7265625" bestFit="1" customWidth="1"/>
    <col min="2" max="2" width="11.81640625" bestFit="1" customWidth="1"/>
    <col min="6" max="6" width="47.36328125" customWidth="1"/>
    <col min="7" max="7" width="11.81640625" bestFit="1" customWidth="1"/>
    <col min="8" max="8" width="9" bestFit="1" customWidth="1"/>
    <col min="9" max="9" width="11.81640625" bestFit="1" customWidth="1"/>
  </cols>
  <sheetData>
    <row r="1" spans="1:9" x14ac:dyDescent="0.35">
      <c r="B1" t="s">
        <v>0</v>
      </c>
      <c r="C1" t="s">
        <v>1</v>
      </c>
      <c r="D1" t="s">
        <v>2</v>
      </c>
    </row>
    <row r="2" spans="1:9" x14ac:dyDescent="0.35">
      <c r="A2" s="52" t="s">
        <v>14</v>
      </c>
      <c r="B2">
        <f>'Inertia subtraction RWT'!H7</f>
        <v>-0.35239999999999999</v>
      </c>
      <c r="C2">
        <f>'Inertia subtraction RWT'!I7</f>
        <v>0</v>
      </c>
      <c r="D2">
        <f>'Inertia subtraction RWT'!J7</f>
        <v>-2.23244</v>
      </c>
      <c r="G2" t="s">
        <v>7</v>
      </c>
      <c r="H2" t="s">
        <v>8</v>
      </c>
      <c r="I2" t="s">
        <v>9</v>
      </c>
    </row>
    <row r="3" spans="1:9" ht="14.5" customHeight="1" x14ac:dyDescent="0.35">
      <c r="A3" s="52" t="s">
        <v>15</v>
      </c>
      <c r="B3">
        <f>'Inertia subtraction RWT'!H37</f>
        <v>2.498571358954334E-5</v>
      </c>
      <c r="C3">
        <f>'Inertia subtraction RWT'!I37</f>
        <v>0</v>
      </c>
      <c r="D3">
        <f>'Inertia subtraction RWT'!J37</f>
        <v>-14.940989256428882</v>
      </c>
      <c r="F3" t="s">
        <v>10</v>
      </c>
      <c r="G3" s="185">
        <v>4461.2655500239398</v>
      </c>
      <c r="H3" s="186">
        <v>3.2829325652426701E-7</v>
      </c>
      <c r="I3" s="185">
        <v>4.1681518036375299E-3</v>
      </c>
    </row>
    <row r="4" spans="1:9" x14ac:dyDescent="0.35">
      <c r="A4" s="52"/>
      <c r="F4" s="164" t="s">
        <v>32</v>
      </c>
      <c r="G4" s="186">
        <v>3.2829325652426701E-7</v>
      </c>
      <c r="H4" s="186">
        <v>2640166.5030451799</v>
      </c>
      <c r="I4" s="185">
        <v>-8.8279949998163207</v>
      </c>
    </row>
    <row r="5" spans="1:9" x14ac:dyDescent="0.35">
      <c r="A5" t="s">
        <v>13</v>
      </c>
      <c r="B5" s="53">
        <f>'Inertia subtraction RWT'!A6</f>
        <v>20130</v>
      </c>
      <c r="C5" s="54"/>
      <c r="G5" s="185">
        <v>4.1681518036375299E-3</v>
      </c>
      <c r="H5" s="185">
        <v>-8.8279949998163207</v>
      </c>
      <c r="I5" s="186">
        <v>2640144.2551671001</v>
      </c>
    </row>
    <row r="6" spans="1:9" x14ac:dyDescent="0.35">
      <c r="A6" s="52" t="s">
        <v>16</v>
      </c>
      <c r="B6" s="53">
        <f>'Inertia subtraction RWT'!A36</f>
        <v>17852.63</v>
      </c>
      <c r="C6" s="54"/>
    </row>
    <row r="7" spans="1:9" x14ac:dyDescent="0.35">
      <c r="A7" t="s">
        <v>11</v>
      </c>
      <c r="B7" s="55">
        <v>9.8066499999999994</v>
      </c>
    </row>
    <row r="8" spans="1:9" ht="15" thickBot="1" x14ac:dyDescent="0.4">
      <c r="G8" t="s">
        <v>7</v>
      </c>
      <c r="H8" t="s">
        <v>8</v>
      </c>
      <c r="I8" t="s">
        <v>9</v>
      </c>
    </row>
    <row r="9" spans="1:9" ht="14.5" customHeight="1" x14ac:dyDescent="0.35">
      <c r="F9" t="s">
        <v>12</v>
      </c>
      <c r="G9" s="156">
        <f>G3</f>
        <v>4461.2655500239398</v>
      </c>
      <c r="H9" s="157">
        <f>H37</f>
        <v>0</v>
      </c>
      <c r="I9" s="158">
        <f>I3</f>
        <v>4.1681518036375299E-3</v>
      </c>
    </row>
    <row r="10" spans="1:9" x14ac:dyDescent="0.35">
      <c r="F10" s="152" t="s">
        <v>33</v>
      </c>
      <c r="G10" s="159">
        <f>G4</f>
        <v>3.2829325652426701E-7</v>
      </c>
      <c r="H10" s="155">
        <f>H4 + B7*(B5*D2 - B6*D3)</f>
        <v>4815251.4237926416</v>
      </c>
      <c r="I10" s="160">
        <f>I4</f>
        <v>-8.8279949998163207</v>
      </c>
    </row>
    <row r="11" spans="1:9" ht="15" thickBot="1" x14ac:dyDescent="0.4">
      <c r="G11" s="161">
        <f>G5</f>
        <v>4.1681518036375299E-3</v>
      </c>
      <c r="H11" s="162">
        <f>H5</f>
        <v>-8.8279949998163207</v>
      </c>
      <c r="I11" s="163">
        <f>I5 + B7*(B5*D2 - B6*D3)</f>
        <v>4815229.1759145623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D734-8E07-4AED-8C76-791494045487}">
  <sheetPr codeName="Sheet3"/>
  <dimension ref="C3:W16"/>
  <sheetViews>
    <sheetView workbookViewId="0">
      <selection activeCell="V9" sqref="V9"/>
    </sheetView>
  </sheetViews>
  <sheetFormatPr defaultRowHeight="14.5" x14ac:dyDescent="0.35"/>
  <cols>
    <col min="3" max="3" width="17.1796875" customWidth="1"/>
    <col min="4" max="4" width="12.08984375" customWidth="1"/>
    <col min="5" max="5" width="13.1796875" customWidth="1"/>
    <col min="6" max="6" width="11.08984375" customWidth="1"/>
    <col min="7" max="7" width="13.36328125" customWidth="1"/>
    <col min="8" max="8" width="13.26953125" customWidth="1"/>
    <col min="9" max="9" width="11.54296875" customWidth="1"/>
    <col min="10" max="10" width="11.453125" customWidth="1"/>
    <col min="16" max="17" width="9.36328125" bestFit="1" customWidth="1"/>
    <col min="19" max="19" width="9.36328125" bestFit="1" customWidth="1"/>
    <col min="20" max="20" width="10.453125" customWidth="1"/>
    <col min="21" max="21" width="9.36328125" bestFit="1" customWidth="1"/>
    <col min="22" max="22" width="13.6328125" customWidth="1"/>
    <col min="23" max="23" width="11.81640625" customWidth="1"/>
  </cols>
  <sheetData>
    <row r="3" spans="3:23" x14ac:dyDescent="0.35">
      <c r="C3" s="167"/>
      <c r="D3" s="184" t="s">
        <v>57</v>
      </c>
      <c r="E3" s="184"/>
      <c r="F3" s="184"/>
      <c r="G3" s="184"/>
      <c r="H3" s="184" t="s">
        <v>61</v>
      </c>
      <c r="I3" s="184"/>
      <c r="J3" s="184"/>
    </row>
    <row r="4" spans="3:23" x14ac:dyDescent="0.35">
      <c r="C4" s="167"/>
      <c r="D4" s="168" t="s">
        <v>52</v>
      </c>
      <c r="E4" s="168" t="s">
        <v>53</v>
      </c>
      <c r="F4" s="168" t="s">
        <v>54</v>
      </c>
      <c r="G4" s="168" t="s">
        <v>55</v>
      </c>
      <c r="H4" s="168" t="s">
        <v>58</v>
      </c>
      <c r="I4" s="168" t="s">
        <v>59</v>
      </c>
      <c r="J4" s="168" t="s">
        <v>60</v>
      </c>
      <c r="L4" s="171" t="s">
        <v>62</v>
      </c>
      <c r="M4" s="171" t="s">
        <v>63</v>
      </c>
      <c r="N4" s="171" t="s">
        <v>64</v>
      </c>
      <c r="O4" s="172" t="s">
        <v>68</v>
      </c>
      <c r="P4" s="173" t="s">
        <v>69</v>
      </c>
      <c r="Q4" s="172" t="s">
        <v>65</v>
      </c>
      <c r="R4" s="173" t="s">
        <v>70</v>
      </c>
      <c r="S4" s="172" t="s">
        <v>66</v>
      </c>
      <c r="T4" s="173" t="s">
        <v>71</v>
      </c>
      <c r="U4" s="172" t="s">
        <v>67</v>
      </c>
      <c r="V4" s="173" t="s">
        <v>72</v>
      </c>
      <c r="W4" s="172" t="s">
        <v>73</v>
      </c>
    </row>
    <row r="5" spans="3:23" x14ac:dyDescent="0.35">
      <c r="C5" s="168" t="s">
        <v>48</v>
      </c>
      <c r="D5" s="169">
        <v>13473</v>
      </c>
      <c r="E5" s="169">
        <v>0</v>
      </c>
      <c r="F5" s="169">
        <v>0</v>
      </c>
      <c r="G5" s="169">
        <v>-13.46</v>
      </c>
      <c r="H5" s="170">
        <v>6827000</v>
      </c>
      <c r="I5" s="170">
        <v>6827000</v>
      </c>
      <c r="J5" s="170">
        <v>12200000</v>
      </c>
      <c r="L5">
        <f>($F$10-F5)^2+($G$10-G5)^2</f>
        <v>12.744002154871273</v>
      </c>
      <c r="M5">
        <f>($E$10-E5)^2+($G$10-G5)^2</f>
        <v>12.744106456656743</v>
      </c>
      <c r="N5">
        <f>($E$10-E5)^2+($F$10-F5)^2</f>
        <v>1.0430178546960234E-4</v>
      </c>
      <c r="O5">
        <f>ABS($E$10-E5)*ABS($G$10-G5)</f>
        <v>3.6458499403863753E-2</v>
      </c>
      <c r="P5" s="166">
        <f>D5*L5</f>
        <v>171699.94103258065</v>
      </c>
      <c r="Q5" s="166">
        <f>P5+H5</f>
        <v>6998699.941032581</v>
      </c>
      <c r="R5">
        <f>D5*M5</f>
        <v>171701.34629053631</v>
      </c>
      <c r="S5" s="166">
        <f>R5+I5</f>
        <v>6998701.3462905362</v>
      </c>
      <c r="T5">
        <f>D5*N5</f>
        <v>1.4052579556319524</v>
      </c>
      <c r="U5" s="166">
        <f>T5+J5</f>
        <v>12200001.405257955</v>
      </c>
      <c r="V5">
        <f>O5*D5</f>
        <v>491.20536246825634</v>
      </c>
      <c r="W5">
        <f>SQRT(H5^2+J5^2)</f>
        <v>13980269.27494603</v>
      </c>
    </row>
    <row r="6" spans="3:23" x14ac:dyDescent="0.35">
      <c r="C6" s="168" t="s">
        <v>49</v>
      </c>
      <c r="D6" s="169">
        <v>249.71799999999999</v>
      </c>
      <c r="E6" s="169">
        <v>0</v>
      </c>
      <c r="F6" s="169">
        <v>0</v>
      </c>
      <c r="G6" s="169">
        <v>43.317999999999998</v>
      </c>
      <c r="H6" s="170">
        <v>120600</v>
      </c>
      <c r="I6" s="170">
        <v>120600</v>
      </c>
      <c r="J6" s="170">
        <v>1818.39</v>
      </c>
      <c r="L6">
        <f t="shared" ref="L6:L7" si="0">($F$10-F6)^2+($G$10-G6)^2</f>
        <v>2831.1046459163736</v>
      </c>
      <c r="M6">
        <f>($E$10-E6)^2+($G$10-G6)^2</f>
        <v>2831.1047502181591</v>
      </c>
      <c r="N6">
        <f t="shared" ref="N6:N8" si="1">($E$10-E6)^2+($F$10-F6)^2</f>
        <v>1.0430178546960234E-4</v>
      </c>
      <c r="O6">
        <f t="shared" ref="O6:O7" si="2">ABS($E$10-E6)*ABS($G$10-G6)</f>
        <v>0.54340525339783396</v>
      </c>
      <c r="P6" s="166">
        <f t="shared" ref="P6:P8" si="3">D6*L6</f>
        <v>706977.78996894497</v>
      </c>
      <c r="Q6" s="166">
        <f t="shared" ref="Q6:Q8" si="4">P6+H6</f>
        <v>827577.78996894497</v>
      </c>
      <c r="R6">
        <f t="shared" ref="R6:R8" si="5">D6*M6</f>
        <v>706977.81601497822</v>
      </c>
      <c r="S6" s="166">
        <f t="shared" ref="S6:S8" si="6">R6+I6</f>
        <v>827577.81601497822</v>
      </c>
      <c r="T6">
        <f t="shared" ref="T6:T8" si="7">D6*N6</f>
        <v>2.6046033263898156E-2</v>
      </c>
      <c r="U6" s="166">
        <f t="shared" ref="U6:U8" si="8">T6+J6</f>
        <v>1818.4160460332639</v>
      </c>
      <c r="V6">
        <f t="shared" ref="V6" si="9">O6*D6</f>
        <v>135.6980730680003</v>
      </c>
      <c r="W6">
        <f t="shared" ref="W6:W8" si="10">SQRT(H6^2+J6^2)</f>
        <v>120613.70793650323</v>
      </c>
    </row>
    <row r="7" spans="3:23" x14ac:dyDescent="0.35">
      <c r="C7" s="168" t="s">
        <v>50</v>
      </c>
      <c r="D7" s="169">
        <v>240</v>
      </c>
      <c r="E7" s="169">
        <v>1.9</v>
      </c>
      <c r="F7" s="169">
        <v>0</v>
      </c>
      <c r="G7" s="169">
        <v>89.35</v>
      </c>
      <c r="H7" s="167">
        <v>350.02</v>
      </c>
      <c r="I7" s="167">
        <v>5409.97</v>
      </c>
      <c r="J7" s="167">
        <v>2607.89</v>
      </c>
      <c r="L7">
        <f t="shared" si="0"/>
        <v>9848.6025590409899</v>
      </c>
      <c r="M7">
        <f t="shared" ref="M7:M8" si="11">($E$10-E7)^2+($G$10-G7)^2</f>
        <v>9852.2514720760992</v>
      </c>
      <c r="N7">
        <f t="shared" si="1"/>
        <v>3.6489130351090537</v>
      </c>
      <c r="O7">
        <f t="shared" si="2"/>
        <v>189.56976092007145</v>
      </c>
      <c r="P7" s="166">
        <f t="shared" si="3"/>
        <v>2363664.6141698374</v>
      </c>
      <c r="Q7" s="166">
        <f t="shared" si="4"/>
        <v>2364014.6341698375</v>
      </c>
      <c r="R7">
        <f t="shared" si="5"/>
        <v>2364540.3532982636</v>
      </c>
      <c r="S7" s="166">
        <f t="shared" si="6"/>
        <v>2369950.3232982638</v>
      </c>
      <c r="T7">
        <f t="shared" si="7"/>
        <v>875.7391284261729</v>
      </c>
      <c r="U7" s="166">
        <f t="shared" si="8"/>
        <v>3483.6291284261729</v>
      </c>
      <c r="V7">
        <f>O7*D7</f>
        <v>45496.742620817146</v>
      </c>
      <c r="W7">
        <f t="shared" si="10"/>
        <v>2631.2742640211413</v>
      </c>
    </row>
    <row r="8" spans="3:23" x14ac:dyDescent="0.35">
      <c r="C8" s="168" t="s">
        <v>51</v>
      </c>
      <c r="D8" s="169">
        <v>110</v>
      </c>
      <c r="E8" s="169">
        <v>-5.4520200000000001</v>
      </c>
      <c r="F8" s="169">
        <v>0</v>
      </c>
      <c r="G8" s="169">
        <v>90.039500000000004</v>
      </c>
      <c r="H8" s="167">
        <v>19550</v>
      </c>
      <c r="I8" s="167">
        <v>19550</v>
      </c>
      <c r="J8" s="167">
        <v>39060</v>
      </c>
      <c r="L8">
        <f>($F$10-F8)^2+($G$10-G8)^2</f>
        <v>9985.9301027013898</v>
      </c>
      <c r="M8">
        <f t="shared" si="11"/>
        <v>10015.543368036073</v>
      </c>
      <c r="N8">
        <f t="shared" si="1"/>
        <v>29.613265334682918</v>
      </c>
      <c r="O8">
        <f>ABS($E$10-E8)*ABS($G$10-G8)</f>
        <v>543.79775445002861</v>
      </c>
      <c r="P8" s="166">
        <f t="shared" si="3"/>
        <v>1098452.3112971529</v>
      </c>
      <c r="Q8" s="166">
        <f t="shared" si="4"/>
        <v>1118002.3112971529</v>
      </c>
      <c r="R8">
        <f t="shared" si="5"/>
        <v>1101709.7704839681</v>
      </c>
      <c r="S8" s="166">
        <f t="shared" si="6"/>
        <v>1121259.7704839681</v>
      </c>
      <c r="T8">
        <f t="shared" si="7"/>
        <v>3257.459186815121</v>
      </c>
      <c r="U8" s="166">
        <f t="shared" si="8"/>
        <v>42317.459186815118</v>
      </c>
      <c r="V8">
        <f>O8*D8</f>
        <v>59817.752989503148</v>
      </c>
      <c r="W8">
        <f t="shared" si="10"/>
        <v>43679.355535538751</v>
      </c>
    </row>
    <row r="9" spans="3:23" x14ac:dyDescent="0.35">
      <c r="P9" s="166"/>
      <c r="Q9" s="166">
        <f>SUM(Q5:Q8)</f>
        <v>11308294.676468516</v>
      </c>
      <c r="S9" s="166">
        <f>SUM(S5:S8)</f>
        <v>11317489.256087746</v>
      </c>
      <c r="T9" s="166"/>
      <c r="U9" s="166">
        <f>SUM(U5:U8)</f>
        <v>12247620.909619229</v>
      </c>
      <c r="V9" s="166">
        <f>SUM(V5:V8)</f>
        <v>105941.39904585655</v>
      </c>
      <c r="W9" s="166">
        <f>SUM(W5:W8)</f>
        <v>14147193.612682093</v>
      </c>
    </row>
    <row r="10" spans="3:23" x14ac:dyDescent="0.35">
      <c r="C10" s="168" t="s">
        <v>56</v>
      </c>
      <c r="D10" s="167">
        <f>SUM(D5:D8)</f>
        <v>14072.718000000001</v>
      </c>
      <c r="E10" s="167">
        <f>(E5*$D$5+E6*$D$6+E7*$D$7+E8*$D$8)/$D$10</f>
        <v>-1.021282455883789E-2</v>
      </c>
      <c r="F10" s="167">
        <f t="shared" ref="F10:G10" si="12">(F5*$D$5+F6*$D$6+F7*$D$7+F8*$D$8)/$D$10</f>
        <v>0</v>
      </c>
      <c r="G10" s="167">
        <f t="shared" si="12"/>
        <v>-9.8901257508322136</v>
      </c>
      <c r="H10" s="166">
        <f>Q9</f>
        <v>11308294.676468516</v>
      </c>
      <c r="P10" s="166"/>
    </row>
    <row r="11" spans="3:23" x14ac:dyDescent="0.35">
      <c r="I11" s="166">
        <f>S9</f>
        <v>11317489.256087746</v>
      </c>
      <c r="V11" s="166"/>
    </row>
    <row r="12" spans="3:23" x14ac:dyDescent="0.35">
      <c r="J12" s="166">
        <f>U9</f>
        <v>12247620.909619229</v>
      </c>
      <c r="V12" s="174"/>
      <c r="W12" s="166">
        <f>W9-V9</f>
        <v>14041252.213636236</v>
      </c>
    </row>
    <row r="15" spans="3:23" x14ac:dyDescent="0.35">
      <c r="H15" s="166"/>
    </row>
    <row r="16" spans="3:23" x14ac:dyDescent="0.35">
      <c r="H16" s="166"/>
    </row>
  </sheetData>
  <mergeCells count="2">
    <mergeCell ref="D3:G3"/>
    <mergeCell ref="H3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Inertia subtraction</vt:lpstr>
      <vt:lpstr>Hydro stiffness</vt:lpstr>
      <vt:lpstr>Inertia subtraction RWT</vt:lpstr>
      <vt:lpstr>Hydro stiffness RWT</vt:lpstr>
      <vt:lpstr>Inertia IEA-15-240-RWT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Orcina</dc:creator>
  <cp:lastModifiedBy>Stephan Østergaard</cp:lastModifiedBy>
  <dcterms:created xsi:type="dcterms:W3CDTF">2017-02-07T09:45:33Z</dcterms:created>
  <dcterms:modified xsi:type="dcterms:W3CDTF">2021-02-18T20:04:37Z</dcterms:modified>
</cp:coreProperties>
</file>