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NC State\CE 588\"/>
    </mc:Choice>
  </mc:AlternateContent>
  <xr:revisionPtr revIDLastSave="0" documentId="13_ncr:1_{ED0A42A4-5452-41D7-BCDD-D110826D9604}" xr6:coauthVersionLast="47" xr6:coauthVersionMax="47" xr10:uidLastSave="{00000000-0000-0000-0000-000000000000}"/>
  <bookViews>
    <workbookView xWindow="-108" yWindow="-108" windowWidth="23256" windowHeight="12576" xr2:uid="{64460910-67F5-470C-9B9D-0FF96A76D162}"/>
  </bookViews>
  <sheets>
    <sheet name="Problem 1" sheetId="1" r:id="rId1"/>
    <sheet name="Problem 2-A" sheetId="2" r:id="rId2"/>
    <sheet name="Problem 2-B Table" sheetId="3" r:id="rId3"/>
    <sheet name="Problem 2-C" sheetId="4" r:id="rId4"/>
    <sheet name="Problem 2-C Table" sheetId="5" r:id="rId5"/>
  </sheets>
  <definedNames>
    <definedName name="solver_adj" localSheetId="0" hidden="1">'Problem 1'!$C$11:$C$15</definedName>
    <definedName name="solver_adj" localSheetId="1" hidden="1">'Problem 2-A'!$R$15:$R$17,'Problem 2-A'!$F$3:$F$12</definedName>
    <definedName name="solver_adj" localSheetId="3" hidden="1">'Problem 2-C'!$O$15:$O$17,'Problem 2-C'!$O$2:$O$12,'Problem 2-C'!$L$2:$L$12</definedName>
    <definedName name="solver_cvg" localSheetId="0" hidden="1">0.0001</definedName>
    <definedName name="solver_cvg" localSheetId="1" hidden="1">0.001</definedName>
    <definedName name="solver_cvg" localSheetId="3" hidden="1">0.001</definedName>
    <definedName name="solver_drv" localSheetId="0" hidden="1">2</definedName>
    <definedName name="solver_drv" localSheetId="1" hidden="1">2</definedName>
    <definedName name="solver_drv" localSheetId="3" hidden="1">2</definedName>
    <definedName name="solver_eng" localSheetId="0" hidden="1">1</definedName>
    <definedName name="solver_eng" localSheetId="1" hidden="1">1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lhs0" localSheetId="1" hidden="1">'Problem 2-A'!$G$24</definedName>
    <definedName name="solver_lhs0" localSheetId="3" hidden="1">'Problem 2-C'!#REF!</definedName>
    <definedName name="solver_lhs1" localSheetId="0" hidden="1">'Problem 1'!$C$18</definedName>
    <definedName name="solver_lhs1" localSheetId="1" hidden="1">'Problem 2-A'!$C$20</definedName>
    <definedName name="solver_lhs1" localSheetId="3" hidden="1">'Problem 2-C'!$C$16</definedName>
    <definedName name="solver_lhs10" localSheetId="1" hidden="1">'Problem 2-A'!$G$17</definedName>
    <definedName name="solver_lhs10" localSheetId="3" hidden="1">'Problem 2-C'!$C$24</definedName>
    <definedName name="solver_lhs11" localSheetId="1" hidden="1">'Problem 2-A'!$G$22</definedName>
    <definedName name="solver_lhs11" localSheetId="3" hidden="1">'Problem 2-C'!$G$22</definedName>
    <definedName name="solver_lhs12" localSheetId="1" hidden="1">'Problem 2-A'!$G$19</definedName>
    <definedName name="solver_lhs12" localSheetId="3" hidden="1">'Problem 2-C'!$C$25</definedName>
    <definedName name="solver_lhs13" localSheetId="1" hidden="1">'Problem 2-A'!$G$16</definedName>
    <definedName name="solver_lhs13" localSheetId="3" hidden="1">'Problem 2-C'!$G$21</definedName>
    <definedName name="solver_lhs14" localSheetId="1" hidden="1">'Problem 2-A'!$C$22</definedName>
    <definedName name="solver_lhs14" localSheetId="3" hidden="1">'Problem 2-C'!$G$16</definedName>
    <definedName name="solver_lhs15" localSheetId="1" hidden="1">'Problem 2-A'!$G$24</definedName>
    <definedName name="solver_lhs15" localSheetId="3" hidden="1">'Problem 2-C'!$G$20</definedName>
    <definedName name="solver_lhs16" localSheetId="1" hidden="1">'Problem 2-A'!$G$23</definedName>
    <definedName name="solver_lhs16" localSheetId="3" hidden="1">'Problem 2-C'!$C$21</definedName>
    <definedName name="solver_lhs17" localSheetId="1" hidden="1">'Problem 2-A'!$G$18</definedName>
    <definedName name="solver_lhs17" localSheetId="3" hidden="1">'Problem 2-C'!$G$25</definedName>
    <definedName name="solver_lhs18" localSheetId="1" hidden="1">'Problem 2-A'!$G$32</definedName>
    <definedName name="solver_lhs18" localSheetId="3" hidden="1">'Problem 2-C'!$G$24</definedName>
    <definedName name="solver_lhs19" localSheetId="1" hidden="1">'Problem 2-A'!$G$26</definedName>
    <definedName name="solver_lhs19" localSheetId="3" hidden="1">'Problem 2-C'!$G$17</definedName>
    <definedName name="solver_lhs2" localSheetId="0" hidden="1">'Problem 1'!$C$19</definedName>
    <definedName name="solver_lhs2" localSheetId="1" hidden="1">'Problem 2-A'!$C$21</definedName>
    <definedName name="solver_lhs2" localSheetId="3" hidden="1">'Problem 2-C'!$C$17</definedName>
    <definedName name="solver_lhs20" localSheetId="1" hidden="1">'Problem 2-A'!$G$25</definedName>
    <definedName name="solver_lhs20" localSheetId="3" hidden="1">'Problem 2-C'!$G$23</definedName>
    <definedName name="solver_lhs21" localSheetId="1" hidden="1">'Problem 2-A'!$G$20</definedName>
    <definedName name="solver_lhs21" localSheetId="3" hidden="1">'Problem 2-C'!$C$19</definedName>
    <definedName name="solver_lhs22" localSheetId="1" hidden="1">'Problem 2-A'!$G$33</definedName>
    <definedName name="solver_lhs22" localSheetId="3" hidden="1">'Problem 2-C'!$G$26</definedName>
    <definedName name="solver_lhs23" localSheetId="1" hidden="1">'Problem 2-A'!$G$27</definedName>
    <definedName name="solver_lhs23" localSheetId="3" hidden="1">'Problem 2-C'!$C$25</definedName>
    <definedName name="solver_lhs24" localSheetId="1" hidden="1">'Problem 2-A'!$G$28</definedName>
    <definedName name="solver_lhs24" localSheetId="3" hidden="1">'Problem 2-C'!#REF!</definedName>
    <definedName name="solver_lhs25" localSheetId="1" hidden="1">'Problem 2-A'!$G$29</definedName>
    <definedName name="solver_lhs25" localSheetId="3" hidden="1">'Problem 2-C'!$C$26</definedName>
    <definedName name="solver_lhs26" localSheetId="1" hidden="1">'Problem 2-A'!$G$30</definedName>
    <definedName name="solver_lhs26" localSheetId="3" hidden="1">'Problem 2-C'!#REF!</definedName>
    <definedName name="solver_lhs27" localSheetId="1" hidden="1">'Problem 2-A'!$G$21</definedName>
    <definedName name="solver_lhs27" localSheetId="3" hidden="1">'Problem 2-C'!#REF!</definedName>
    <definedName name="solver_lhs28" localSheetId="1" hidden="1">'Problem 2-A'!$G$36</definedName>
    <definedName name="solver_lhs28" localSheetId="3" hidden="1">'Problem 2-C'!#REF!</definedName>
    <definedName name="solver_lhs29" localSheetId="1" hidden="1">'Problem 2-A'!$G$35</definedName>
    <definedName name="solver_lhs29" localSheetId="3" hidden="1">'Problem 2-C'!#REF!</definedName>
    <definedName name="solver_lhs3" localSheetId="0" hidden="1">'Problem 1'!$C$20</definedName>
    <definedName name="solver_lhs3" localSheetId="1" hidden="1">'Problem 2-A'!$C$18</definedName>
    <definedName name="solver_lhs3" localSheetId="3" hidden="1">'Problem 2-C'!$C$20</definedName>
    <definedName name="solver_lhs30" localSheetId="1" hidden="1">'Problem 2-A'!$G$31</definedName>
    <definedName name="solver_lhs30" localSheetId="3" hidden="1">'Problem 2-C'!#REF!</definedName>
    <definedName name="solver_lhs31" localSheetId="1" hidden="1">'Problem 2-A'!$G$34</definedName>
    <definedName name="solver_lhs31" localSheetId="3" hidden="1">'Problem 2-C'!$C$24</definedName>
    <definedName name="solver_lhs32" localSheetId="1" hidden="1">'Problem 2-A'!$C$17</definedName>
    <definedName name="solver_lhs32" localSheetId="3" hidden="1">'Problem 2-C'!$C$23</definedName>
    <definedName name="solver_lhs33" localSheetId="1" hidden="1">'Problem 2-A'!$G$37</definedName>
    <definedName name="solver_lhs33" localSheetId="3" hidden="1">'Problem 2-C'!#REF!</definedName>
    <definedName name="solver_lhs4" localSheetId="0" hidden="1">'Problem 1'!$C$21</definedName>
    <definedName name="solver_lhs4" localSheetId="1" hidden="1">'Problem 2-A'!$C$24</definedName>
    <definedName name="solver_lhs4" localSheetId="3" hidden="1">'Problem 2-C'!$C$18</definedName>
    <definedName name="solver_lhs5" localSheetId="0" hidden="1">'Problem 1'!$C$22</definedName>
    <definedName name="solver_lhs5" localSheetId="1" hidden="1">'Problem 2-A'!$C$23</definedName>
    <definedName name="solver_lhs5" localSheetId="3" hidden="1">'Problem 2-C'!$C$23</definedName>
    <definedName name="solver_lhs6" localSheetId="1" hidden="1">'Problem 2-A'!$C$19</definedName>
    <definedName name="solver_lhs6" localSheetId="3" hidden="1">'Problem 2-C'!$C$22</definedName>
    <definedName name="solver_lhs7" localSheetId="1" hidden="1">'Problem 2-A'!$C$25</definedName>
    <definedName name="solver_lhs7" localSheetId="3" hidden="1">'Problem 2-C'!$C$26</definedName>
    <definedName name="solver_lhs8" localSheetId="1" hidden="1">'Problem 2-A'!$C$26</definedName>
    <definedName name="solver_lhs8" localSheetId="3" hidden="1">'Problem 2-C'!$G$19</definedName>
    <definedName name="solver_lhs9" localSheetId="1" hidden="1">'Problem 2-A'!$C$16</definedName>
    <definedName name="solver_lhs9" localSheetId="3" hidden="1">'Problem 2-C'!$G$18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5</definedName>
    <definedName name="solver_num" localSheetId="1" hidden="1">33</definedName>
    <definedName name="solver_num" localSheetId="3" hidden="1">22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0" hidden="1">'Problem 1'!$I$11</definedName>
    <definedName name="solver_opt" localSheetId="1" hidden="1">'Problem 2-A'!$O$16</definedName>
    <definedName name="solver_opt" localSheetId="3" hidden="1">'Problem 2-C'!$L$16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2</definedName>
    <definedName name="solver_rbv" localSheetId="1" hidden="1">2</definedName>
    <definedName name="solver_rbv" localSheetId="3" hidden="1">2</definedName>
    <definedName name="solver_rel0" localSheetId="1" hidden="1">3</definedName>
    <definedName name="solver_rel0" localSheetId="3" hidden="1">3</definedName>
    <definedName name="solver_rel1" localSheetId="0" hidden="1">2</definedName>
    <definedName name="solver_rel1" localSheetId="1" hidden="1">1</definedName>
    <definedName name="solver_rel1" localSheetId="3" hidden="1">1</definedName>
    <definedName name="solver_rel10" localSheetId="1" hidden="1">3</definedName>
    <definedName name="solver_rel10" localSheetId="3" hidden="1">3</definedName>
    <definedName name="solver_rel11" localSheetId="1" hidden="1">3</definedName>
    <definedName name="solver_rel11" localSheetId="3" hidden="1">2</definedName>
    <definedName name="solver_rel12" localSheetId="1" hidden="1">3</definedName>
    <definedName name="solver_rel12" localSheetId="3" hidden="1">3</definedName>
    <definedName name="solver_rel13" localSheetId="1" hidden="1">3</definedName>
    <definedName name="solver_rel13" localSheetId="3" hidden="1">2</definedName>
    <definedName name="solver_rel14" localSheetId="1" hidden="1">3</definedName>
    <definedName name="solver_rel14" localSheetId="3" hidden="1">2</definedName>
    <definedName name="solver_rel15" localSheetId="1" hidden="1">3</definedName>
    <definedName name="solver_rel15" localSheetId="3" hidden="1">2</definedName>
    <definedName name="solver_rel16" localSheetId="1" hidden="1">3</definedName>
    <definedName name="solver_rel16" localSheetId="3" hidden="1">3</definedName>
    <definedName name="solver_rel17" localSheetId="1" hidden="1">3</definedName>
    <definedName name="solver_rel17" localSheetId="3" hidden="1">2</definedName>
    <definedName name="solver_rel18" localSheetId="1" hidden="1">1</definedName>
    <definedName name="solver_rel18" localSheetId="3" hidden="1">2</definedName>
    <definedName name="solver_rel19" localSheetId="1" hidden="1">3</definedName>
    <definedName name="solver_rel19" localSheetId="3" hidden="1">2</definedName>
    <definedName name="solver_rel2" localSheetId="0" hidden="1">2</definedName>
    <definedName name="solver_rel2" localSheetId="1" hidden="1">3</definedName>
    <definedName name="solver_rel2" localSheetId="3" hidden="1">1</definedName>
    <definedName name="solver_rel20" localSheetId="1" hidden="1">3</definedName>
    <definedName name="solver_rel20" localSheetId="3" hidden="1">2</definedName>
    <definedName name="solver_rel21" localSheetId="1" hidden="1">3</definedName>
    <definedName name="solver_rel21" localSheetId="3" hidden="1">1</definedName>
    <definedName name="solver_rel22" localSheetId="1" hidden="1">1</definedName>
    <definedName name="solver_rel22" localSheetId="3" hidden="1">2</definedName>
    <definedName name="solver_rel23" localSheetId="1" hidden="1">1</definedName>
    <definedName name="solver_rel23" localSheetId="3" hidden="1">3</definedName>
    <definedName name="solver_rel24" localSheetId="1" hidden="1">1</definedName>
    <definedName name="solver_rel24" localSheetId="3" hidden="1">1</definedName>
    <definedName name="solver_rel25" localSheetId="1" hidden="1">1</definedName>
    <definedName name="solver_rel25" localSheetId="3" hidden="1">3</definedName>
    <definedName name="solver_rel26" localSheetId="1" hidden="1">1</definedName>
    <definedName name="solver_rel26" localSheetId="3" hidden="1">1</definedName>
    <definedName name="solver_rel27" localSheetId="1" hidden="1">3</definedName>
    <definedName name="solver_rel27" localSheetId="3" hidden="1">3</definedName>
    <definedName name="solver_rel28" localSheetId="1" hidden="1">1</definedName>
    <definedName name="solver_rel28" localSheetId="3" hidden="1">3</definedName>
    <definedName name="solver_rel29" localSheetId="1" hidden="1">1</definedName>
    <definedName name="solver_rel29" localSheetId="3" hidden="1">3</definedName>
    <definedName name="solver_rel3" localSheetId="0" hidden="1">2</definedName>
    <definedName name="solver_rel3" localSheetId="1" hidden="1">1</definedName>
    <definedName name="solver_rel3" localSheetId="3" hidden="1">1</definedName>
    <definedName name="solver_rel30" localSheetId="1" hidden="1">1</definedName>
    <definedName name="solver_rel30" localSheetId="3" hidden="1">3</definedName>
    <definedName name="solver_rel31" localSheetId="1" hidden="1">1</definedName>
    <definedName name="solver_rel31" localSheetId="3" hidden="1">3</definedName>
    <definedName name="solver_rel32" localSheetId="1" hidden="1">1</definedName>
    <definedName name="solver_rel32" localSheetId="3" hidden="1">3</definedName>
    <definedName name="solver_rel33" localSheetId="1" hidden="1">1</definedName>
    <definedName name="solver_rel33" localSheetId="3" hidden="1">3</definedName>
    <definedName name="solver_rel4" localSheetId="0" hidden="1">2</definedName>
    <definedName name="solver_rel4" localSheetId="1" hidden="1">3</definedName>
    <definedName name="solver_rel4" localSheetId="3" hidden="1">1</definedName>
    <definedName name="solver_rel5" localSheetId="0" hidden="1">2</definedName>
    <definedName name="solver_rel5" localSheetId="1" hidden="1">3</definedName>
    <definedName name="solver_rel5" localSheetId="3" hidden="1">3</definedName>
    <definedName name="solver_rel6" localSheetId="1" hidden="1">1</definedName>
    <definedName name="solver_rel6" localSheetId="3" hidden="1">3</definedName>
    <definedName name="solver_rel7" localSheetId="1" hidden="1">3</definedName>
    <definedName name="solver_rel7" localSheetId="3" hidden="1">3</definedName>
    <definedName name="solver_rel8" localSheetId="1" hidden="1">3</definedName>
    <definedName name="solver_rel8" localSheetId="3" hidden="1">2</definedName>
    <definedName name="solver_rel9" localSheetId="1" hidden="1">1</definedName>
    <definedName name="solver_rel9" localSheetId="3" hidden="1">2</definedName>
    <definedName name="solver_rhs0" localSheetId="1" hidden="1">'Problem 2-A'!$I$24</definedName>
    <definedName name="solver_rhs0" localSheetId="3" hidden="1">'Problem 2-C'!#REF!</definedName>
    <definedName name="solver_rhs1" localSheetId="0" hidden="1">'Problem 1'!$E$18</definedName>
    <definedName name="solver_rhs1" localSheetId="1" hidden="1">'Problem 2-A'!$E$20</definedName>
    <definedName name="solver_rhs1" localSheetId="3" hidden="1">'Problem 2-C'!$E$16</definedName>
    <definedName name="solver_rhs10" localSheetId="1" hidden="1">'Problem 2-A'!$I$17</definedName>
    <definedName name="solver_rhs10" localSheetId="3" hidden="1">'Problem 2-C'!$E$24</definedName>
    <definedName name="solver_rhs11" localSheetId="1" hidden="1">'Problem 2-A'!$I$22</definedName>
    <definedName name="solver_rhs11" localSheetId="3" hidden="1">'Problem 2-C'!$I$22</definedName>
    <definedName name="solver_rhs12" localSheetId="1" hidden="1">'Problem 2-A'!$I$19</definedName>
    <definedName name="solver_rhs12" localSheetId="3" hidden="1">'Problem 2-C'!$E$25</definedName>
    <definedName name="solver_rhs13" localSheetId="1" hidden="1">'Problem 2-A'!$I$16</definedName>
    <definedName name="solver_rhs13" localSheetId="3" hidden="1">'Problem 2-C'!$I$21</definedName>
    <definedName name="solver_rhs14" localSheetId="1" hidden="1">'Problem 2-A'!$E$22</definedName>
    <definedName name="solver_rhs14" localSheetId="3" hidden="1">'Problem 2-C'!$I$16</definedName>
    <definedName name="solver_rhs15" localSheetId="1" hidden="1">'Problem 2-A'!$I$24</definedName>
    <definedName name="solver_rhs15" localSheetId="3" hidden="1">'Problem 2-C'!$I$20</definedName>
    <definedName name="solver_rhs16" localSheetId="1" hidden="1">'Problem 2-A'!$I$23</definedName>
    <definedName name="solver_rhs16" localSheetId="3" hidden="1">'Problem 2-C'!$E$21</definedName>
    <definedName name="solver_rhs17" localSheetId="1" hidden="1">'Problem 2-A'!$I$18</definedName>
    <definedName name="solver_rhs17" localSheetId="3" hidden="1">'Problem 2-C'!$I$25</definedName>
    <definedName name="solver_rhs18" localSheetId="1" hidden="1">'Problem 2-A'!$I$32</definedName>
    <definedName name="solver_rhs18" localSheetId="3" hidden="1">'Problem 2-C'!$I$24</definedName>
    <definedName name="solver_rhs19" localSheetId="1" hidden="1">'Problem 2-A'!$I$26</definedName>
    <definedName name="solver_rhs19" localSheetId="3" hidden="1">'Problem 2-C'!$I$17</definedName>
    <definedName name="solver_rhs2" localSheetId="0" hidden="1">'Problem 1'!$E$19</definedName>
    <definedName name="solver_rhs2" localSheetId="1" hidden="1">'Problem 2-A'!$E$21</definedName>
    <definedName name="solver_rhs2" localSheetId="3" hidden="1">'Problem 2-C'!$E$17</definedName>
    <definedName name="solver_rhs20" localSheetId="1" hidden="1">'Problem 2-A'!$I$25</definedName>
    <definedName name="solver_rhs20" localSheetId="3" hidden="1">'Problem 2-C'!$I$23</definedName>
    <definedName name="solver_rhs21" localSheetId="1" hidden="1">'Problem 2-A'!$I$20</definedName>
    <definedName name="solver_rhs21" localSheetId="3" hidden="1">'Problem 2-C'!$E$19</definedName>
    <definedName name="solver_rhs22" localSheetId="1" hidden="1">'Problem 2-A'!$I$33</definedName>
    <definedName name="solver_rhs22" localSheetId="3" hidden="1">'Problem 2-C'!$I$26</definedName>
    <definedName name="solver_rhs23" localSheetId="1" hidden="1">'Problem 2-A'!$I$26</definedName>
    <definedName name="solver_rhs23" localSheetId="3" hidden="1">'Problem 2-C'!$E$25</definedName>
    <definedName name="solver_rhs24" localSheetId="1" hidden="1">'Problem 2-A'!$I$28</definedName>
    <definedName name="solver_rhs24" localSheetId="3" hidden="1">'Problem 2-C'!#REF!</definedName>
    <definedName name="solver_rhs25" localSheetId="1" hidden="1">'Problem 2-A'!$I$29</definedName>
    <definedName name="solver_rhs25" localSheetId="3" hidden="1">'Problem 2-C'!$E$26</definedName>
    <definedName name="solver_rhs26" localSheetId="1" hidden="1">'Problem 2-A'!$I$30</definedName>
    <definedName name="solver_rhs26" localSheetId="3" hidden="1">'Problem 2-C'!#REF!</definedName>
    <definedName name="solver_rhs27" localSheetId="1" hidden="1">'Problem 2-A'!$I$21</definedName>
    <definedName name="solver_rhs27" localSheetId="3" hidden="1">'Problem 2-C'!#REF!</definedName>
    <definedName name="solver_rhs28" localSheetId="1" hidden="1">'Problem 2-A'!$I$36</definedName>
    <definedName name="solver_rhs28" localSheetId="3" hidden="1">'Problem 2-C'!#REF!</definedName>
    <definedName name="solver_rhs29" localSheetId="1" hidden="1">'Problem 2-A'!$I$35</definedName>
    <definedName name="solver_rhs29" localSheetId="3" hidden="1">'Problem 2-C'!#REF!</definedName>
    <definedName name="solver_rhs3" localSheetId="0" hidden="1">'Problem 1'!$E$20</definedName>
    <definedName name="solver_rhs3" localSheetId="1" hidden="1">'Problem 2-A'!$E$18</definedName>
    <definedName name="solver_rhs3" localSheetId="3" hidden="1">'Problem 2-C'!$E$20</definedName>
    <definedName name="solver_rhs30" localSheetId="1" hidden="1">'Problem 2-A'!$I$31</definedName>
    <definedName name="solver_rhs30" localSheetId="3" hidden="1">'Problem 2-C'!#REF!</definedName>
    <definedName name="solver_rhs31" localSheetId="1" hidden="1">'Problem 2-A'!$I$34</definedName>
    <definedName name="solver_rhs31" localSheetId="3" hidden="1">'Problem 2-C'!$E$24</definedName>
    <definedName name="solver_rhs32" localSheetId="1" hidden="1">'Problem 2-A'!$E$17</definedName>
    <definedName name="solver_rhs32" localSheetId="3" hidden="1">'Problem 2-C'!$E$23</definedName>
    <definedName name="solver_rhs33" localSheetId="1" hidden="1">'Problem 2-A'!$I$37</definedName>
    <definedName name="solver_rhs33" localSheetId="3" hidden="1">'Problem 2-C'!#REF!</definedName>
    <definedName name="solver_rhs4" localSheetId="0" hidden="1">'Problem 1'!$E$21</definedName>
    <definedName name="solver_rhs4" localSheetId="1" hidden="1">'Problem 2-A'!$E$24</definedName>
    <definedName name="solver_rhs4" localSheetId="3" hidden="1">'Problem 2-C'!$E$18</definedName>
    <definedName name="solver_rhs5" localSheetId="0" hidden="1">'Problem 1'!$E$22</definedName>
    <definedName name="solver_rhs5" localSheetId="1" hidden="1">'Problem 2-A'!$E$23</definedName>
    <definedName name="solver_rhs5" localSheetId="3" hidden="1">'Problem 2-C'!$E$23</definedName>
    <definedName name="solver_rhs6" localSheetId="1" hidden="1">'Problem 2-A'!$E$19</definedName>
    <definedName name="solver_rhs6" localSheetId="3" hidden="1">'Problem 2-C'!$E$22</definedName>
    <definedName name="solver_rhs7" localSheetId="1" hidden="1">'Problem 2-A'!$E$25</definedName>
    <definedName name="solver_rhs7" localSheetId="3" hidden="1">'Problem 2-C'!$E$26</definedName>
    <definedName name="solver_rhs8" localSheetId="1" hidden="1">'Problem 2-A'!$E$26</definedName>
    <definedName name="solver_rhs8" localSheetId="3" hidden="1">'Problem 2-C'!$I$19</definedName>
    <definedName name="solver_rhs9" localSheetId="1" hidden="1">'Problem 2-A'!$E$16</definedName>
    <definedName name="solver_rhs9" localSheetId="3" hidden="1">'Problem 2-C'!$I$18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200</definedName>
    <definedName name="solver_ssz" localSheetId="3" hidden="1">200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0" hidden="1">1</definedName>
    <definedName name="solver_typ" localSheetId="1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H16" i="5"/>
  <c r="H16" i="3"/>
  <c r="E16" i="3"/>
  <c r="O16" i="2"/>
  <c r="AA2" i="2"/>
  <c r="L16" i="4"/>
  <c r="AD3" i="4"/>
  <c r="AD4" i="4"/>
  <c r="AD5" i="4"/>
  <c r="AD6" i="4"/>
  <c r="AD7" i="4"/>
  <c r="AD8" i="4"/>
  <c r="AD9" i="4"/>
  <c r="AD10" i="4"/>
  <c r="AD11" i="4"/>
  <c r="AD12" i="4"/>
  <c r="AD2" i="4"/>
  <c r="X2" i="4"/>
  <c r="U3" i="4" s="1"/>
  <c r="G17" i="4"/>
  <c r="G18" i="4"/>
  <c r="G19" i="4"/>
  <c r="G20" i="4"/>
  <c r="G21" i="4"/>
  <c r="G22" i="4"/>
  <c r="G23" i="4"/>
  <c r="G24" i="4"/>
  <c r="G25" i="4"/>
  <c r="G26" i="4"/>
  <c r="G16" i="4"/>
  <c r="X3" i="4"/>
  <c r="X4" i="4"/>
  <c r="X5" i="4"/>
  <c r="X6" i="4"/>
  <c r="X7" i="4"/>
  <c r="X8" i="4"/>
  <c r="X9" i="4"/>
  <c r="X10" i="4"/>
  <c r="X11" i="4"/>
  <c r="X12" i="4"/>
  <c r="E26" i="4"/>
  <c r="E25" i="4"/>
  <c r="E24" i="4"/>
  <c r="E23" i="4"/>
  <c r="E22" i="4"/>
  <c r="E21" i="4"/>
  <c r="E20" i="4"/>
  <c r="E19" i="4"/>
  <c r="E18" i="4"/>
  <c r="E17" i="4"/>
  <c r="E16" i="4"/>
  <c r="L5" i="2"/>
  <c r="I17" i="2"/>
  <c r="L10" i="2"/>
  <c r="L2" i="2"/>
  <c r="G28" i="2"/>
  <c r="G29" i="2"/>
  <c r="G31" i="2"/>
  <c r="G32" i="2"/>
  <c r="G33" i="2"/>
  <c r="G34" i="2"/>
  <c r="G35" i="2"/>
  <c r="G36" i="2"/>
  <c r="G37" i="2"/>
  <c r="G27" i="2"/>
  <c r="U5" i="2"/>
  <c r="I16" i="2"/>
  <c r="G16" i="2"/>
  <c r="U2" i="2"/>
  <c r="R3" i="2" s="1"/>
  <c r="C16" i="2" s="1"/>
  <c r="I18" i="2"/>
  <c r="I19" i="2"/>
  <c r="I20" i="2"/>
  <c r="I21" i="2"/>
  <c r="I22" i="2"/>
  <c r="I23" i="2"/>
  <c r="I24" i="2"/>
  <c r="I25" i="2"/>
  <c r="G18" i="2"/>
  <c r="G19" i="2"/>
  <c r="G20" i="2"/>
  <c r="G21" i="2"/>
  <c r="G22" i="2"/>
  <c r="G23" i="2"/>
  <c r="G24" i="2"/>
  <c r="G25" i="2"/>
  <c r="G26" i="2"/>
  <c r="G17" i="2"/>
  <c r="AA3" i="2"/>
  <c r="U4" i="2"/>
  <c r="U3" i="2"/>
  <c r="L3" i="2"/>
  <c r="U6" i="2"/>
  <c r="U7" i="2"/>
  <c r="U8" i="2"/>
  <c r="U9" i="2"/>
  <c r="U10" i="2"/>
  <c r="U11" i="2"/>
  <c r="U12" i="2"/>
  <c r="AA9" i="2"/>
  <c r="L12" i="2"/>
  <c r="L6" i="2"/>
  <c r="AA10" i="2"/>
  <c r="E25" i="2"/>
  <c r="E26" i="2"/>
  <c r="E24" i="2"/>
  <c r="E22" i="2"/>
  <c r="E23" i="2"/>
  <c r="E21" i="2"/>
  <c r="E20" i="2"/>
  <c r="E17" i="2"/>
  <c r="E18" i="2"/>
  <c r="E19" i="2"/>
  <c r="AA4" i="2"/>
  <c r="AA8" i="2"/>
  <c r="L8" i="2"/>
  <c r="L9" i="2"/>
  <c r="AA12" i="2"/>
  <c r="L4" i="2"/>
  <c r="L2" i="1"/>
  <c r="C22" i="1" s="1"/>
  <c r="L3" i="1"/>
  <c r="E22" i="1" s="1"/>
  <c r="I11" i="1"/>
  <c r="E19" i="1"/>
  <c r="F12" i="1"/>
  <c r="F11" i="1"/>
  <c r="C20" i="1"/>
  <c r="C19" i="1"/>
  <c r="F6" i="1"/>
  <c r="L6" i="1" s="1"/>
  <c r="E21" i="1" s="1"/>
  <c r="F5" i="1"/>
  <c r="L5" i="1" s="1"/>
  <c r="C21" i="1" s="1"/>
  <c r="F4" i="1"/>
  <c r="F13" i="1" s="1"/>
  <c r="C16" i="4" l="1"/>
  <c r="U4" i="4"/>
  <c r="AA5" i="2"/>
  <c r="G30" i="2"/>
  <c r="R4" i="2"/>
  <c r="C17" i="2" s="1"/>
  <c r="L7" i="2"/>
  <c r="AA11" i="2"/>
  <c r="L11" i="2"/>
  <c r="AA6" i="2"/>
  <c r="AA7" i="2"/>
  <c r="L4" i="1"/>
  <c r="E18" i="1" s="1"/>
  <c r="C18" i="1"/>
  <c r="E20" i="1"/>
  <c r="C17" i="4" l="1"/>
  <c r="U5" i="4"/>
  <c r="R5" i="2"/>
  <c r="C18" i="4" l="1"/>
  <c r="U8" i="4"/>
  <c r="U6" i="4"/>
  <c r="C18" i="2"/>
  <c r="R6" i="2"/>
  <c r="R8" i="2"/>
  <c r="C22" i="2" s="1"/>
  <c r="C19" i="4" l="1"/>
  <c r="U7" i="4"/>
  <c r="C21" i="4" s="1"/>
  <c r="C22" i="4"/>
  <c r="U10" i="4"/>
  <c r="C19" i="2"/>
  <c r="R7" i="2"/>
  <c r="C21" i="2" s="1"/>
  <c r="R10" i="2"/>
  <c r="C20" i="2" s="1"/>
  <c r="C20" i="4" l="1"/>
  <c r="U12" i="4"/>
  <c r="U11" i="4"/>
  <c r="C24" i="4" s="1"/>
  <c r="U9" i="4"/>
  <c r="C23" i="4" s="1"/>
  <c r="R11" i="2"/>
  <c r="C24" i="2" s="1"/>
  <c r="R9" i="2"/>
  <c r="C23" i="2" s="1"/>
  <c r="R12" i="2"/>
  <c r="C25" i="2" s="1"/>
  <c r="U13" i="4" l="1"/>
  <c r="C26" i="4" s="1"/>
  <c r="C25" i="4"/>
  <c r="R13" i="2"/>
  <c r="C26" i="2" s="1"/>
</calcChain>
</file>

<file path=xl/sharedStrings.xml><?xml version="1.0" encoding="utf-8"?>
<sst xmlns="http://schemas.openxmlformats.org/spreadsheetml/2006/main" count="652" uniqueCount="217">
  <si>
    <t>H1</t>
  </si>
  <si>
    <t>H2</t>
  </si>
  <si>
    <t>H3</t>
  </si>
  <si>
    <t>H4</t>
  </si>
  <si>
    <t>H5</t>
  </si>
  <si>
    <t>El1</t>
  </si>
  <si>
    <t>El2</t>
  </si>
  <si>
    <t>El3</t>
  </si>
  <si>
    <t>El4</t>
  </si>
  <si>
    <t>El5</t>
  </si>
  <si>
    <t>Elp1</t>
  </si>
  <si>
    <t>Elp2</t>
  </si>
  <si>
    <t>f</t>
  </si>
  <si>
    <t>=</t>
  </si>
  <si>
    <t>D1</t>
  </si>
  <si>
    <t>D2</t>
  </si>
  <si>
    <t>D3</t>
  </si>
  <si>
    <t>D4</t>
  </si>
  <si>
    <t>D5</t>
  </si>
  <si>
    <t>L1</t>
  </si>
  <si>
    <t>L2</t>
  </si>
  <si>
    <t>L3</t>
  </si>
  <si>
    <t>L4</t>
  </si>
  <si>
    <t>L5</t>
  </si>
  <si>
    <t>K1</t>
  </si>
  <si>
    <t>K2</t>
  </si>
  <si>
    <t>K3</t>
  </si>
  <si>
    <t>K4</t>
  </si>
  <si>
    <t>K5</t>
  </si>
  <si>
    <t>Q1</t>
  </si>
  <si>
    <t>Q2</t>
  </si>
  <si>
    <t>Q3</t>
  </si>
  <si>
    <t>Q4</t>
  </si>
  <si>
    <t>Q5</t>
  </si>
  <si>
    <t>Hp1</t>
  </si>
  <si>
    <t>Hp2</t>
  </si>
  <si>
    <t>HL</t>
  </si>
  <si>
    <t>Cost</t>
  </si>
  <si>
    <t>Qt</t>
  </si>
  <si>
    <t>Hp1 + Hp2</t>
  </si>
  <si>
    <t>Q1+Q2</t>
  </si>
  <si>
    <t>Q4+Q5</t>
  </si>
  <si>
    <t>HGL 2,4</t>
  </si>
  <si>
    <t>HGL 2,5</t>
  </si>
  <si>
    <t>HGL 1,2</t>
  </si>
  <si>
    <t>HGL 1,1</t>
  </si>
  <si>
    <t>ft</t>
  </si>
  <si>
    <t>cfs</t>
  </si>
  <si>
    <r>
      <t>s/ft</t>
    </r>
    <r>
      <rPr>
        <vertAlign val="superscript"/>
        <sz val="11"/>
        <color theme="1"/>
        <rFont val="Calibri"/>
        <family val="2"/>
        <scheme val="minor"/>
      </rPr>
      <t>2</t>
    </r>
  </si>
  <si>
    <t>Z function - maximize</t>
  </si>
  <si>
    <t>El6</t>
  </si>
  <si>
    <t>El7</t>
  </si>
  <si>
    <t>El8</t>
  </si>
  <si>
    <t>El9</t>
  </si>
  <si>
    <t>El10</t>
  </si>
  <si>
    <t>El11</t>
  </si>
  <si>
    <r>
      <t>s/ft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</si>
  <si>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Z function - minimize</t>
  </si>
  <si>
    <t>$</t>
  </si>
  <si>
    <t>D12</t>
  </si>
  <si>
    <t>D23</t>
  </si>
  <si>
    <t>D34</t>
  </si>
  <si>
    <t>D45</t>
  </si>
  <si>
    <t>D36</t>
  </si>
  <si>
    <t>D68</t>
  </si>
  <si>
    <t>D87</t>
  </si>
  <si>
    <t>D89</t>
  </si>
  <si>
    <t>D10_11</t>
  </si>
  <si>
    <t>D8_10</t>
  </si>
  <si>
    <t>Q12</t>
  </si>
  <si>
    <t>Q23</t>
  </si>
  <si>
    <t>Q34</t>
  </si>
  <si>
    <t>Q45</t>
  </si>
  <si>
    <t>Q36</t>
  </si>
  <si>
    <t>Q68</t>
  </si>
  <si>
    <t>Q87</t>
  </si>
  <si>
    <t>Q89</t>
  </si>
  <si>
    <t>Q8_10</t>
  </si>
  <si>
    <t>Q10_11</t>
  </si>
  <si>
    <t>L12</t>
  </si>
  <si>
    <t>L23</t>
  </si>
  <si>
    <t>L34</t>
  </si>
  <si>
    <t>L45</t>
  </si>
  <si>
    <t>L36</t>
  </si>
  <si>
    <t>L68</t>
  </si>
  <si>
    <t>L87</t>
  </si>
  <si>
    <t>L89</t>
  </si>
  <si>
    <t>L8_10</t>
  </si>
  <si>
    <t>L10_11</t>
  </si>
  <si>
    <t>K12</t>
  </si>
  <si>
    <t>K23</t>
  </si>
  <si>
    <t>K34</t>
  </si>
  <si>
    <t>K45</t>
  </si>
  <si>
    <t>K36</t>
  </si>
  <si>
    <t>KL68</t>
  </si>
  <si>
    <t>K87</t>
  </si>
  <si>
    <t>K89</t>
  </si>
  <si>
    <t>K8_10</t>
  </si>
  <si>
    <t>K10_11</t>
  </si>
  <si>
    <t>D AVAIL</t>
  </si>
  <si>
    <t>Cost of Pipe</t>
  </si>
  <si>
    <t>Cost of P1</t>
  </si>
  <si>
    <t>Cost of P2/P3</t>
  </si>
  <si>
    <t>ft-in</t>
  </si>
  <si>
    <t>Hp3</t>
  </si>
  <si>
    <t>≤</t>
  </si>
  <si>
    <t>≥</t>
  </si>
  <si>
    <t>$8_10</t>
  </si>
  <si>
    <t>$10_11</t>
  </si>
  <si>
    <t>H6</t>
  </si>
  <si>
    <t>H7</t>
  </si>
  <si>
    <t>H8</t>
  </si>
  <si>
    <t>H9</t>
  </si>
  <si>
    <t>H10</t>
  </si>
  <si>
    <t>H11</t>
  </si>
  <si>
    <t>&lt;</t>
  </si>
  <si>
    <t>HL12</t>
  </si>
  <si>
    <t>HL23</t>
  </si>
  <si>
    <t>HL34</t>
  </si>
  <si>
    <t>HL45</t>
  </si>
  <si>
    <t>HL36</t>
  </si>
  <si>
    <t>HL68</t>
  </si>
  <si>
    <t>HL87</t>
  </si>
  <si>
    <t>HL89</t>
  </si>
  <si>
    <t>HL8_10</t>
  </si>
  <si>
    <t>HL10_11</t>
  </si>
  <si>
    <t>H0</t>
  </si>
  <si>
    <t>in</t>
  </si>
  <si>
    <r>
      <t>ΣkQ</t>
    </r>
    <r>
      <rPr>
        <vertAlign val="superscript"/>
        <sz val="11"/>
        <color theme="1"/>
        <rFont val="Calibri"/>
        <family val="2"/>
      </rPr>
      <t>2</t>
    </r>
  </si>
  <si>
    <t>El0</t>
  </si>
  <si>
    <t>D01</t>
  </si>
  <si>
    <t>L01</t>
  </si>
  <si>
    <t>K01</t>
  </si>
  <si>
    <t>Q01</t>
  </si>
  <si>
    <t>HL01</t>
  </si>
  <si>
    <t>D (ft)</t>
  </si>
  <si>
    <t>Pipe / Node</t>
  </si>
  <si>
    <t>0_1 / 1</t>
  </si>
  <si>
    <t>1_2 / 2</t>
  </si>
  <si>
    <t>2_3 / 3</t>
  </si>
  <si>
    <t>3_4 / 4</t>
  </si>
  <si>
    <t>4_5 / 5</t>
  </si>
  <si>
    <t>3_6 /6</t>
  </si>
  <si>
    <t>6_8 / 7</t>
  </si>
  <si>
    <t>8_7 / 8</t>
  </si>
  <si>
    <t>8_9 / 9</t>
  </si>
  <si>
    <t>8_10 / 10</t>
  </si>
  <si>
    <t>10_11 / 11</t>
  </si>
  <si>
    <t>H (ft)</t>
  </si>
  <si>
    <t>Cost ($)</t>
  </si>
  <si>
    <t>Continuous</t>
  </si>
  <si>
    <t>Standard</t>
  </si>
  <si>
    <t>Pump Head</t>
  </si>
  <si>
    <t>Hp1 (ft)</t>
  </si>
  <si>
    <t>Hp2 (ft)</t>
  </si>
  <si>
    <t>Hp3 (ft)</t>
  </si>
  <si>
    <t>My approach to finding standard sizes for pipe diameters was to convert each diameter to its closest standard size. If the continuous value was in the middle then I went for the lower value to hopefully save cost. I then looked at each head value that was not in spec and if it was too high then I used a smaller diameter to create more head loss and if it was too low I increased the diameter to decrease head loss. For node 1 this didn't work and I had to lower the pump head to get an in-spec value</t>
  </si>
  <si>
    <t>D01b</t>
  </si>
  <si>
    <t>D12b</t>
  </si>
  <si>
    <t>D23b</t>
  </si>
  <si>
    <t>D34b</t>
  </si>
  <si>
    <t>D45b</t>
  </si>
  <si>
    <t>D36b</t>
  </si>
  <si>
    <t>D68b</t>
  </si>
  <si>
    <t>D87b</t>
  </si>
  <si>
    <t>D89b</t>
  </si>
  <si>
    <t>D8_10b</t>
  </si>
  <si>
    <t>D10_11b</t>
  </si>
  <si>
    <t>D01a</t>
  </si>
  <si>
    <t>D12a</t>
  </si>
  <si>
    <t>D23a</t>
  </si>
  <si>
    <t>D34a</t>
  </si>
  <si>
    <t>D45a</t>
  </si>
  <si>
    <t>D36a</t>
  </si>
  <si>
    <t>D68a</t>
  </si>
  <si>
    <t>D87a</t>
  </si>
  <si>
    <t>D89a</t>
  </si>
  <si>
    <t>D8_10a</t>
  </si>
  <si>
    <t>D10_11a</t>
  </si>
  <si>
    <t>L01a</t>
  </si>
  <si>
    <t>L12a</t>
  </si>
  <si>
    <t>L23a</t>
  </si>
  <si>
    <t>L34a</t>
  </si>
  <si>
    <t>L45a</t>
  </si>
  <si>
    <t>L36a</t>
  </si>
  <si>
    <t>L68a</t>
  </si>
  <si>
    <t>L87a</t>
  </si>
  <si>
    <t>L89a</t>
  </si>
  <si>
    <t>L8_10a</t>
  </si>
  <si>
    <t>L10_11a</t>
  </si>
  <si>
    <t>L01b</t>
  </si>
  <si>
    <t>L12b</t>
  </si>
  <si>
    <t>L23b</t>
  </si>
  <si>
    <t>L34b</t>
  </si>
  <si>
    <t>L45b</t>
  </si>
  <si>
    <t>L36b</t>
  </si>
  <si>
    <t>L68b</t>
  </si>
  <si>
    <t>L87b</t>
  </si>
  <si>
    <t>L89b</t>
  </si>
  <si>
    <t>L8_10b</t>
  </si>
  <si>
    <t>L10_11b</t>
  </si>
  <si>
    <t>L01 a + b</t>
  </si>
  <si>
    <t>L12 a + b</t>
  </si>
  <si>
    <t>L23 a + b</t>
  </si>
  <si>
    <t>L34 a + b</t>
  </si>
  <si>
    <t>L45 a + b</t>
  </si>
  <si>
    <t>L36 a + b</t>
  </si>
  <si>
    <t>L68 a + b</t>
  </si>
  <si>
    <t>L87 a + b</t>
  </si>
  <si>
    <t>L89 a + b</t>
  </si>
  <si>
    <t>L810 a + b</t>
  </si>
  <si>
    <t>L1011 a + b</t>
  </si>
  <si>
    <t>L_a (ft)</t>
  </si>
  <si>
    <t>L_b (ft)</t>
  </si>
  <si>
    <t>D_a (ft)</t>
  </si>
  <si>
    <t>D_b (ft)</t>
  </si>
  <si>
    <t>Total 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</si>
</sst>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quotePrefix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quotePrefix="1" applyNumberForma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2" fontId="1" fillId="0" borderId="0" xfId="0" applyNumberFormat="1" applyFont="1"/>
    <xf numFmtId="6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1" fontId="0" fillId="0" borderId="1" xfId="0" quotePrefix="1" applyNumberFormat="1" applyBorder="1" applyAlignment="1">
      <alignment horizontal="left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right"/>
    </xf>
    <xf numFmtId="2" fontId="1" fillId="0" borderId="5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C095-DACB-4C4B-9EFC-7AF63F50F5B5}">
  <dimension ref="B2:O25"/>
  <sheetViews>
    <sheetView tabSelected="1" workbookViewId="0">
      <selection activeCell="U5" sqref="U5"/>
    </sheetView>
  </sheetViews>
  <sheetFormatPr defaultRowHeight="14.4" x14ac:dyDescent="0.3"/>
  <cols>
    <col min="2" max="2" width="9.33203125" bestFit="1" customWidth="1"/>
    <col min="3" max="3" width="9.6640625" customWidth="1"/>
    <col min="12" max="12" width="10.5546875" bestFit="1" customWidth="1"/>
  </cols>
  <sheetData>
    <row r="2" spans="2:15" ht="16.2" x14ac:dyDescent="0.3">
      <c r="B2" s="7" t="s">
        <v>5</v>
      </c>
      <c r="C2" s="7">
        <v>350</v>
      </c>
      <c r="D2" t="s">
        <v>46</v>
      </c>
      <c r="E2" s="7" t="s">
        <v>14</v>
      </c>
      <c r="F2" s="8">
        <v>1</v>
      </c>
      <c r="G2" s="2" t="s">
        <v>46</v>
      </c>
      <c r="H2" s="7" t="s">
        <v>19</v>
      </c>
      <c r="I2" s="7">
        <v>130</v>
      </c>
      <c r="J2" s="16" t="s">
        <v>46</v>
      </c>
      <c r="K2" s="7" t="s">
        <v>24</v>
      </c>
      <c r="L2" s="9">
        <f>($O$2*I2)/(F2*2*32.2*((F2/2)^2*PI())^2)</f>
        <v>6.5449708688218186E-2</v>
      </c>
      <c r="M2" s="18" t="s">
        <v>48</v>
      </c>
      <c r="N2" s="7" t="s">
        <v>12</v>
      </c>
      <c r="O2" s="7">
        <v>0.02</v>
      </c>
    </row>
    <row r="3" spans="2:15" ht="16.2" x14ac:dyDescent="0.3">
      <c r="B3" s="7" t="s">
        <v>6</v>
      </c>
      <c r="C3" s="7">
        <v>350</v>
      </c>
      <c r="D3" t="s">
        <v>46</v>
      </c>
      <c r="E3" s="7" t="s">
        <v>15</v>
      </c>
      <c r="F3" s="8">
        <v>1</v>
      </c>
      <c r="G3" s="2" t="s">
        <v>46</v>
      </c>
      <c r="H3" s="7" t="s">
        <v>20</v>
      </c>
      <c r="I3" s="7">
        <v>130</v>
      </c>
      <c r="J3" s="16" t="s">
        <v>46</v>
      </c>
      <c r="K3" s="7" t="s">
        <v>25</v>
      </c>
      <c r="L3" s="9">
        <f>($O$2*I3)/(F3*2*32.2*((F3/2)^2*PI())^2)</f>
        <v>6.5449708688218186E-2</v>
      </c>
      <c r="M3" t="s">
        <v>48</v>
      </c>
    </row>
    <row r="4" spans="2:15" ht="16.2" x14ac:dyDescent="0.3">
      <c r="B4" s="7" t="s">
        <v>8</v>
      </c>
      <c r="C4" s="7">
        <v>500</v>
      </c>
      <c r="D4" t="s">
        <v>46</v>
      </c>
      <c r="E4" s="7" t="s">
        <v>16</v>
      </c>
      <c r="F4" s="8">
        <f>18/12</f>
        <v>1.5</v>
      </c>
      <c r="G4" s="2" t="s">
        <v>46</v>
      </c>
      <c r="H4" s="7" t="s">
        <v>21</v>
      </c>
      <c r="I4" s="7">
        <v>10000</v>
      </c>
      <c r="J4" s="16" t="s">
        <v>46</v>
      </c>
      <c r="K4" s="7" t="s">
        <v>26</v>
      </c>
      <c r="L4" s="9">
        <f>($O$2*I4)/(F4*2*32.2*((F4/2)^2*PI())^2)</f>
        <v>0.66299166762360928</v>
      </c>
      <c r="M4" t="s">
        <v>48</v>
      </c>
    </row>
    <row r="5" spans="2:15" ht="16.2" x14ac:dyDescent="0.3">
      <c r="B5" s="7" t="s">
        <v>9</v>
      </c>
      <c r="C5" s="7">
        <v>475</v>
      </c>
      <c r="D5" t="s">
        <v>46</v>
      </c>
      <c r="E5" s="7" t="s">
        <v>17</v>
      </c>
      <c r="F5" s="8">
        <f>15/12</f>
        <v>1.25</v>
      </c>
      <c r="G5" s="2" t="s">
        <v>46</v>
      </c>
      <c r="H5" s="7" t="s">
        <v>22</v>
      </c>
      <c r="I5" s="7">
        <v>10000</v>
      </c>
      <c r="J5" s="16" t="s">
        <v>46</v>
      </c>
      <c r="K5" s="7" t="s">
        <v>27</v>
      </c>
      <c r="L5" s="9">
        <f>($O$2*I5)/(F5*2*32.2*((F5/2)^2*PI())^2)</f>
        <v>1.6497354263811796</v>
      </c>
      <c r="M5" t="s">
        <v>48</v>
      </c>
    </row>
    <row r="6" spans="2:15" ht="16.2" x14ac:dyDescent="0.3">
      <c r="B6" s="7" t="s">
        <v>10</v>
      </c>
      <c r="C6" s="7">
        <v>315</v>
      </c>
      <c r="D6" t="s">
        <v>46</v>
      </c>
      <c r="E6" s="7" t="s">
        <v>18</v>
      </c>
      <c r="F6" s="8">
        <f>10/12</f>
        <v>0.83333333333333337</v>
      </c>
      <c r="G6" s="2" t="s">
        <v>46</v>
      </c>
      <c r="H6" s="7" t="s">
        <v>23</v>
      </c>
      <c r="I6" s="7">
        <v>10000</v>
      </c>
      <c r="J6" s="16" t="s">
        <v>46</v>
      </c>
      <c r="K6" s="7" t="s">
        <v>28</v>
      </c>
      <c r="L6" s="9">
        <f>($O$2*I6)/(F6*2*32.2*((F6/2)^2*PI())^2)</f>
        <v>12.527678394082081</v>
      </c>
      <c r="M6" t="s">
        <v>48</v>
      </c>
    </row>
    <row r="7" spans="2:15" x14ac:dyDescent="0.3">
      <c r="B7" s="7" t="s">
        <v>11</v>
      </c>
      <c r="C7" s="7">
        <v>400</v>
      </c>
      <c r="D7" t="s">
        <v>46</v>
      </c>
    </row>
    <row r="10" spans="2:15" x14ac:dyDescent="0.3">
      <c r="H10" s="35" t="s">
        <v>49</v>
      </c>
      <c r="I10" s="35"/>
    </row>
    <row r="11" spans="2:15" x14ac:dyDescent="0.3">
      <c r="B11" s="7" t="s">
        <v>29</v>
      </c>
      <c r="C11" s="23">
        <v>7.6650221684186848</v>
      </c>
      <c r="D11" t="s">
        <v>47</v>
      </c>
      <c r="E11" s="7" t="s">
        <v>34</v>
      </c>
      <c r="F11" s="23">
        <f>-0.694*C11^2-4.167*C11+315</f>
        <v>242.28557262360852</v>
      </c>
      <c r="G11" s="16" t="s">
        <v>46</v>
      </c>
      <c r="H11" s="7" t="s">
        <v>38</v>
      </c>
      <c r="I11" s="23">
        <f>SUM(C11:C15)</f>
        <v>45.990133010512103</v>
      </c>
      <c r="J11" s="17" t="s">
        <v>47</v>
      </c>
    </row>
    <row r="12" spans="2:15" x14ac:dyDescent="0.3">
      <c r="B12" s="7" t="s">
        <v>30</v>
      </c>
      <c r="C12" s="23">
        <v>7.6650221684186848</v>
      </c>
      <c r="D12" t="s">
        <v>47</v>
      </c>
      <c r="E12" s="7" t="s">
        <v>35</v>
      </c>
      <c r="F12" s="23">
        <f>-0.694*C12^2-4.167*C12+400</f>
        <v>327.28557262360852</v>
      </c>
      <c r="G12" s="17" t="s">
        <v>46</v>
      </c>
    </row>
    <row r="13" spans="2:15" x14ac:dyDescent="0.3">
      <c r="B13" s="7" t="s">
        <v>31</v>
      </c>
      <c r="C13" s="23">
        <v>15.33004433683737</v>
      </c>
      <c r="D13" t="s">
        <v>47</v>
      </c>
      <c r="E13" s="7" t="s">
        <v>36</v>
      </c>
      <c r="F13" s="23">
        <f>(8*O2*I4*C13^2)/(PI()^2*32.2*(F4^5))</f>
        <v>155.80984376797514</v>
      </c>
      <c r="G13" s="17" t="s">
        <v>46</v>
      </c>
    </row>
    <row r="14" spans="2:15" x14ac:dyDescent="0.3">
      <c r="B14" s="7" t="s">
        <v>32</v>
      </c>
      <c r="C14" s="23">
        <v>11.430153594818933</v>
      </c>
      <c r="D14" t="s">
        <v>47</v>
      </c>
    </row>
    <row r="15" spans="2:15" x14ac:dyDescent="0.3">
      <c r="B15" s="7" t="s">
        <v>33</v>
      </c>
      <c r="C15" s="23">
        <v>3.8998907420184383</v>
      </c>
      <c r="D15" t="s">
        <v>47</v>
      </c>
    </row>
    <row r="17" spans="2:7" x14ac:dyDescent="0.3">
      <c r="F17" s="5"/>
    </row>
    <row r="18" spans="2:7" ht="16.2" x14ac:dyDescent="0.3">
      <c r="B18" t="s">
        <v>39</v>
      </c>
      <c r="C18" s="12">
        <f>F11+F12</f>
        <v>569.57114524721703</v>
      </c>
      <c r="D18" s="13" t="s">
        <v>13</v>
      </c>
      <c r="E18" s="12">
        <f>L2*C11^2+L3*C12^2+L4*C13^2+L5*C14^2+L6*C15^2</f>
        <v>569.57114491663265</v>
      </c>
      <c r="F18" s="11" t="s">
        <v>128</v>
      </c>
    </row>
    <row r="19" spans="2:7" x14ac:dyDescent="0.3">
      <c r="B19" t="s">
        <v>31</v>
      </c>
      <c r="C19" s="12">
        <f>C13</f>
        <v>15.33004433683737</v>
      </c>
      <c r="D19" s="14" t="s">
        <v>13</v>
      </c>
      <c r="E19" s="15">
        <f>C11+C12</f>
        <v>15.33004433683737</v>
      </c>
      <c r="F19" s="5" t="s">
        <v>40</v>
      </c>
      <c r="G19" s="5"/>
    </row>
    <row r="20" spans="2:7" x14ac:dyDescent="0.3">
      <c r="B20" t="s">
        <v>31</v>
      </c>
      <c r="C20" s="12">
        <f>C13</f>
        <v>15.33004433683737</v>
      </c>
      <c r="D20" s="14" t="s">
        <v>13</v>
      </c>
      <c r="E20" s="15">
        <f>C14+C15</f>
        <v>15.330044336837371</v>
      </c>
      <c r="F20" s="5" t="s">
        <v>41</v>
      </c>
      <c r="G20" s="5"/>
    </row>
    <row r="21" spans="2:7" x14ac:dyDescent="0.3">
      <c r="B21" t="s">
        <v>42</v>
      </c>
      <c r="C21" s="12">
        <f>C4-L5*C14^2</f>
        <v>284.46468764104355</v>
      </c>
      <c r="D21" s="14" t="s">
        <v>13</v>
      </c>
      <c r="E21" s="15">
        <f>C5-L6*C15^2</f>
        <v>284.46468771753376</v>
      </c>
      <c r="F21" s="5" t="s">
        <v>43</v>
      </c>
      <c r="G21" s="5"/>
    </row>
    <row r="22" spans="2:7" x14ac:dyDescent="0.3">
      <c r="B22" t="s">
        <v>45</v>
      </c>
      <c r="C22" s="12">
        <f>C2-L2*C11^2</f>
        <v>346.15466174638254</v>
      </c>
      <c r="D22" s="14" t="s">
        <v>13</v>
      </c>
      <c r="E22" s="15">
        <f>C3-L3*C12^2</f>
        <v>346.15466174638254</v>
      </c>
      <c r="F22" s="5" t="s">
        <v>44</v>
      </c>
      <c r="G22" s="5"/>
    </row>
    <row r="23" spans="2:7" x14ac:dyDescent="0.3">
      <c r="D23" s="1"/>
      <c r="E23" s="4"/>
      <c r="F23" s="5"/>
      <c r="G23" s="5"/>
    </row>
    <row r="24" spans="2:7" x14ac:dyDescent="0.3">
      <c r="D24" s="5"/>
      <c r="E24" s="5"/>
      <c r="F24" s="5"/>
      <c r="G24" s="5"/>
    </row>
    <row r="25" spans="2:7" x14ac:dyDescent="0.3">
      <c r="C25" s="6"/>
      <c r="D25" s="5"/>
      <c r="E25" s="5"/>
      <c r="F25" s="5"/>
      <c r="G25" s="5"/>
    </row>
  </sheetData>
  <mergeCells count="1">
    <mergeCell ref="H10:I10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90A1-988F-4F07-9AEA-67665F25865E}">
  <dimension ref="B2:AB37"/>
  <sheetViews>
    <sheetView workbookViewId="0">
      <selection activeCell="W26" sqref="W26"/>
    </sheetView>
  </sheetViews>
  <sheetFormatPr defaultRowHeight="14.4" x14ac:dyDescent="0.3"/>
  <cols>
    <col min="2" max="2" width="9.33203125" bestFit="1" customWidth="1"/>
    <col min="3" max="3" width="9.6640625" customWidth="1"/>
    <col min="7" max="7" width="9.5546875" bestFit="1" customWidth="1"/>
    <col min="9" max="9" width="9.88671875" customWidth="1"/>
    <col min="12" max="12" width="10.5546875" bestFit="1" customWidth="1"/>
    <col min="23" max="23" width="12.109375" bestFit="1" customWidth="1"/>
  </cols>
  <sheetData>
    <row r="2" spans="2:28" ht="16.2" x14ac:dyDescent="0.3">
      <c r="B2" s="7" t="s">
        <v>129</v>
      </c>
      <c r="C2" s="7">
        <v>745</v>
      </c>
      <c r="D2" t="s">
        <v>46</v>
      </c>
      <c r="E2" s="7" t="s">
        <v>130</v>
      </c>
      <c r="F2" s="23">
        <v>1.25</v>
      </c>
      <c r="G2" s="2" t="s">
        <v>46</v>
      </c>
      <c r="H2" s="7" t="s">
        <v>131</v>
      </c>
      <c r="I2" s="7">
        <v>2400</v>
      </c>
      <c r="J2" s="16" t="s">
        <v>46</v>
      </c>
      <c r="K2" s="7" t="s">
        <v>132</v>
      </c>
      <c r="L2" s="9">
        <f t="shared" ref="L2:L12" si="0">($X$2*I2)/(F2*2*32.2*((F2/2)^2*PI())^2)</f>
        <v>0.4355301525646314</v>
      </c>
      <c r="M2" s="18" t="s">
        <v>48</v>
      </c>
      <c r="N2" s="7" t="s">
        <v>133</v>
      </c>
      <c r="O2" s="7">
        <v>20</v>
      </c>
      <c r="P2" t="s">
        <v>47</v>
      </c>
      <c r="Q2" s="7" t="s">
        <v>126</v>
      </c>
      <c r="R2" s="25">
        <v>0</v>
      </c>
      <c r="S2" t="s">
        <v>46</v>
      </c>
      <c r="T2" s="7" t="s">
        <v>134</v>
      </c>
      <c r="U2" s="24">
        <f t="shared" ref="U2:U12" si="1">(8*$X$2*I2*O2^2)/(3.14^2*32.2*(F2)^5)</f>
        <v>174.3888316182809</v>
      </c>
      <c r="V2" t="s">
        <v>46</v>
      </c>
      <c r="W2" s="7" t="s">
        <v>12</v>
      </c>
      <c r="X2" s="7">
        <v>2.1999999999999999E-2</v>
      </c>
      <c r="Z2" s="21">
        <v>1</v>
      </c>
      <c r="AA2" s="7">
        <f>I2*F2*$X$9</f>
        <v>3000</v>
      </c>
      <c r="AB2" s="17" t="s">
        <v>58</v>
      </c>
    </row>
    <row r="3" spans="2:28" ht="16.2" x14ac:dyDescent="0.3">
      <c r="B3" s="7" t="s">
        <v>5</v>
      </c>
      <c r="C3" s="7">
        <v>745</v>
      </c>
      <c r="D3" t="s">
        <v>46</v>
      </c>
      <c r="E3" s="7" t="s">
        <v>59</v>
      </c>
      <c r="F3" s="23">
        <v>2.7409276818929857</v>
      </c>
      <c r="G3" s="2" t="s">
        <v>46</v>
      </c>
      <c r="H3" s="7" t="s">
        <v>79</v>
      </c>
      <c r="I3" s="7">
        <v>2400</v>
      </c>
      <c r="J3" s="16" t="s">
        <v>46</v>
      </c>
      <c r="K3" s="7" t="s">
        <v>89</v>
      </c>
      <c r="L3" s="9">
        <f t="shared" si="0"/>
        <v>8.5917257795130961E-3</v>
      </c>
      <c r="M3" s="18" t="s">
        <v>48</v>
      </c>
      <c r="N3" s="7" t="s">
        <v>69</v>
      </c>
      <c r="O3" s="7">
        <v>20</v>
      </c>
      <c r="P3" t="s">
        <v>47</v>
      </c>
      <c r="Q3" s="7" t="s">
        <v>0</v>
      </c>
      <c r="R3" s="25">
        <f>R2-U2+R15</f>
        <v>818.65368735161542</v>
      </c>
      <c r="S3" t="s">
        <v>46</v>
      </c>
      <c r="T3" s="7" t="s">
        <v>116</v>
      </c>
      <c r="U3" s="24">
        <f t="shared" si="1"/>
        <v>3.4401774743979625</v>
      </c>
      <c r="V3" t="s">
        <v>46</v>
      </c>
      <c r="Z3" s="21">
        <v>12</v>
      </c>
      <c r="AA3" s="7">
        <f t="shared" ref="AA3:AA12" si="2">I3*F3*$X$9</f>
        <v>6578.2264365431656</v>
      </c>
      <c r="AB3" s="17" t="s">
        <v>58</v>
      </c>
    </row>
    <row r="4" spans="2:28" ht="16.2" x14ac:dyDescent="0.3">
      <c r="B4" s="7" t="s">
        <v>6</v>
      </c>
      <c r="C4" s="7">
        <v>740</v>
      </c>
      <c r="D4" t="s">
        <v>46</v>
      </c>
      <c r="E4" s="7" t="s">
        <v>60</v>
      </c>
      <c r="F4" s="23">
        <v>2.7409229155551285</v>
      </c>
      <c r="G4" s="2" t="s">
        <v>46</v>
      </c>
      <c r="H4" s="7" t="s">
        <v>80</v>
      </c>
      <c r="I4" s="7">
        <v>2400</v>
      </c>
      <c r="J4" s="16" t="s">
        <v>46</v>
      </c>
      <c r="K4" s="7" t="s">
        <v>90</v>
      </c>
      <c r="L4" s="9">
        <f t="shared" si="0"/>
        <v>8.5918004828366267E-3</v>
      </c>
      <c r="M4" t="s">
        <v>48</v>
      </c>
      <c r="N4" s="7" t="s">
        <v>70</v>
      </c>
      <c r="O4" s="7">
        <v>20</v>
      </c>
      <c r="P4" t="s">
        <v>47</v>
      </c>
      <c r="Q4" s="7" t="s">
        <v>1</v>
      </c>
      <c r="R4" s="25">
        <f>R3-U3</f>
        <v>815.21350987721746</v>
      </c>
      <c r="S4" t="s">
        <v>46</v>
      </c>
      <c r="T4" s="7" t="s">
        <v>117</v>
      </c>
      <c r="U4" s="24">
        <f t="shared" si="1"/>
        <v>3.4402073860475499</v>
      </c>
      <c r="V4" t="s">
        <v>46</v>
      </c>
      <c r="W4" s="7" t="s">
        <v>99</v>
      </c>
      <c r="X4" s="7">
        <v>8</v>
      </c>
      <c r="Y4" s="17" t="s">
        <v>127</v>
      </c>
      <c r="Z4" s="21">
        <v>23</v>
      </c>
      <c r="AA4" s="7">
        <f t="shared" si="2"/>
        <v>6578.2149973323085</v>
      </c>
      <c r="AB4" s="17" t="s">
        <v>58</v>
      </c>
    </row>
    <row r="5" spans="2:28" ht="16.2" x14ac:dyDescent="0.3">
      <c r="B5" s="7" t="s">
        <v>7</v>
      </c>
      <c r="C5" s="7">
        <v>745</v>
      </c>
      <c r="D5" t="s">
        <v>46</v>
      </c>
      <c r="E5" s="7" t="s">
        <v>61</v>
      </c>
      <c r="F5" s="23">
        <v>1.7376093656626344</v>
      </c>
      <c r="G5" s="2" t="s">
        <v>46</v>
      </c>
      <c r="H5" s="7" t="s">
        <v>81</v>
      </c>
      <c r="I5" s="7">
        <v>2400</v>
      </c>
      <c r="J5" s="16" t="s">
        <v>46</v>
      </c>
      <c r="K5" s="7" t="s">
        <v>91</v>
      </c>
      <c r="L5" s="9">
        <f t="shared" si="0"/>
        <v>8.3908807440302477E-2</v>
      </c>
      <c r="M5" t="s">
        <v>48</v>
      </c>
      <c r="N5" s="7" t="s">
        <v>71</v>
      </c>
      <c r="O5" s="7">
        <v>10</v>
      </c>
      <c r="P5" t="s">
        <v>47</v>
      </c>
      <c r="Q5" s="7" t="s">
        <v>2</v>
      </c>
      <c r="R5" s="25">
        <f>R4-U4</f>
        <v>811.77330249116994</v>
      </c>
      <c r="S5" t="s">
        <v>46</v>
      </c>
      <c r="T5" s="7" t="s">
        <v>118</v>
      </c>
      <c r="U5" s="24">
        <f t="shared" si="1"/>
        <v>8.3993948558051947</v>
      </c>
      <c r="V5" t="s">
        <v>46</v>
      </c>
      <c r="W5" s="7" t="s">
        <v>99</v>
      </c>
      <c r="X5" s="7">
        <v>15</v>
      </c>
      <c r="Y5" s="17" t="s">
        <v>127</v>
      </c>
      <c r="Z5" s="21">
        <v>34</v>
      </c>
      <c r="AA5" s="7">
        <f t="shared" si="2"/>
        <v>4170.2624775903223</v>
      </c>
      <c r="AB5" s="17" t="s">
        <v>58</v>
      </c>
    </row>
    <row r="6" spans="2:28" ht="16.2" x14ac:dyDescent="0.3">
      <c r="B6" s="7" t="s">
        <v>8</v>
      </c>
      <c r="C6" s="7">
        <v>748</v>
      </c>
      <c r="D6" t="s">
        <v>46</v>
      </c>
      <c r="E6" s="7" t="s">
        <v>62</v>
      </c>
      <c r="F6" s="23">
        <v>1.7386658183936099</v>
      </c>
      <c r="G6" s="2" t="s">
        <v>46</v>
      </c>
      <c r="H6" s="7" t="s">
        <v>82</v>
      </c>
      <c r="I6" s="7">
        <v>2400</v>
      </c>
      <c r="J6" s="16" t="s">
        <v>46</v>
      </c>
      <c r="K6" s="7" t="s">
        <v>92</v>
      </c>
      <c r="L6" s="9">
        <f t="shared" si="0"/>
        <v>8.3654192588451567E-2</v>
      </c>
      <c r="M6" t="s">
        <v>48</v>
      </c>
      <c r="N6" s="7" t="s">
        <v>72</v>
      </c>
      <c r="O6" s="7">
        <v>10</v>
      </c>
      <c r="P6" t="s">
        <v>47</v>
      </c>
      <c r="Q6" s="7" t="s">
        <v>3</v>
      </c>
      <c r="R6" s="25">
        <f>R5-U5+R16</f>
        <v>803.37390763536473</v>
      </c>
      <c r="S6" t="s">
        <v>46</v>
      </c>
      <c r="T6" s="7" t="s">
        <v>119</v>
      </c>
      <c r="U6" s="24">
        <f t="shared" si="1"/>
        <v>8.3739075351997894</v>
      </c>
      <c r="V6" t="s">
        <v>46</v>
      </c>
      <c r="W6" s="7" t="s">
        <v>99</v>
      </c>
      <c r="X6" s="7">
        <v>21</v>
      </c>
      <c r="Y6" s="17" t="s">
        <v>127</v>
      </c>
      <c r="Z6" s="21">
        <v>45</v>
      </c>
      <c r="AA6" s="7">
        <f t="shared" si="2"/>
        <v>4172.7979641446636</v>
      </c>
      <c r="AB6" s="17" t="s">
        <v>58</v>
      </c>
    </row>
    <row r="7" spans="2:28" ht="16.2" x14ac:dyDescent="0.3">
      <c r="B7" s="7" t="s">
        <v>9</v>
      </c>
      <c r="C7" s="7">
        <v>753</v>
      </c>
      <c r="D7" t="s">
        <v>46</v>
      </c>
      <c r="E7" s="7" t="s">
        <v>63</v>
      </c>
      <c r="F7" s="23">
        <v>2.0693523265161846</v>
      </c>
      <c r="G7" s="2" t="s">
        <v>46</v>
      </c>
      <c r="H7" s="7" t="s">
        <v>83</v>
      </c>
      <c r="I7" s="7">
        <v>2400</v>
      </c>
      <c r="J7" s="16" t="s">
        <v>46</v>
      </c>
      <c r="K7" s="7" t="s">
        <v>93</v>
      </c>
      <c r="L7" s="9">
        <f t="shared" si="0"/>
        <v>3.5026447683750538E-2</v>
      </c>
      <c r="M7" t="s">
        <v>48</v>
      </c>
      <c r="N7" s="7" t="s">
        <v>73</v>
      </c>
      <c r="O7" s="7">
        <v>10</v>
      </c>
      <c r="P7" t="s">
        <v>47</v>
      </c>
      <c r="Q7" s="7" t="s">
        <v>4</v>
      </c>
      <c r="R7" s="25">
        <f>R6-U6</f>
        <v>795.00000010016493</v>
      </c>
      <c r="S7" t="s">
        <v>46</v>
      </c>
      <c r="T7" s="7" t="s">
        <v>120</v>
      </c>
      <c r="U7" s="24">
        <f t="shared" si="1"/>
        <v>3.5061988540515894</v>
      </c>
      <c r="V7" t="s">
        <v>46</v>
      </c>
      <c r="W7" s="7" t="s">
        <v>99</v>
      </c>
      <c r="X7" s="7">
        <v>30</v>
      </c>
      <c r="Y7" s="17" t="s">
        <v>127</v>
      </c>
      <c r="Z7" s="21">
        <v>36</v>
      </c>
      <c r="AA7" s="7">
        <f t="shared" si="2"/>
        <v>4966.4455836388433</v>
      </c>
      <c r="AB7" s="17" t="s">
        <v>58</v>
      </c>
    </row>
    <row r="8" spans="2:28" ht="16.2" x14ac:dyDescent="0.3">
      <c r="B8" s="7" t="s">
        <v>50</v>
      </c>
      <c r="C8" s="7">
        <v>745</v>
      </c>
      <c r="D8" t="s">
        <v>46</v>
      </c>
      <c r="E8" s="7" t="s">
        <v>64</v>
      </c>
      <c r="F8" s="23">
        <v>2.9846697737281138</v>
      </c>
      <c r="G8" s="2" t="s">
        <v>46</v>
      </c>
      <c r="H8" s="7" t="s">
        <v>84</v>
      </c>
      <c r="I8" s="7">
        <v>2400</v>
      </c>
      <c r="J8" s="16" t="s">
        <v>46</v>
      </c>
      <c r="K8" s="7" t="s">
        <v>94</v>
      </c>
      <c r="L8" s="9">
        <f t="shared" si="0"/>
        <v>5.6116019218198808E-3</v>
      </c>
      <c r="M8" t="s">
        <v>56</v>
      </c>
      <c r="N8" s="7" t="s">
        <v>74</v>
      </c>
      <c r="O8" s="7">
        <v>30</v>
      </c>
      <c r="P8" t="s">
        <v>47</v>
      </c>
      <c r="Q8" s="7" t="s">
        <v>109</v>
      </c>
      <c r="R8" s="25">
        <f>R5-U7</f>
        <v>808.26710363711834</v>
      </c>
      <c r="S8" t="s">
        <v>46</v>
      </c>
      <c r="T8" s="7" t="s">
        <v>121</v>
      </c>
      <c r="U8" s="24">
        <f t="shared" si="1"/>
        <v>5.0555663436934051</v>
      </c>
      <c r="V8" t="s">
        <v>46</v>
      </c>
      <c r="Z8" s="21">
        <v>68</v>
      </c>
      <c r="AA8" s="7">
        <f t="shared" si="2"/>
        <v>7163.2074569474735</v>
      </c>
      <c r="AB8" s="17" t="s">
        <v>58</v>
      </c>
    </row>
    <row r="9" spans="2:28" ht="16.2" x14ac:dyDescent="0.3">
      <c r="B9" s="7" t="s">
        <v>51</v>
      </c>
      <c r="C9" s="16">
        <v>751</v>
      </c>
      <c r="D9" t="s">
        <v>46</v>
      </c>
      <c r="E9" s="7" t="s">
        <v>65</v>
      </c>
      <c r="F9" s="23">
        <v>1.6710272152686707</v>
      </c>
      <c r="G9" s="2" t="s">
        <v>46</v>
      </c>
      <c r="H9" s="7" t="s">
        <v>85</v>
      </c>
      <c r="I9" s="7">
        <v>2400</v>
      </c>
      <c r="J9" s="16" t="s">
        <v>46</v>
      </c>
      <c r="K9" s="7" t="s">
        <v>95</v>
      </c>
      <c r="L9" s="9">
        <f t="shared" si="0"/>
        <v>0.10201186251048711</v>
      </c>
      <c r="M9" t="s">
        <v>56</v>
      </c>
      <c r="N9" s="7" t="s">
        <v>75</v>
      </c>
      <c r="O9" s="7">
        <v>10</v>
      </c>
      <c r="P9" t="s">
        <v>47</v>
      </c>
      <c r="Q9" s="7" t="s">
        <v>110</v>
      </c>
      <c r="R9" s="25">
        <f>R10-U9</f>
        <v>793.00000003839614</v>
      </c>
      <c r="S9" t="s">
        <v>46</v>
      </c>
      <c r="T9" s="7" t="s">
        <v>122</v>
      </c>
      <c r="U9" s="24">
        <f t="shared" si="1"/>
        <v>10.211537255028867</v>
      </c>
      <c r="V9" t="s">
        <v>46</v>
      </c>
      <c r="W9" s="7" t="s">
        <v>100</v>
      </c>
      <c r="X9" s="7">
        <v>1</v>
      </c>
      <c r="Y9" t="s">
        <v>103</v>
      </c>
      <c r="Z9" s="21">
        <v>87</v>
      </c>
      <c r="AA9" s="7">
        <f t="shared" si="2"/>
        <v>4010.4653166448097</v>
      </c>
      <c r="AB9" s="17" t="s">
        <v>58</v>
      </c>
    </row>
    <row r="10" spans="2:28" ht="16.2" x14ac:dyDescent="0.3">
      <c r="B10" s="7" t="s">
        <v>52</v>
      </c>
      <c r="C10" s="7">
        <v>747</v>
      </c>
      <c r="D10" t="s">
        <v>46</v>
      </c>
      <c r="E10" s="7" t="s">
        <v>66</v>
      </c>
      <c r="F10" s="23">
        <v>1.523480530665734</v>
      </c>
      <c r="G10" s="2" t="s">
        <v>46</v>
      </c>
      <c r="H10" s="7" t="s">
        <v>86</v>
      </c>
      <c r="I10" s="7">
        <v>2400</v>
      </c>
      <c r="J10" s="16" t="s">
        <v>46</v>
      </c>
      <c r="K10" s="7" t="s">
        <v>96</v>
      </c>
      <c r="L10" s="9">
        <f t="shared" si="0"/>
        <v>0.16195104319293552</v>
      </c>
      <c r="M10" t="s">
        <v>56</v>
      </c>
      <c r="N10" s="7" t="s">
        <v>76</v>
      </c>
      <c r="O10" s="7">
        <v>10</v>
      </c>
      <c r="P10" t="s">
        <v>47</v>
      </c>
      <c r="Q10" s="7" t="s">
        <v>111</v>
      </c>
      <c r="R10" s="25">
        <f>R8-U8+R17</f>
        <v>803.21153729342495</v>
      </c>
      <c r="S10" t="s">
        <v>46</v>
      </c>
      <c r="T10" s="7" t="s">
        <v>123</v>
      </c>
      <c r="U10" s="24">
        <f t="shared" si="1"/>
        <v>16.211537269848769</v>
      </c>
      <c r="V10" t="s">
        <v>46</v>
      </c>
      <c r="W10" s="7" t="s">
        <v>101</v>
      </c>
      <c r="X10" s="7">
        <v>380</v>
      </c>
      <c r="Y10" t="s">
        <v>46</v>
      </c>
      <c r="Z10" s="21">
        <v>89</v>
      </c>
      <c r="AA10" s="7">
        <f t="shared" si="2"/>
        <v>3656.3532735977615</v>
      </c>
      <c r="AB10" s="17" t="s">
        <v>58</v>
      </c>
    </row>
    <row r="11" spans="2:28" ht="16.2" x14ac:dyDescent="0.3">
      <c r="B11" s="7" t="s">
        <v>53</v>
      </c>
      <c r="C11" s="7">
        <v>745</v>
      </c>
      <c r="D11" t="s">
        <v>46</v>
      </c>
      <c r="E11" s="7" t="s">
        <v>68</v>
      </c>
      <c r="F11" s="23">
        <v>1.8800823973609233</v>
      </c>
      <c r="G11" s="2" t="s">
        <v>46</v>
      </c>
      <c r="H11" s="7" t="s">
        <v>87</v>
      </c>
      <c r="I11" s="7">
        <v>2400</v>
      </c>
      <c r="J11" s="16" t="s">
        <v>46</v>
      </c>
      <c r="K11" s="7" t="s">
        <v>97</v>
      </c>
      <c r="L11" s="9">
        <f t="shared" si="0"/>
        <v>5.6582727217603115E-2</v>
      </c>
      <c r="M11" t="s">
        <v>56</v>
      </c>
      <c r="N11" s="7" t="s">
        <v>77</v>
      </c>
      <c r="O11" s="7">
        <v>10</v>
      </c>
      <c r="P11" t="s">
        <v>47</v>
      </c>
      <c r="Q11" s="7" t="s">
        <v>112</v>
      </c>
      <c r="R11" s="25">
        <f>R10-U10</f>
        <v>787.00000002357615</v>
      </c>
      <c r="S11" t="s">
        <v>46</v>
      </c>
      <c r="T11" s="7" t="s">
        <v>124</v>
      </c>
      <c r="U11" s="24">
        <f t="shared" si="1"/>
        <v>5.6640140935990759</v>
      </c>
      <c r="V11" t="s">
        <v>46</v>
      </c>
      <c r="W11" s="7" t="s">
        <v>102</v>
      </c>
      <c r="X11" s="7">
        <v>320</v>
      </c>
      <c r="Y11" t="s">
        <v>46</v>
      </c>
      <c r="Z11" s="22" t="s">
        <v>107</v>
      </c>
      <c r="AA11" s="7">
        <f t="shared" si="2"/>
        <v>4512.1977536662162</v>
      </c>
      <c r="AB11" s="17" t="s">
        <v>58</v>
      </c>
    </row>
    <row r="12" spans="2:28" ht="16.2" x14ac:dyDescent="0.3">
      <c r="B12" s="7" t="s">
        <v>54</v>
      </c>
      <c r="C12" s="7">
        <v>752</v>
      </c>
      <c r="D12" t="s">
        <v>46</v>
      </c>
      <c r="E12" s="7" t="s">
        <v>67</v>
      </c>
      <c r="F12" s="23">
        <v>3</v>
      </c>
      <c r="G12" s="2" t="s">
        <v>46</v>
      </c>
      <c r="H12" s="7" t="s">
        <v>88</v>
      </c>
      <c r="I12" s="7">
        <v>2400</v>
      </c>
      <c r="J12" s="16" t="s">
        <v>46</v>
      </c>
      <c r="K12" s="7" t="s">
        <v>98</v>
      </c>
      <c r="L12" s="9">
        <f t="shared" si="0"/>
        <v>5.4696812578947764E-3</v>
      </c>
      <c r="M12" t="s">
        <v>56</v>
      </c>
      <c r="N12" s="7" t="s">
        <v>78</v>
      </c>
      <c r="O12" s="7">
        <v>10</v>
      </c>
      <c r="P12" t="s">
        <v>47</v>
      </c>
      <c r="Q12" s="7" t="s">
        <v>113</v>
      </c>
      <c r="R12" s="25">
        <f>R10-U11</f>
        <v>797.54752319982583</v>
      </c>
      <c r="S12" t="s">
        <v>46</v>
      </c>
      <c r="T12" s="7" t="s">
        <v>125</v>
      </c>
      <c r="U12" s="24">
        <f t="shared" si="1"/>
        <v>0.54752312685579807</v>
      </c>
      <c r="V12" t="s">
        <v>46</v>
      </c>
      <c r="Z12" s="22" t="s">
        <v>108</v>
      </c>
      <c r="AA12" s="7">
        <f t="shared" si="2"/>
        <v>7200</v>
      </c>
      <c r="AB12" s="17" t="s">
        <v>58</v>
      </c>
    </row>
    <row r="13" spans="2:28" x14ac:dyDescent="0.3">
      <c r="B13" s="7" t="s">
        <v>55</v>
      </c>
      <c r="C13" s="7">
        <v>755</v>
      </c>
      <c r="D13" t="s">
        <v>46</v>
      </c>
      <c r="F13" s="2"/>
      <c r="G13" s="2"/>
      <c r="L13" s="19"/>
      <c r="Q13" s="7" t="s">
        <v>114</v>
      </c>
      <c r="R13" s="25">
        <f>R12-U12</f>
        <v>797.00000007297001</v>
      </c>
      <c r="S13" t="s">
        <v>46</v>
      </c>
    </row>
    <row r="15" spans="2:28" x14ac:dyDescent="0.3">
      <c r="E15" s="12"/>
      <c r="F15" s="11"/>
      <c r="J15" s="3"/>
      <c r="N15" s="35" t="s">
        <v>57</v>
      </c>
      <c r="O15" s="35"/>
      <c r="Q15" s="7" t="s">
        <v>34</v>
      </c>
      <c r="R15" s="7">
        <v>993.04251896989626</v>
      </c>
      <c r="S15" s="17" t="s">
        <v>46</v>
      </c>
    </row>
    <row r="16" spans="2:28" x14ac:dyDescent="0.3">
      <c r="B16" s="5" t="s">
        <v>0</v>
      </c>
      <c r="C16" s="24">
        <f>R3</f>
        <v>818.65368735161542</v>
      </c>
      <c r="D16" s="26" t="s">
        <v>115</v>
      </c>
      <c r="E16" s="27">
        <f>120+C3</f>
        <v>865</v>
      </c>
      <c r="F16" s="5" t="s">
        <v>130</v>
      </c>
      <c r="G16" s="24">
        <f t="shared" ref="G16:G26" si="3">F2</f>
        <v>1.25</v>
      </c>
      <c r="H16" s="28" t="s">
        <v>106</v>
      </c>
      <c r="I16" s="30">
        <f>8/12</f>
        <v>0.66666666666666663</v>
      </c>
      <c r="J16" s="3"/>
      <c r="N16" s="7" t="s">
        <v>37</v>
      </c>
      <c r="O16" s="7">
        <f>R15*X10+R16*X11+R17*X11+SUM(AA3:AA12)</f>
        <v>430364.32846866612</v>
      </c>
      <c r="P16" s="17" t="s">
        <v>58</v>
      </c>
      <c r="Q16" s="7" t="s">
        <v>35</v>
      </c>
      <c r="R16" s="7">
        <v>0</v>
      </c>
      <c r="S16" s="17" t="s">
        <v>46</v>
      </c>
    </row>
    <row r="17" spans="2:25" x14ac:dyDescent="0.3">
      <c r="B17" s="5" t="s">
        <v>1</v>
      </c>
      <c r="C17" s="24">
        <f t="shared" ref="C17:C26" si="4">R4</f>
        <v>815.21350987721746</v>
      </c>
      <c r="D17" s="26" t="s">
        <v>115</v>
      </c>
      <c r="E17" s="27">
        <f>120+C4</f>
        <v>860</v>
      </c>
      <c r="F17" s="5" t="s">
        <v>59</v>
      </c>
      <c r="G17" s="24">
        <f t="shared" si="3"/>
        <v>2.7409276818929857</v>
      </c>
      <c r="H17" s="28" t="s">
        <v>106</v>
      </c>
      <c r="I17" s="30">
        <f>8/12</f>
        <v>0.66666666666666663</v>
      </c>
      <c r="J17" s="3"/>
      <c r="Q17" s="7" t="s">
        <v>104</v>
      </c>
      <c r="R17" s="7">
        <v>0</v>
      </c>
      <c r="S17" s="17" t="s">
        <v>46</v>
      </c>
    </row>
    <row r="18" spans="2:25" x14ac:dyDescent="0.3">
      <c r="B18" s="5" t="s">
        <v>2</v>
      </c>
      <c r="C18" s="24">
        <f t="shared" si="4"/>
        <v>811.77330249116994</v>
      </c>
      <c r="D18" s="26" t="s">
        <v>115</v>
      </c>
      <c r="E18" s="27">
        <f>120+C5</f>
        <v>865</v>
      </c>
      <c r="F18" s="5" t="s">
        <v>60</v>
      </c>
      <c r="G18" s="24">
        <f t="shared" si="3"/>
        <v>2.7409229155551285</v>
      </c>
      <c r="H18" s="28" t="s">
        <v>106</v>
      </c>
      <c r="I18" s="30">
        <f t="shared" ref="I18:I25" si="5">8/12</f>
        <v>0.66666666666666663</v>
      </c>
      <c r="J18" s="3"/>
      <c r="X18" s="20"/>
      <c r="Y18" s="13"/>
    </row>
    <row r="19" spans="2:25" x14ac:dyDescent="0.3">
      <c r="B19" s="5" t="s">
        <v>3</v>
      </c>
      <c r="C19" s="24">
        <f t="shared" si="4"/>
        <v>803.37390763536473</v>
      </c>
      <c r="D19" s="26" t="s">
        <v>115</v>
      </c>
      <c r="E19" s="27">
        <f>120+C6</f>
        <v>868</v>
      </c>
      <c r="F19" s="5" t="s">
        <v>61</v>
      </c>
      <c r="G19" s="24">
        <f t="shared" si="3"/>
        <v>1.7376093656626344</v>
      </c>
      <c r="H19" s="28" t="s">
        <v>106</v>
      </c>
      <c r="I19" s="30">
        <f t="shared" si="5"/>
        <v>0.66666666666666663</v>
      </c>
      <c r="J19" s="3"/>
      <c r="X19" s="12"/>
      <c r="Y19" s="14"/>
    </row>
    <row r="20" spans="2:25" x14ac:dyDescent="0.3">
      <c r="B20" s="5" t="s">
        <v>111</v>
      </c>
      <c r="C20" s="24">
        <f>R10</f>
        <v>803.21153729342495</v>
      </c>
      <c r="D20" s="26" t="s">
        <v>115</v>
      </c>
      <c r="E20" s="27">
        <f>120+C10</f>
        <v>867</v>
      </c>
      <c r="F20" s="5" t="s">
        <v>62</v>
      </c>
      <c r="G20" s="24">
        <f t="shared" si="3"/>
        <v>1.7386658183936099</v>
      </c>
      <c r="H20" s="28" t="s">
        <v>106</v>
      </c>
      <c r="I20" s="30">
        <f t="shared" si="5"/>
        <v>0.66666666666666663</v>
      </c>
      <c r="J20" s="3"/>
    </row>
    <row r="21" spans="2:25" x14ac:dyDescent="0.3">
      <c r="B21" s="5" t="s">
        <v>4</v>
      </c>
      <c r="C21" s="24">
        <f>R7</f>
        <v>795.00000010016493</v>
      </c>
      <c r="D21" s="28" t="s">
        <v>106</v>
      </c>
      <c r="E21" s="29">
        <f>42+C7</f>
        <v>795</v>
      </c>
      <c r="F21" s="5" t="s">
        <v>63</v>
      </c>
      <c r="G21" s="24">
        <f t="shared" si="3"/>
        <v>2.0693523265161846</v>
      </c>
      <c r="H21" s="28" t="s">
        <v>106</v>
      </c>
      <c r="I21" s="30">
        <f t="shared" si="5"/>
        <v>0.66666666666666663</v>
      </c>
      <c r="J21" s="3"/>
    </row>
    <row r="22" spans="2:25" x14ac:dyDescent="0.3">
      <c r="B22" s="5" t="s">
        <v>109</v>
      </c>
      <c r="C22" s="24">
        <f>R8</f>
        <v>808.26710363711834</v>
      </c>
      <c r="D22" s="28" t="s">
        <v>106</v>
      </c>
      <c r="E22" s="29">
        <f>42+C8</f>
        <v>787</v>
      </c>
      <c r="F22" s="5" t="s">
        <v>64</v>
      </c>
      <c r="G22" s="24">
        <f t="shared" si="3"/>
        <v>2.9846697737281138</v>
      </c>
      <c r="H22" s="28" t="s">
        <v>106</v>
      </c>
      <c r="I22" s="30">
        <f t="shared" si="5"/>
        <v>0.66666666666666663</v>
      </c>
      <c r="J22" s="3"/>
    </row>
    <row r="23" spans="2:25" x14ac:dyDescent="0.3">
      <c r="B23" s="5" t="s">
        <v>110</v>
      </c>
      <c r="C23" s="24">
        <f>R9</f>
        <v>793.00000003839614</v>
      </c>
      <c r="D23" s="28" t="s">
        <v>106</v>
      </c>
      <c r="E23" s="29">
        <f>42+C9</f>
        <v>793</v>
      </c>
      <c r="F23" s="5" t="s">
        <v>65</v>
      </c>
      <c r="G23" s="24">
        <f t="shared" si="3"/>
        <v>1.6710272152686707</v>
      </c>
      <c r="H23" s="28" t="s">
        <v>106</v>
      </c>
      <c r="I23" s="30">
        <f t="shared" si="5"/>
        <v>0.66666666666666663</v>
      </c>
      <c r="J23" s="3"/>
    </row>
    <row r="24" spans="2:25" x14ac:dyDescent="0.3">
      <c r="B24" s="5" t="s">
        <v>112</v>
      </c>
      <c r="C24" s="24">
        <f>R11</f>
        <v>787.00000002357615</v>
      </c>
      <c r="D24" s="28" t="s">
        <v>106</v>
      </c>
      <c r="E24" s="29">
        <f>42+C11</f>
        <v>787</v>
      </c>
      <c r="F24" s="5" t="s">
        <v>66</v>
      </c>
      <c r="G24" s="24">
        <f t="shared" si="3"/>
        <v>1.523480530665734</v>
      </c>
      <c r="H24" s="28" t="s">
        <v>106</v>
      </c>
      <c r="I24" s="30">
        <f t="shared" si="5"/>
        <v>0.66666666666666663</v>
      </c>
      <c r="J24" s="3"/>
    </row>
    <row r="25" spans="2:25" x14ac:dyDescent="0.3">
      <c r="B25" s="5" t="s">
        <v>113</v>
      </c>
      <c r="C25" s="24">
        <f t="shared" si="4"/>
        <v>797.54752319982583</v>
      </c>
      <c r="D25" s="28" t="s">
        <v>106</v>
      </c>
      <c r="E25" s="29">
        <f>42+C12</f>
        <v>794</v>
      </c>
      <c r="F25" s="5" t="s">
        <v>68</v>
      </c>
      <c r="G25" s="24">
        <f t="shared" si="3"/>
        <v>1.8800823973609233</v>
      </c>
      <c r="H25" s="28" t="s">
        <v>106</v>
      </c>
      <c r="I25" s="30">
        <f t="shared" si="5"/>
        <v>0.66666666666666663</v>
      </c>
      <c r="J25" s="3"/>
    </row>
    <row r="26" spans="2:25" x14ac:dyDescent="0.3">
      <c r="B26" s="5" t="s">
        <v>114</v>
      </c>
      <c r="C26" s="24">
        <f t="shared" si="4"/>
        <v>797.00000007297001</v>
      </c>
      <c r="D26" s="28" t="s">
        <v>106</v>
      </c>
      <c r="E26" s="29">
        <f>42+C13</f>
        <v>797</v>
      </c>
      <c r="F26" s="5" t="s">
        <v>67</v>
      </c>
      <c r="G26" s="25">
        <f t="shared" si="3"/>
        <v>3</v>
      </c>
      <c r="H26" s="26" t="s">
        <v>105</v>
      </c>
      <c r="I26" s="30">
        <v>3</v>
      </c>
      <c r="J26" s="3"/>
    </row>
    <row r="27" spans="2:25" x14ac:dyDescent="0.3">
      <c r="F27" s="5" t="s">
        <v>130</v>
      </c>
      <c r="G27" s="25">
        <f>F2</f>
        <v>1.25</v>
      </c>
      <c r="H27" s="26" t="s">
        <v>105</v>
      </c>
      <c r="I27" s="30">
        <v>3</v>
      </c>
    </row>
    <row r="28" spans="2:25" x14ac:dyDescent="0.3">
      <c r="D28" s="1"/>
      <c r="E28" s="4"/>
      <c r="F28" s="5" t="s">
        <v>59</v>
      </c>
      <c r="G28" s="25">
        <f t="shared" ref="G28:G37" si="6">F3</f>
        <v>2.7409276818929857</v>
      </c>
      <c r="H28" s="26" t="s">
        <v>105</v>
      </c>
      <c r="I28" s="30">
        <v>3</v>
      </c>
    </row>
    <row r="29" spans="2:25" x14ac:dyDescent="0.3">
      <c r="D29" s="5"/>
      <c r="E29" s="5"/>
      <c r="F29" s="5" t="s">
        <v>60</v>
      </c>
      <c r="G29" s="25">
        <f t="shared" si="6"/>
        <v>2.7409229155551285</v>
      </c>
      <c r="H29" s="26" t="s">
        <v>105</v>
      </c>
      <c r="I29" s="30">
        <v>3</v>
      </c>
    </row>
    <row r="30" spans="2:25" x14ac:dyDescent="0.3">
      <c r="C30" s="6"/>
      <c r="D30" s="5"/>
      <c r="E30" s="5"/>
      <c r="F30" s="5" t="s">
        <v>61</v>
      </c>
      <c r="G30" s="25">
        <f t="shared" si="6"/>
        <v>1.7376093656626344</v>
      </c>
      <c r="H30" s="26" t="s">
        <v>105</v>
      </c>
      <c r="I30" s="30">
        <v>3</v>
      </c>
    </row>
    <row r="31" spans="2:25" x14ac:dyDescent="0.3">
      <c r="F31" s="5" t="s">
        <v>62</v>
      </c>
      <c r="G31" s="25">
        <f t="shared" si="6"/>
        <v>1.7386658183936099</v>
      </c>
      <c r="H31" s="26" t="s">
        <v>105</v>
      </c>
      <c r="I31" s="30">
        <v>3</v>
      </c>
    </row>
    <row r="32" spans="2:25" x14ac:dyDescent="0.3">
      <c r="F32" s="5" t="s">
        <v>63</v>
      </c>
      <c r="G32" s="25">
        <f t="shared" si="6"/>
        <v>2.0693523265161846</v>
      </c>
      <c r="H32" s="26" t="s">
        <v>105</v>
      </c>
      <c r="I32" s="30">
        <v>3</v>
      </c>
    </row>
    <row r="33" spans="6:9" x14ac:dyDescent="0.3">
      <c r="F33" s="5" t="s">
        <v>64</v>
      </c>
      <c r="G33" s="25">
        <f t="shared" si="6"/>
        <v>2.9846697737281138</v>
      </c>
      <c r="H33" s="26" t="s">
        <v>105</v>
      </c>
      <c r="I33" s="30">
        <v>3</v>
      </c>
    </row>
    <row r="34" spans="6:9" x14ac:dyDescent="0.3">
      <c r="F34" s="5" t="s">
        <v>65</v>
      </c>
      <c r="G34" s="25">
        <f t="shared" si="6"/>
        <v>1.6710272152686707</v>
      </c>
      <c r="H34" s="26" t="s">
        <v>105</v>
      </c>
      <c r="I34" s="30">
        <v>3</v>
      </c>
    </row>
    <row r="35" spans="6:9" x14ac:dyDescent="0.3">
      <c r="F35" s="5" t="s">
        <v>66</v>
      </c>
      <c r="G35" s="25">
        <f t="shared" si="6"/>
        <v>1.523480530665734</v>
      </c>
      <c r="H35" s="26" t="s">
        <v>105</v>
      </c>
      <c r="I35" s="30">
        <v>3</v>
      </c>
    </row>
    <row r="36" spans="6:9" x14ac:dyDescent="0.3">
      <c r="F36" s="5" t="s">
        <v>68</v>
      </c>
      <c r="G36" s="25">
        <f t="shared" si="6"/>
        <v>1.8800823973609233</v>
      </c>
      <c r="H36" s="26" t="s">
        <v>105</v>
      </c>
      <c r="I36" s="30">
        <v>3</v>
      </c>
    </row>
    <row r="37" spans="6:9" x14ac:dyDescent="0.3">
      <c r="F37" s="5" t="s">
        <v>67</v>
      </c>
      <c r="G37" s="25">
        <f t="shared" si="6"/>
        <v>3</v>
      </c>
      <c r="H37" s="26" t="s">
        <v>105</v>
      </c>
      <c r="I37" s="30">
        <v>3</v>
      </c>
    </row>
  </sheetData>
  <mergeCells count="1">
    <mergeCell ref="N15:O15"/>
  </mergeCells>
  <phoneticPr fontId="4" type="noConversion"/>
  <conditionalFormatting sqref="C16:C26">
    <cfRule type="expression" priority="1">
      <formula>$C$16&lt;$E$16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8B0E-E2B1-4D92-BD89-7AD26879F11F}">
  <dimension ref="B2:U16"/>
  <sheetViews>
    <sheetView workbookViewId="0">
      <selection activeCell="F26" sqref="F26"/>
    </sheetView>
  </sheetViews>
  <sheetFormatPr defaultRowHeight="14.4" x14ac:dyDescent="0.3"/>
  <cols>
    <col min="2" max="2" width="11.88671875" bestFit="1" customWidth="1"/>
    <col min="5" max="5" width="9.5546875" bestFit="1" customWidth="1"/>
    <col min="8" max="8" width="9.5546875" bestFit="1" customWidth="1"/>
    <col min="10" max="10" width="10.21875" bestFit="1" customWidth="1"/>
    <col min="11" max="11" width="11" bestFit="1" customWidth="1"/>
  </cols>
  <sheetData>
    <row r="2" spans="2:21" x14ac:dyDescent="0.3">
      <c r="C2" s="35" t="s">
        <v>150</v>
      </c>
      <c r="D2" s="35"/>
      <c r="E2" s="35"/>
      <c r="F2" s="35" t="s">
        <v>151</v>
      </c>
      <c r="G2" s="35"/>
      <c r="H2" s="35"/>
      <c r="J2" s="7" t="s">
        <v>152</v>
      </c>
      <c r="K2" s="7" t="s">
        <v>150</v>
      </c>
      <c r="L2" s="7" t="s">
        <v>151</v>
      </c>
      <c r="P2" s="36" t="s">
        <v>156</v>
      </c>
      <c r="Q2" s="36"/>
      <c r="R2" s="36"/>
      <c r="S2" s="36"/>
      <c r="T2" s="36"/>
      <c r="U2" s="36"/>
    </row>
    <row r="3" spans="2:21" x14ac:dyDescent="0.3">
      <c r="B3" s="10" t="s">
        <v>136</v>
      </c>
      <c r="C3" s="10" t="s">
        <v>135</v>
      </c>
      <c r="D3" s="10" t="s">
        <v>148</v>
      </c>
      <c r="E3" s="10" t="s">
        <v>149</v>
      </c>
      <c r="F3" s="10" t="s">
        <v>135</v>
      </c>
      <c r="G3" s="10" t="s">
        <v>148</v>
      </c>
      <c r="H3" s="10" t="s">
        <v>149</v>
      </c>
      <c r="J3" s="10" t="s">
        <v>153</v>
      </c>
      <c r="K3" s="23">
        <v>1395.6505500829223</v>
      </c>
      <c r="L3" s="7">
        <v>1025</v>
      </c>
      <c r="P3" s="36"/>
      <c r="Q3" s="36"/>
      <c r="R3" s="36"/>
      <c r="S3" s="36"/>
      <c r="T3" s="36"/>
      <c r="U3" s="36"/>
    </row>
    <row r="4" spans="2:21" x14ac:dyDescent="0.3">
      <c r="B4" s="10" t="s">
        <v>137</v>
      </c>
      <c r="C4" s="23">
        <v>1</v>
      </c>
      <c r="D4" s="24">
        <v>863.4580707790866</v>
      </c>
      <c r="E4" s="23">
        <v>2400</v>
      </c>
      <c r="F4" s="23">
        <v>1.25</v>
      </c>
      <c r="G4" s="24">
        <v>850.61116838171915</v>
      </c>
      <c r="H4" s="23">
        <v>3000</v>
      </c>
      <c r="I4" s="5"/>
      <c r="J4" s="10" t="s">
        <v>154</v>
      </c>
      <c r="K4" s="7">
        <v>0</v>
      </c>
      <c r="L4" s="7">
        <v>0</v>
      </c>
      <c r="P4" s="36"/>
      <c r="Q4" s="36"/>
      <c r="R4" s="36"/>
      <c r="S4" s="36"/>
      <c r="T4" s="36"/>
      <c r="U4" s="36"/>
    </row>
    <row r="5" spans="2:21" x14ac:dyDescent="0.3">
      <c r="B5" s="10" t="s">
        <v>138</v>
      </c>
      <c r="C5" s="23">
        <v>2.7380852831895721</v>
      </c>
      <c r="D5" s="24">
        <v>860</v>
      </c>
      <c r="E5" s="23">
        <v>6571.4046796549728</v>
      </c>
      <c r="F5" s="23">
        <v>2.5</v>
      </c>
      <c r="G5" s="24">
        <v>845.16151739364784</v>
      </c>
      <c r="H5" s="23">
        <v>6000</v>
      </c>
      <c r="I5" s="5"/>
      <c r="J5" s="10" t="s">
        <v>155</v>
      </c>
      <c r="K5" s="7">
        <v>0</v>
      </c>
      <c r="L5" s="7">
        <v>0</v>
      </c>
      <c r="P5" s="36"/>
      <c r="Q5" s="36"/>
      <c r="R5" s="36"/>
      <c r="S5" s="36"/>
      <c r="T5" s="36"/>
      <c r="U5" s="36"/>
    </row>
    <row r="6" spans="2:21" x14ac:dyDescent="0.3">
      <c r="B6" s="10" t="s">
        <v>139</v>
      </c>
      <c r="C6" s="23">
        <v>2.1076142639041175</v>
      </c>
      <c r="D6" s="24">
        <v>847.20285510140184</v>
      </c>
      <c r="E6" s="23">
        <v>5058.2742333698825</v>
      </c>
      <c r="F6" s="23">
        <v>2.5</v>
      </c>
      <c r="G6" s="24">
        <v>839.71186640557653</v>
      </c>
      <c r="H6" s="23">
        <v>6000</v>
      </c>
      <c r="I6" s="5"/>
      <c r="J6" s="5"/>
      <c r="K6" s="5"/>
      <c r="P6" s="36"/>
      <c r="Q6" s="36"/>
      <c r="R6" s="36"/>
      <c r="S6" s="36"/>
      <c r="T6" s="36"/>
      <c r="U6" s="36"/>
    </row>
    <row r="7" spans="2:21" x14ac:dyDescent="0.3">
      <c r="B7" s="10" t="s">
        <v>140</v>
      </c>
      <c r="C7" s="23">
        <v>1.3843061402136367</v>
      </c>
      <c r="D7" s="24">
        <v>821.03018594212097</v>
      </c>
      <c r="E7" s="23">
        <v>3322.3347365127283</v>
      </c>
      <c r="F7" s="23">
        <v>1.25</v>
      </c>
      <c r="G7" s="24">
        <v>796.11465850100626</v>
      </c>
      <c r="H7" s="23">
        <v>3000</v>
      </c>
      <c r="I7" s="5"/>
      <c r="J7" s="5"/>
      <c r="K7" s="5"/>
      <c r="P7" s="36"/>
      <c r="Q7" s="36"/>
      <c r="R7" s="36"/>
      <c r="S7" s="36"/>
      <c r="T7" s="36"/>
      <c r="U7" s="36"/>
    </row>
    <row r="8" spans="2:21" x14ac:dyDescent="0.3">
      <c r="B8" s="10" t="s">
        <v>141</v>
      </c>
      <c r="C8" s="23">
        <v>1.3858183070150094</v>
      </c>
      <c r="D8" s="24">
        <v>794.99999997768282</v>
      </c>
      <c r="E8" s="23">
        <v>3325.9639368360226</v>
      </c>
      <c r="F8" s="23">
        <v>3</v>
      </c>
      <c r="G8" s="24">
        <v>795.56713537415044</v>
      </c>
      <c r="H8" s="23">
        <v>7200</v>
      </c>
      <c r="I8" s="5"/>
      <c r="J8" s="5"/>
      <c r="K8" s="5"/>
      <c r="P8" s="36"/>
      <c r="Q8" s="36"/>
      <c r="R8" s="36"/>
      <c r="S8" s="36"/>
      <c r="T8" s="36"/>
      <c r="U8" s="36"/>
    </row>
    <row r="9" spans="2:21" x14ac:dyDescent="0.3">
      <c r="B9" s="10" t="s">
        <v>142</v>
      </c>
      <c r="C9" s="23">
        <v>1.5671315268374491</v>
      </c>
      <c r="D9" s="24">
        <v>833.12678232740507</v>
      </c>
      <c r="E9" s="23">
        <v>3761.1156644098778</v>
      </c>
      <c r="F9" s="23">
        <v>1.75</v>
      </c>
      <c r="G9" s="24">
        <v>831.60564431348507</v>
      </c>
      <c r="H9" s="23">
        <v>4200</v>
      </c>
      <c r="I9" s="5"/>
      <c r="P9" s="36"/>
      <c r="Q9" s="36"/>
      <c r="R9" s="36"/>
      <c r="S9" s="36"/>
      <c r="T9" s="36"/>
      <c r="U9" s="36"/>
    </row>
    <row r="10" spans="2:21" x14ac:dyDescent="0.3">
      <c r="B10" s="10" t="s">
        <v>143</v>
      </c>
      <c r="C10" s="23">
        <v>3</v>
      </c>
      <c r="D10" s="24">
        <v>792.99999954089913</v>
      </c>
      <c r="E10" s="23">
        <v>7200</v>
      </c>
      <c r="F10" s="23">
        <v>3</v>
      </c>
      <c r="G10" s="24">
        <v>818.57171407969145</v>
      </c>
      <c r="H10" s="23">
        <v>7200</v>
      </c>
      <c r="I10" s="5"/>
      <c r="P10" s="36"/>
      <c r="Q10" s="36"/>
      <c r="R10" s="36"/>
      <c r="S10" s="36"/>
      <c r="T10" s="36"/>
      <c r="U10" s="36"/>
    </row>
    <row r="11" spans="2:21" x14ac:dyDescent="0.3">
      <c r="B11" s="10" t="s">
        <v>144</v>
      </c>
      <c r="C11" s="23">
        <v>1.3046544473990567</v>
      </c>
      <c r="D11" s="24">
        <v>828.1990741857029</v>
      </c>
      <c r="E11" s="23">
        <v>3131.170673757736</v>
      </c>
      <c r="F11" s="23">
        <v>1.75</v>
      </c>
      <c r="G11" s="24">
        <v>826.6779361717829</v>
      </c>
      <c r="H11" s="23">
        <v>4200</v>
      </c>
      <c r="I11" s="5"/>
    </row>
    <row r="12" spans="2:21" x14ac:dyDescent="0.3">
      <c r="B12" s="10" t="s">
        <v>145</v>
      </c>
      <c r="C12" s="23">
        <v>1.2642246569383855</v>
      </c>
      <c r="D12" s="24">
        <v>786.99999971775389</v>
      </c>
      <c r="E12" s="23">
        <v>3034.1391766521251</v>
      </c>
      <c r="F12" s="23">
        <v>1.75</v>
      </c>
      <c r="G12" s="24">
        <v>818.57171407969145</v>
      </c>
      <c r="H12" s="23">
        <v>4200</v>
      </c>
      <c r="I12" s="5"/>
    </row>
    <row r="13" spans="2:21" x14ac:dyDescent="0.3">
      <c r="B13" s="10" t="s">
        <v>146</v>
      </c>
      <c r="C13" s="23">
        <v>1.3412546948040849</v>
      </c>
      <c r="D13" s="24">
        <v>797.54752242199345</v>
      </c>
      <c r="E13" s="23">
        <v>3219.0112675298037</v>
      </c>
      <c r="F13" s="23">
        <v>1.75</v>
      </c>
      <c r="G13" s="24">
        <v>818.57171407969145</v>
      </c>
      <c r="H13" s="23">
        <v>4200</v>
      </c>
      <c r="I13" s="5"/>
    </row>
    <row r="14" spans="2:21" x14ac:dyDescent="0.3">
      <c r="B14" s="10" t="s">
        <v>147</v>
      </c>
      <c r="C14" s="23">
        <v>3</v>
      </c>
      <c r="D14" s="24">
        <v>796.99999929513763</v>
      </c>
      <c r="E14" s="23">
        <v>7200</v>
      </c>
      <c r="F14" s="23">
        <v>3</v>
      </c>
      <c r="G14" s="24">
        <v>818.02419095283562</v>
      </c>
      <c r="H14" s="23">
        <v>7200</v>
      </c>
      <c r="I14" s="5"/>
    </row>
    <row r="16" spans="2:21" x14ac:dyDescent="0.3">
      <c r="B16" s="10" t="s">
        <v>216</v>
      </c>
      <c r="E16" s="23">
        <f>SUM(E4:E14)+K3*380</f>
        <v>578570.62340023369</v>
      </c>
      <c r="H16" s="23">
        <f>SUM(H4:H14)+L3*380</f>
        <v>445900</v>
      </c>
    </row>
  </sheetData>
  <mergeCells count="3">
    <mergeCell ref="C2:E2"/>
    <mergeCell ref="F2:H2"/>
    <mergeCell ref="P2:U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09CD-6A06-4450-AF0A-DE0F561A4438}">
  <dimension ref="B2:AE37"/>
  <sheetViews>
    <sheetView workbookViewId="0">
      <selection activeCell="AC25" sqref="AC25"/>
    </sheetView>
  </sheetViews>
  <sheetFormatPr defaultRowHeight="14.4" x14ac:dyDescent="0.3"/>
  <cols>
    <col min="2" max="2" width="9.33203125" bestFit="1" customWidth="1"/>
    <col min="3" max="3" width="9.6640625" customWidth="1"/>
    <col min="6" max="6" width="11.77734375" customWidth="1"/>
    <col min="7" max="7" width="10.21875" bestFit="1" customWidth="1"/>
    <col min="8" max="10" width="9.5546875" customWidth="1"/>
    <col min="12" max="12" width="9.88671875" customWidth="1"/>
    <col min="26" max="26" width="12.109375" bestFit="1" customWidth="1"/>
  </cols>
  <sheetData>
    <row r="2" spans="2:31" x14ac:dyDescent="0.3">
      <c r="B2" s="7" t="s">
        <v>129</v>
      </c>
      <c r="C2" s="7">
        <v>745</v>
      </c>
      <c r="D2" t="s">
        <v>46</v>
      </c>
      <c r="E2" s="7" t="s">
        <v>168</v>
      </c>
      <c r="F2" s="23">
        <v>1.25</v>
      </c>
      <c r="G2" s="2" t="s">
        <v>46</v>
      </c>
      <c r="H2" s="7" t="s">
        <v>157</v>
      </c>
      <c r="I2" s="23">
        <v>1.25</v>
      </c>
      <c r="J2" s="2" t="s">
        <v>46</v>
      </c>
      <c r="K2" s="7" t="s">
        <v>179</v>
      </c>
      <c r="L2" s="24">
        <v>0</v>
      </c>
      <c r="M2" s="16" t="s">
        <v>46</v>
      </c>
      <c r="N2" s="7" t="s">
        <v>190</v>
      </c>
      <c r="O2" s="24">
        <v>2400</v>
      </c>
      <c r="P2" s="16" t="s">
        <v>46</v>
      </c>
      <c r="Q2" s="7" t="s">
        <v>133</v>
      </c>
      <c r="R2" s="7">
        <v>20</v>
      </c>
      <c r="S2" t="s">
        <v>47</v>
      </c>
      <c r="T2" s="7" t="s">
        <v>126</v>
      </c>
      <c r="U2" s="25">
        <v>0</v>
      </c>
      <c r="V2" t="s">
        <v>46</v>
      </c>
      <c r="W2" s="7" t="s">
        <v>134</v>
      </c>
      <c r="X2" s="24">
        <f t="shared" ref="X2:X12" si="0">(8*$AA$2*L2*R2^2)/(3.14^2*32.2*(F2)^5)+(8*$AA$2*O2*R2^2)/(3.14^2*32.2*(I2)^5)</f>
        <v>174.3888316182809</v>
      </c>
      <c r="Y2" t="s">
        <v>46</v>
      </c>
      <c r="Z2" s="7" t="s">
        <v>12</v>
      </c>
      <c r="AA2" s="7">
        <v>2.1999999999999999E-2</v>
      </c>
      <c r="AC2" s="21">
        <v>1</v>
      </c>
      <c r="AD2" s="7">
        <f>(L2+O2)*F2*$AA$9</f>
        <v>3000</v>
      </c>
      <c r="AE2" s="17" t="s">
        <v>58</v>
      </c>
    </row>
    <row r="3" spans="2:31" x14ac:dyDescent="0.3">
      <c r="B3" s="7" t="s">
        <v>5</v>
      </c>
      <c r="C3" s="7">
        <v>745</v>
      </c>
      <c r="D3" t="s">
        <v>46</v>
      </c>
      <c r="E3" s="7" t="s">
        <v>169</v>
      </c>
      <c r="F3" s="23">
        <v>2.5</v>
      </c>
      <c r="G3" s="2" t="s">
        <v>46</v>
      </c>
      <c r="H3" s="7" t="s">
        <v>158</v>
      </c>
      <c r="I3" s="23">
        <v>3</v>
      </c>
      <c r="J3" s="2" t="s">
        <v>46</v>
      </c>
      <c r="K3" s="7" t="s">
        <v>180</v>
      </c>
      <c r="L3" s="24">
        <v>0</v>
      </c>
      <c r="M3" s="16" t="s">
        <v>46</v>
      </c>
      <c r="N3" s="7" t="s">
        <v>191</v>
      </c>
      <c r="O3" s="24">
        <v>2400</v>
      </c>
      <c r="P3" s="16" t="s">
        <v>46</v>
      </c>
      <c r="Q3" s="7" t="s">
        <v>69</v>
      </c>
      <c r="R3" s="7">
        <v>20</v>
      </c>
      <c r="S3" t="s">
        <v>47</v>
      </c>
      <c r="T3" s="7" t="s">
        <v>0</v>
      </c>
      <c r="U3" s="25">
        <f>U2-X2+O15</f>
        <v>808.848819853956</v>
      </c>
      <c r="V3" t="s">
        <v>46</v>
      </c>
      <c r="W3" s="7" t="s">
        <v>116</v>
      </c>
      <c r="X3" s="24">
        <f t="shared" si="0"/>
        <v>2.1900925074231923</v>
      </c>
      <c r="Y3" t="s">
        <v>46</v>
      </c>
      <c r="AC3" s="21">
        <v>12</v>
      </c>
      <c r="AD3" s="7">
        <f t="shared" ref="AD3:AD12" si="1">(L3+O3)*F3*$AA$9</f>
        <v>6000</v>
      </c>
      <c r="AE3" s="17" t="s">
        <v>58</v>
      </c>
    </row>
    <row r="4" spans="2:31" x14ac:dyDescent="0.3">
      <c r="B4" s="7" t="s">
        <v>6</v>
      </c>
      <c r="C4" s="7">
        <v>740</v>
      </c>
      <c r="D4" t="s">
        <v>46</v>
      </c>
      <c r="E4" s="7" t="s">
        <v>170</v>
      </c>
      <c r="F4" s="23">
        <v>2.5</v>
      </c>
      <c r="G4" s="2" t="s">
        <v>46</v>
      </c>
      <c r="H4" s="7" t="s">
        <v>159</v>
      </c>
      <c r="I4" s="23">
        <v>3</v>
      </c>
      <c r="J4" s="2" t="s">
        <v>46</v>
      </c>
      <c r="K4" s="7" t="s">
        <v>181</v>
      </c>
      <c r="L4" s="24">
        <v>0</v>
      </c>
      <c r="M4" s="16" t="s">
        <v>46</v>
      </c>
      <c r="N4" s="7" t="s">
        <v>192</v>
      </c>
      <c r="O4" s="24">
        <v>2400</v>
      </c>
      <c r="P4" s="16" t="s">
        <v>46</v>
      </c>
      <c r="Q4" s="7" t="s">
        <v>70</v>
      </c>
      <c r="R4" s="7">
        <v>20</v>
      </c>
      <c r="S4" t="s">
        <v>47</v>
      </c>
      <c r="T4" s="7" t="s">
        <v>1</v>
      </c>
      <c r="U4" s="25">
        <f>U3-X3</f>
        <v>806.65872734653283</v>
      </c>
      <c r="V4" t="s">
        <v>46</v>
      </c>
      <c r="W4" s="7" t="s">
        <v>117</v>
      </c>
      <c r="X4" s="24">
        <f t="shared" si="0"/>
        <v>2.1900925074231923</v>
      </c>
      <c r="Y4" t="s">
        <v>46</v>
      </c>
      <c r="Z4" s="7" t="s">
        <v>99</v>
      </c>
      <c r="AA4" s="7">
        <v>8</v>
      </c>
      <c r="AB4" s="17" t="s">
        <v>127</v>
      </c>
      <c r="AC4" s="21">
        <v>23</v>
      </c>
      <c r="AD4" s="7">
        <f t="shared" si="1"/>
        <v>6000</v>
      </c>
      <c r="AE4" s="17" t="s">
        <v>58</v>
      </c>
    </row>
    <row r="5" spans="2:31" x14ac:dyDescent="0.3">
      <c r="B5" s="7" t="s">
        <v>7</v>
      </c>
      <c r="C5" s="7">
        <v>745</v>
      </c>
      <c r="D5" t="s">
        <v>46</v>
      </c>
      <c r="E5" s="7" t="s">
        <v>171</v>
      </c>
      <c r="F5" s="23">
        <v>1.75</v>
      </c>
      <c r="G5" s="2" t="s">
        <v>46</v>
      </c>
      <c r="H5" s="7" t="s">
        <v>160</v>
      </c>
      <c r="I5" s="23">
        <v>1.75</v>
      </c>
      <c r="J5" s="2" t="s">
        <v>46</v>
      </c>
      <c r="K5" s="7" t="s">
        <v>182</v>
      </c>
      <c r="L5" s="24">
        <v>0</v>
      </c>
      <c r="M5" s="16" t="s">
        <v>46</v>
      </c>
      <c r="N5" s="7" t="s">
        <v>193</v>
      </c>
      <c r="O5" s="24">
        <v>2400</v>
      </c>
      <c r="P5" s="16" t="s">
        <v>46</v>
      </c>
      <c r="Q5" s="7" t="s">
        <v>71</v>
      </c>
      <c r="R5" s="7">
        <v>10</v>
      </c>
      <c r="S5" t="s">
        <v>47</v>
      </c>
      <c r="T5" s="7" t="s">
        <v>2</v>
      </c>
      <c r="U5" s="25">
        <f>U4-X4</f>
        <v>804.46863483910965</v>
      </c>
      <c r="V5" t="s">
        <v>46</v>
      </c>
      <c r="W5" s="7" t="s">
        <v>118</v>
      </c>
      <c r="X5" s="24">
        <f t="shared" si="0"/>
        <v>8.1062220920915067</v>
      </c>
      <c r="Y5" t="s">
        <v>46</v>
      </c>
      <c r="Z5" s="7" t="s">
        <v>99</v>
      </c>
      <c r="AA5" s="7">
        <v>15</v>
      </c>
      <c r="AB5" s="17" t="s">
        <v>127</v>
      </c>
      <c r="AC5" s="21">
        <v>34</v>
      </c>
      <c r="AD5" s="7">
        <f t="shared" si="1"/>
        <v>4200</v>
      </c>
      <c r="AE5" s="17" t="s">
        <v>58</v>
      </c>
    </row>
    <row r="6" spans="2:31" x14ac:dyDescent="0.3">
      <c r="B6" s="7" t="s">
        <v>8</v>
      </c>
      <c r="C6" s="7">
        <v>748</v>
      </c>
      <c r="D6" t="s">
        <v>46</v>
      </c>
      <c r="E6" s="7" t="s">
        <v>172</v>
      </c>
      <c r="F6" s="23">
        <v>1.75</v>
      </c>
      <c r="G6" s="2" t="s">
        <v>46</v>
      </c>
      <c r="H6" s="7" t="s">
        <v>161</v>
      </c>
      <c r="I6" s="23">
        <v>2.5</v>
      </c>
      <c r="J6" s="2" t="s">
        <v>46</v>
      </c>
      <c r="K6" s="7" t="s">
        <v>183</v>
      </c>
      <c r="L6" s="24">
        <v>0</v>
      </c>
      <c r="M6" s="16" t="s">
        <v>46</v>
      </c>
      <c r="N6" s="7" t="s">
        <v>194</v>
      </c>
      <c r="O6" s="24">
        <v>2400</v>
      </c>
      <c r="P6" s="16" t="s">
        <v>46</v>
      </c>
      <c r="Q6" s="7" t="s">
        <v>72</v>
      </c>
      <c r="R6" s="7">
        <v>10</v>
      </c>
      <c r="S6" t="s">
        <v>47</v>
      </c>
      <c r="T6" s="7" t="s">
        <v>3</v>
      </c>
      <c r="U6" s="25">
        <f>U5-X5+O16</f>
        <v>796.3624127470182</v>
      </c>
      <c r="V6" t="s">
        <v>46</v>
      </c>
      <c r="W6" s="7" t="s">
        <v>119</v>
      </c>
      <c r="X6" s="24">
        <f t="shared" si="0"/>
        <v>1.3624127470178196</v>
      </c>
      <c r="Y6" t="s">
        <v>46</v>
      </c>
      <c r="Z6" s="7" t="s">
        <v>99</v>
      </c>
      <c r="AA6" s="7">
        <v>21</v>
      </c>
      <c r="AB6" s="17" t="s">
        <v>127</v>
      </c>
      <c r="AC6" s="21">
        <v>45</v>
      </c>
      <c r="AD6" s="7">
        <f t="shared" si="1"/>
        <v>4200</v>
      </c>
      <c r="AE6" s="17" t="s">
        <v>58</v>
      </c>
    </row>
    <row r="7" spans="2:31" x14ac:dyDescent="0.3">
      <c r="B7" s="7" t="s">
        <v>9</v>
      </c>
      <c r="C7" s="7">
        <v>753</v>
      </c>
      <c r="D7" t="s">
        <v>46</v>
      </c>
      <c r="E7" s="7" t="s">
        <v>173</v>
      </c>
      <c r="F7" s="23">
        <v>1.75</v>
      </c>
      <c r="G7" s="2" t="s">
        <v>46</v>
      </c>
      <c r="H7" s="7" t="s">
        <v>162</v>
      </c>
      <c r="I7" s="23">
        <v>2.5</v>
      </c>
      <c r="J7" s="2" t="s">
        <v>46</v>
      </c>
      <c r="K7" s="7" t="s">
        <v>184</v>
      </c>
      <c r="L7" s="24">
        <v>0</v>
      </c>
      <c r="M7" s="16" t="s">
        <v>46</v>
      </c>
      <c r="N7" s="7" t="s">
        <v>195</v>
      </c>
      <c r="O7" s="24">
        <v>2400</v>
      </c>
      <c r="P7" s="16" t="s">
        <v>46</v>
      </c>
      <c r="Q7" s="7" t="s">
        <v>73</v>
      </c>
      <c r="R7" s="7">
        <v>10</v>
      </c>
      <c r="S7" t="s">
        <v>47</v>
      </c>
      <c r="T7" s="7" t="s">
        <v>4</v>
      </c>
      <c r="U7" s="25">
        <f>U6-X6</f>
        <v>795.00000000000034</v>
      </c>
      <c r="V7" t="s">
        <v>46</v>
      </c>
      <c r="W7" s="7" t="s">
        <v>120</v>
      </c>
      <c r="X7" s="24">
        <f t="shared" si="0"/>
        <v>1.3624127470178196</v>
      </c>
      <c r="Y7" t="s">
        <v>46</v>
      </c>
      <c r="Z7" s="7" t="s">
        <v>99</v>
      </c>
      <c r="AA7" s="7">
        <v>30</v>
      </c>
      <c r="AB7" s="17" t="s">
        <v>127</v>
      </c>
      <c r="AC7" s="21">
        <v>36</v>
      </c>
      <c r="AD7" s="7">
        <f t="shared" si="1"/>
        <v>4200</v>
      </c>
      <c r="AE7" s="17" t="s">
        <v>58</v>
      </c>
    </row>
    <row r="8" spans="2:31" x14ac:dyDescent="0.3">
      <c r="B8" s="7" t="s">
        <v>50</v>
      </c>
      <c r="C8" s="7">
        <v>745</v>
      </c>
      <c r="D8" t="s">
        <v>46</v>
      </c>
      <c r="E8" s="7" t="s">
        <v>174</v>
      </c>
      <c r="F8" s="23">
        <v>3</v>
      </c>
      <c r="G8" s="2" t="s">
        <v>46</v>
      </c>
      <c r="H8" s="7" t="s">
        <v>163</v>
      </c>
      <c r="I8" s="23">
        <v>3</v>
      </c>
      <c r="J8" s="2" t="s">
        <v>46</v>
      </c>
      <c r="K8" s="7" t="s">
        <v>185</v>
      </c>
      <c r="L8" s="24">
        <v>2400</v>
      </c>
      <c r="M8" s="16" t="s">
        <v>46</v>
      </c>
      <c r="N8" s="7" t="s">
        <v>196</v>
      </c>
      <c r="O8" s="24">
        <v>0</v>
      </c>
      <c r="P8" s="16" t="s">
        <v>46</v>
      </c>
      <c r="Q8" s="7" t="s">
        <v>74</v>
      </c>
      <c r="R8" s="7">
        <v>30</v>
      </c>
      <c r="S8" t="s">
        <v>47</v>
      </c>
      <c r="T8" s="7" t="s">
        <v>109</v>
      </c>
      <c r="U8" s="25">
        <f>U5-X7</f>
        <v>803.1062220920918</v>
      </c>
      <c r="V8" t="s">
        <v>46</v>
      </c>
      <c r="W8" s="7" t="s">
        <v>121</v>
      </c>
      <c r="X8" s="24">
        <f t="shared" si="0"/>
        <v>4.9277081417021833</v>
      </c>
      <c r="Y8" t="s">
        <v>46</v>
      </c>
      <c r="AC8" s="21">
        <v>68</v>
      </c>
      <c r="AD8" s="7">
        <f t="shared" si="1"/>
        <v>7200</v>
      </c>
      <c r="AE8" s="17" t="s">
        <v>58</v>
      </c>
    </row>
    <row r="9" spans="2:31" x14ac:dyDescent="0.3">
      <c r="B9" s="7" t="s">
        <v>51</v>
      </c>
      <c r="C9" s="16">
        <v>751</v>
      </c>
      <c r="D9" t="s">
        <v>46</v>
      </c>
      <c r="E9" s="7" t="s">
        <v>175</v>
      </c>
      <c r="F9" s="23">
        <v>1.25</v>
      </c>
      <c r="G9" s="2" t="s">
        <v>46</v>
      </c>
      <c r="H9" s="7" t="s">
        <v>164</v>
      </c>
      <c r="I9" s="23">
        <v>1.75</v>
      </c>
      <c r="J9" s="2" t="s">
        <v>46</v>
      </c>
      <c r="K9" s="7" t="s">
        <v>186</v>
      </c>
      <c r="L9" s="24">
        <v>307.51626799324345</v>
      </c>
      <c r="M9" s="16" t="s">
        <v>46</v>
      </c>
      <c r="N9" s="7" t="s">
        <v>197</v>
      </c>
      <c r="O9" s="24">
        <v>2092.4837320067859</v>
      </c>
      <c r="P9" s="16" t="s">
        <v>46</v>
      </c>
      <c r="Q9" s="7" t="s">
        <v>75</v>
      </c>
      <c r="R9" s="7">
        <v>10</v>
      </c>
      <c r="S9" t="s">
        <v>47</v>
      </c>
      <c r="T9" s="7" t="s">
        <v>110</v>
      </c>
      <c r="U9" s="25">
        <f>U10-X9</f>
        <v>793.00000000000034</v>
      </c>
      <c r="V9" t="s">
        <v>46</v>
      </c>
      <c r="W9" s="7" t="s">
        <v>122</v>
      </c>
      <c r="X9" s="24">
        <f t="shared" si="0"/>
        <v>12.653745218947691</v>
      </c>
      <c r="Y9" t="s">
        <v>46</v>
      </c>
      <c r="Z9" s="7" t="s">
        <v>100</v>
      </c>
      <c r="AA9" s="7">
        <v>1</v>
      </c>
      <c r="AB9" t="s">
        <v>103</v>
      </c>
      <c r="AC9" s="21">
        <v>87</v>
      </c>
      <c r="AD9" s="7">
        <f t="shared" si="1"/>
        <v>3000.0000000000364</v>
      </c>
      <c r="AE9" s="17" t="s">
        <v>58</v>
      </c>
    </row>
    <row r="10" spans="2:31" x14ac:dyDescent="0.3">
      <c r="B10" s="7" t="s">
        <v>52</v>
      </c>
      <c r="C10" s="7">
        <v>747</v>
      </c>
      <c r="D10" t="s">
        <v>46</v>
      </c>
      <c r="E10" s="7" t="s">
        <v>176</v>
      </c>
      <c r="F10" s="23">
        <v>1.25</v>
      </c>
      <c r="G10" s="2" t="s">
        <v>46</v>
      </c>
      <c r="H10" s="7" t="s">
        <v>165</v>
      </c>
      <c r="I10" s="23">
        <v>1.75</v>
      </c>
      <c r="J10" s="2" t="s">
        <v>46</v>
      </c>
      <c r="K10" s="7" t="s">
        <v>187</v>
      </c>
      <c r="L10" s="24">
        <v>713.25309582000955</v>
      </c>
      <c r="M10" s="16" t="s">
        <v>46</v>
      </c>
      <c r="N10" s="7" t="s">
        <v>198</v>
      </c>
      <c r="O10" s="24">
        <v>1686.7469041800198</v>
      </c>
      <c r="P10" s="16" t="s">
        <v>46</v>
      </c>
      <c r="Q10" s="7" t="s">
        <v>76</v>
      </c>
      <c r="R10" s="7">
        <v>10</v>
      </c>
      <c r="S10" t="s">
        <v>47</v>
      </c>
      <c r="T10" s="7" t="s">
        <v>111</v>
      </c>
      <c r="U10" s="25">
        <f>U8-X8+O17</f>
        <v>805.65374521894807</v>
      </c>
      <c r="V10" t="s">
        <v>46</v>
      </c>
      <c r="W10" s="7" t="s">
        <v>123</v>
      </c>
      <c r="X10" s="24">
        <f t="shared" si="0"/>
        <v>18.653745218947641</v>
      </c>
      <c r="Y10" t="s">
        <v>46</v>
      </c>
      <c r="Z10" s="7" t="s">
        <v>101</v>
      </c>
      <c r="AA10" s="7">
        <v>380</v>
      </c>
      <c r="AB10" t="s">
        <v>46</v>
      </c>
      <c r="AC10" s="21">
        <v>89</v>
      </c>
      <c r="AD10" s="7">
        <f t="shared" si="1"/>
        <v>3000.0000000000364</v>
      </c>
      <c r="AE10" s="17" t="s">
        <v>58</v>
      </c>
    </row>
    <row r="11" spans="2:31" x14ac:dyDescent="0.3">
      <c r="B11" s="7" t="s">
        <v>53</v>
      </c>
      <c r="C11" s="7">
        <v>745</v>
      </c>
      <c r="D11" t="s">
        <v>46</v>
      </c>
      <c r="E11" s="7" t="s">
        <v>177</v>
      </c>
      <c r="F11" s="23">
        <v>1.75</v>
      </c>
      <c r="G11" s="2" t="s">
        <v>46</v>
      </c>
      <c r="H11" s="7" t="s">
        <v>166</v>
      </c>
      <c r="I11" s="23">
        <v>1.75</v>
      </c>
      <c r="J11" s="2" t="s">
        <v>46</v>
      </c>
      <c r="K11" s="7" t="s">
        <v>188</v>
      </c>
      <c r="L11" s="24">
        <v>0</v>
      </c>
      <c r="M11" s="16" t="s">
        <v>46</v>
      </c>
      <c r="N11" s="7" t="s">
        <v>199</v>
      </c>
      <c r="O11" s="24">
        <v>2400</v>
      </c>
      <c r="P11" s="16" t="s">
        <v>46</v>
      </c>
      <c r="Q11" s="7" t="s">
        <v>77</v>
      </c>
      <c r="R11" s="7">
        <v>10</v>
      </c>
      <c r="S11" t="s">
        <v>47</v>
      </c>
      <c r="T11" s="7" t="s">
        <v>112</v>
      </c>
      <c r="U11" s="25">
        <f>U10-X10</f>
        <v>787.00000000000045</v>
      </c>
      <c r="V11" t="s">
        <v>46</v>
      </c>
      <c r="W11" s="7" t="s">
        <v>124</v>
      </c>
      <c r="X11" s="24">
        <f t="shared" si="0"/>
        <v>8.1062220920915067</v>
      </c>
      <c r="Y11" t="s">
        <v>46</v>
      </c>
      <c r="Z11" s="7" t="s">
        <v>102</v>
      </c>
      <c r="AA11" s="7">
        <v>320</v>
      </c>
      <c r="AB11" t="s">
        <v>46</v>
      </c>
      <c r="AC11" s="22" t="s">
        <v>107</v>
      </c>
      <c r="AD11" s="7">
        <f t="shared" si="1"/>
        <v>4200</v>
      </c>
      <c r="AE11" s="17" t="s">
        <v>58</v>
      </c>
    </row>
    <row r="12" spans="2:31" x14ac:dyDescent="0.3">
      <c r="B12" s="7" t="s">
        <v>54</v>
      </c>
      <c r="C12" s="7">
        <v>752</v>
      </c>
      <c r="D12" t="s">
        <v>46</v>
      </c>
      <c r="E12" s="7" t="s">
        <v>178</v>
      </c>
      <c r="F12" s="23">
        <v>3</v>
      </c>
      <c r="G12" s="2" t="s">
        <v>46</v>
      </c>
      <c r="H12" s="7" t="s">
        <v>167</v>
      </c>
      <c r="I12" s="23">
        <v>3</v>
      </c>
      <c r="J12" s="2" t="s">
        <v>46</v>
      </c>
      <c r="K12" s="7" t="s">
        <v>189</v>
      </c>
      <c r="L12" s="24">
        <v>2400</v>
      </c>
      <c r="M12" s="16" t="s">
        <v>46</v>
      </c>
      <c r="N12" s="7" t="s">
        <v>200</v>
      </c>
      <c r="O12" s="24">
        <v>0</v>
      </c>
      <c r="P12" s="16" t="s">
        <v>46</v>
      </c>
      <c r="Q12" s="7" t="s">
        <v>78</v>
      </c>
      <c r="R12" s="7">
        <v>10</v>
      </c>
      <c r="S12" t="s">
        <v>47</v>
      </c>
      <c r="T12" s="7" t="s">
        <v>113</v>
      </c>
      <c r="U12" s="25">
        <f>U10-X11</f>
        <v>797.54752312685662</v>
      </c>
      <c r="V12" t="s">
        <v>46</v>
      </c>
      <c r="W12" s="7" t="s">
        <v>125</v>
      </c>
      <c r="X12" s="24">
        <f t="shared" si="0"/>
        <v>0.54752312685579807</v>
      </c>
      <c r="Y12" t="s">
        <v>46</v>
      </c>
      <c r="AC12" s="22" t="s">
        <v>108</v>
      </c>
      <c r="AD12" s="7">
        <f t="shared" si="1"/>
        <v>7200</v>
      </c>
      <c r="AE12" s="17" t="s">
        <v>58</v>
      </c>
    </row>
    <row r="13" spans="2:31" x14ac:dyDescent="0.3">
      <c r="B13" s="7" t="s">
        <v>55</v>
      </c>
      <c r="C13" s="7">
        <v>755</v>
      </c>
      <c r="D13" t="s">
        <v>46</v>
      </c>
      <c r="F13" s="2"/>
      <c r="G13" s="2"/>
      <c r="H13" s="2"/>
      <c r="I13" s="2"/>
      <c r="J13" s="2"/>
      <c r="T13" s="7" t="s">
        <v>114</v>
      </c>
      <c r="U13" s="25">
        <f>U12-X12</f>
        <v>797.0000000000008</v>
      </c>
      <c r="V13" t="s">
        <v>46</v>
      </c>
    </row>
    <row r="15" spans="2:31" x14ac:dyDescent="0.3">
      <c r="E15" s="12"/>
      <c r="F15" s="11"/>
      <c r="K15" s="35" t="s">
        <v>57</v>
      </c>
      <c r="L15" s="35"/>
      <c r="N15" s="7" t="s">
        <v>34</v>
      </c>
      <c r="O15" s="7">
        <v>983.23765147223685</v>
      </c>
      <c r="P15" s="17" t="s">
        <v>46</v>
      </c>
    </row>
    <row r="16" spans="2:31" x14ac:dyDescent="0.3">
      <c r="B16" s="5" t="s">
        <v>0</v>
      </c>
      <c r="C16" s="24">
        <f>U3</f>
        <v>808.848819853956</v>
      </c>
      <c r="D16" s="32" t="s">
        <v>115</v>
      </c>
      <c r="E16" s="27">
        <f>120+C3</f>
        <v>865</v>
      </c>
      <c r="F16" s="5" t="s">
        <v>201</v>
      </c>
      <c r="G16" s="7">
        <f>L2+O2</f>
        <v>2400</v>
      </c>
      <c r="H16" s="34" t="s">
        <v>13</v>
      </c>
      <c r="I16" s="22">
        <v>2400</v>
      </c>
      <c r="K16" s="7" t="s">
        <v>37</v>
      </c>
      <c r="L16" s="7">
        <f>O15*AA10+O16*AA11+O17*AA11+SUM(AD2:AD12)</f>
        <v>428222.38156538876</v>
      </c>
      <c r="M16" s="17" t="s">
        <v>58</v>
      </c>
      <c r="N16" s="7" t="s">
        <v>35</v>
      </c>
      <c r="O16" s="7">
        <v>0</v>
      </c>
      <c r="P16" s="17" t="s">
        <v>46</v>
      </c>
    </row>
    <row r="17" spans="2:22" x14ac:dyDescent="0.3">
      <c r="B17" s="5" t="s">
        <v>1</v>
      </c>
      <c r="C17" s="24">
        <f>U4</f>
        <v>806.65872734653283</v>
      </c>
      <c r="D17" s="32" t="s">
        <v>115</v>
      </c>
      <c r="E17" s="27">
        <f>120+C4</f>
        <v>860</v>
      </c>
      <c r="F17" s="5" t="s">
        <v>202</v>
      </c>
      <c r="G17" s="7">
        <f t="shared" ref="G17:G26" si="2">L3+O3</f>
        <v>2400</v>
      </c>
      <c r="H17" s="34" t="s">
        <v>13</v>
      </c>
      <c r="I17" s="22">
        <v>2400</v>
      </c>
      <c r="N17" s="7" t="s">
        <v>104</v>
      </c>
      <c r="O17" s="7">
        <v>7.4752312685584652</v>
      </c>
      <c r="P17" s="17" t="s">
        <v>46</v>
      </c>
    </row>
    <row r="18" spans="2:22" x14ac:dyDescent="0.3">
      <c r="B18" s="5" t="s">
        <v>2</v>
      </c>
      <c r="C18" s="24">
        <f>U5</f>
        <v>804.46863483910965</v>
      </c>
      <c r="D18" s="32" t="s">
        <v>115</v>
      </c>
      <c r="E18" s="27">
        <f>120+C5</f>
        <v>865</v>
      </c>
      <c r="F18" s="5" t="s">
        <v>203</v>
      </c>
      <c r="G18" s="7">
        <f t="shared" si="2"/>
        <v>2400</v>
      </c>
      <c r="H18" s="34" t="s">
        <v>13</v>
      </c>
      <c r="I18" s="22">
        <v>2400</v>
      </c>
      <c r="U18" s="20"/>
      <c r="V18" s="13"/>
    </row>
    <row r="19" spans="2:22" x14ac:dyDescent="0.3">
      <c r="B19" s="5" t="s">
        <v>3</v>
      </c>
      <c r="C19" s="24">
        <f>U6</f>
        <v>796.3624127470182</v>
      </c>
      <c r="D19" s="32" t="s">
        <v>115</v>
      </c>
      <c r="E19" s="27">
        <f>120+C6</f>
        <v>868</v>
      </c>
      <c r="F19" s="5" t="s">
        <v>204</v>
      </c>
      <c r="G19" s="7">
        <f t="shared" si="2"/>
        <v>2400</v>
      </c>
      <c r="H19" s="34" t="s">
        <v>13</v>
      </c>
      <c r="I19" s="22">
        <v>2400</v>
      </c>
      <c r="U19" s="12"/>
      <c r="V19" s="14"/>
    </row>
    <row r="20" spans="2:22" x14ac:dyDescent="0.3">
      <c r="B20" s="5" t="s">
        <v>111</v>
      </c>
      <c r="C20" s="24">
        <f>U10</f>
        <v>805.65374521894807</v>
      </c>
      <c r="D20" s="32" t="s">
        <v>115</v>
      </c>
      <c r="E20" s="27">
        <f>120+C10</f>
        <v>867</v>
      </c>
      <c r="F20" s="5" t="s">
        <v>205</v>
      </c>
      <c r="G20" s="7">
        <f t="shared" si="2"/>
        <v>2400</v>
      </c>
      <c r="H20" s="34" t="s">
        <v>13</v>
      </c>
      <c r="I20" s="22">
        <v>2400</v>
      </c>
    </row>
    <row r="21" spans="2:22" x14ac:dyDescent="0.3">
      <c r="B21" s="5" t="s">
        <v>4</v>
      </c>
      <c r="C21" s="24">
        <f>U7</f>
        <v>795.00000000000034</v>
      </c>
      <c r="D21" s="33" t="s">
        <v>106</v>
      </c>
      <c r="E21" s="29">
        <f>42+C7</f>
        <v>795</v>
      </c>
      <c r="F21" s="5" t="s">
        <v>206</v>
      </c>
      <c r="G21" s="7">
        <f t="shared" si="2"/>
        <v>2400</v>
      </c>
      <c r="H21" s="34" t="s">
        <v>13</v>
      </c>
      <c r="I21" s="22">
        <v>2400</v>
      </c>
    </row>
    <row r="22" spans="2:22" x14ac:dyDescent="0.3">
      <c r="B22" s="5" t="s">
        <v>109</v>
      </c>
      <c r="C22" s="24">
        <f>U8</f>
        <v>803.1062220920918</v>
      </c>
      <c r="D22" s="33" t="s">
        <v>106</v>
      </c>
      <c r="E22" s="29">
        <f>42+C8</f>
        <v>787</v>
      </c>
      <c r="F22" s="5" t="s">
        <v>207</v>
      </c>
      <c r="G22" s="7">
        <f t="shared" si="2"/>
        <v>2400</v>
      </c>
      <c r="H22" s="34" t="s">
        <v>13</v>
      </c>
      <c r="I22" s="22">
        <v>2400</v>
      </c>
    </row>
    <row r="23" spans="2:22" x14ac:dyDescent="0.3">
      <c r="B23" s="5" t="s">
        <v>110</v>
      </c>
      <c r="C23" s="24">
        <f>U9</f>
        <v>793.00000000000034</v>
      </c>
      <c r="D23" s="33" t="s">
        <v>106</v>
      </c>
      <c r="E23" s="29">
        <f>42+C9</f>
        <v>793</v>
      </c>
      <c r="F23" s="5" t="s">
        <v>208</v>
      </c>
      <c r="G23" s="7">
        <f t="shared" si="2"/>
        <v>2400.0000000000291</v>
      </c>
      <c r="H23" s="34" t="s">
        <v>13</v>
      </c>
      <c r="I23" s="22">
        <v>2400</v>
      </c>
    </row>
    <row r="24" spans="2:22" x14ac:dyDescent="0.3">
      <c r="B24" s="5" t="s">
        <v>112</v>
      </c>
      <c r="C24" s="24">
        <f>U11</f>
        <v>787.00000000000045</v>
      </c>
      <c r="D24" s="33" t="s">
        <v>106</v>
      </c>
      <c r="E24" s="29">
        <f>42+C11</f>
        <v>787</v>
      </c>
      <c r="F24" s="5" t="s">
        <v>209</v>
      </c>
      <c r="G24" s="7">
        <f t="shared" si="2"/>
        <v>2400.0000000000291</v>
      </c>
      <c r="H24" s="34" t="s">
        <v>13</v>
      </c>
      <c r="I24" s="22">
        <v>2400</v>
      </c>
    </row>
    <row r="25" spans="2:22" x14ac:dyDescent="0.3">
      <c r="B25" s="5" t="s">
        <v>113</v>
      </c>
      <c r="C25" s="24">
        <f>U12</f>
        <v>797.54752312685662</v>
      </c>
      <c r="D25" s="33" t="s">
        <v>106</v>
      </c>
      <c r="E25" s="29">
        <f>42+C12</f>
        <v>794</v>
      </c>
      <c r="F25" s="5" t="s">
        <v>210</v>
      </c>
      <c r="G25" s="7">
        <f t="shared" si="2"/>
        <v>2400</v>
      </c>
      <c r="H25" s="34" t="s">
        <v>13</v>
      </c>
      <c r="I25" s="22">
        <v>2400</v>
      </c>
    </row>
    <row r="26" spans="2:22" x14ac:dyDescent="0.3">
      <c r="B26" s="5" t="s">
        <v>114</v>
      </c>
      <c r="C26" s="24">
        <f>U13</f>
        <v>797.0000000000008</v>
      </c>
      <c r="D26" s="33" t="s">
        <v>106</v>
      </c>
      <c r="E26" s="29">
        <f>42+C13</f>
        <v>797</v>
      </c>
      <c r="F26" s="5" t="s">
        <v>211</v>
      </c>
      <c r="G26" s="7">
        <f t="shared" si="2"/>
        <v>2400</v>
      </c>
      <c r="H26" s="34" t="s">
        <v>13</v>
      </c>
      <c r="I26" s="22">
        <v>2400</v>
      </c>
    </row>
    <row r="27" spans="2:22" x14ac:dyDescent="0.3">
      <c r="F27" s="5"/>
    </row>
    <row r="28" spans="2:22" x14ac:dyDescent="0.3">
      <c r="D28" s="1"/>
      <c r="E28" s="4"/>
      <c r="F28" s="5"/>
    </row>
    <row r="29" spans="2:22" x14ac:dyDescent="0.3">
      <c r="D29" s="5"/>
      <c r="E29" s="5"/>
      <c r="F29" s="5"/>
    </row>
    <row r="30" spans="2:22" x14ac:dyDescent="0.3">
      <c r="C30" s="6"/>
      <c r="D30" s="5"/>
      <c r="E30" s="5"/>
      <c r="F30" s="5"/>
    </row>
    <row r="31" spans="2:22" x14ac:dyDescent="0.3">
      <c r="F31" s="5"/>
    </row>
    <row r="32" spans="2:22" x14ac:dyDescent="0.3">
      <c r="F32" s="5"/>
    </row>
    <row r="33" spans="6:6" x14ac:dyDescent="0.3">
      <c r="F33" s="5"/>
    </row>
    <row r="34" spans="6:6" x14ac:dyDescent="0.3">
      <c r="F34" s="5"/>
    </row>
    <row r="35" spans="6:6" x14ac:dyDescent="0.3">
      <c r="F35" s="5"/>
    </row>
    <row r="36" spans="6:6" x14ac:dyDescent="0.3">
      <c r="F36" s="5"/>
    </row>
    <row r="37" spans="6:6" x14ac:dyDescent="0.3">
      <c r="F37" s="5"/>
    </row>
  </sheetData>
  <mergeCells count="1">
    <mergeCell ref="K15:L15"/>
  </mergeCells>
  <conditionalFormatting sqref="C16:C26">
    <cfRule type="expression" priority="1">
      <formula>$C$16&lt;$E$16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68F0-69C5-4560-8A2B-2D5D1EA1263C}">
  <dimension ref="B2:K16"/>
  <sheetViews>
    <sheetView workbookViewId="0">
      <selection activeCell="H26" sqref="H26"/>
    </sheetView>
  </sheetViews>
  <sheetFormatPr defaultRowHeight="14.4" x14ac:dyDescent="0.3"/>
  <cols>
    <col min="2" max="2" width="11.88671875" bestFit="1" customWidth="1"/>
    <col min="7" max="7" width="12" bestFit="1" customWidth="1"/>
    <col min="8" max="8" width="10.21875" bestFit="1" customWidth="1"/>
    <col min="10" max="10" width="10.21875" bestFit="1" customWidth="1"/>
  </cols>
  <sheetData>
    <row r="2" spans="2:11" x14ac:dyDescent="0.3">
      <c r="C2" s="35" t="s">
        <v>151</v>
      </c>
      <c r="D2" s="35"/>
      <c r="E2" s="35"/>
      <c r="F2" s="35"/>
      <c r="G2" s="35"/>
      <c r="H2" s="35"/>
      <c r="J2" s="7" t="s">
        <v>152</v>
      </c>
      <c r="K2" s="7" t="s">
        <v>151</v>
      </c>
    </row>
    <row r="3" spans="2:11" x14ac:dyDescent="0.3">
      <c r="B3" s="10" t="s">
        <v>136</v>
      </c>
      <c r="C3" s="10" t="s">
        <v>214</v>
      </c>
      <c r="D3" s="10" t="s">
        <v>215</v>
      </c>
      <c r="E3" s="28" t="s">
        <v>212</v>
      </c>
      <c r="F3" s="28" t="s">
        <v>213</v>
      </c>
      <c r="G3" s="10" t="s">
        <v>148</v>
      </c>
      <c r="H3" s="10" t="s">
        <v>149</v>
      </c>
      <c r="J3" s="10" t="s">
        <v>153</v>
      </c>
      <c r="K3" s="23">
        <v>983.23765147223685</v>
      </c>
    </row>
    <row r="4" spans="2:11" x14ac:dyDescent="0.3">
      <c r="B4" s="10" t="s">
        <v>137</v>
      </c>
      <c r="C4" s="23">
        <v>1.25</v>
      </c>
      <c r="D4" s="23">
        <v>1.25</v>
      </c>
      <c r="E4" s="23">
        <v>0</v>
      </c>
      <c r="F4" s="23">
        <v>2400</v>
      </c>
      <c r="G4" s="23">
        <v>808.848819853956</v>
      </c>
      <c r="H4" s="23">
        <v>3000</v>
      </c>
      <c r="I4" s="5"/>
      <c r="J4" s="10" t="s">
        <v>154</v>
      </c>
      <c r="K4" s="23">
        <v>0</v>
      </c>
    </row>
    <row r="5" spans="2:11" x14ac:dyDescent="0.3">
      <c r="B5" s="10" t="s">
        <v>138</v>
      </c>
      <c r="C5" s="23">
        <v>2.5</v>
      </c>
      <c r="D5" s="23">
        <v>3</v>
      </c>
      <c r="E5" s="23">
        <v>0</v>
      </c>
      <c r="F5" s="23">
        <v>2400</v>
      </c>
      <c r="G5" s="23">
        <v>806.65872734653283</v>
      </c>
      <c r="H5" s="23">
        <v>6000</v>
      </c>
      <c r="I5" s="5"/>
      <c r="J5" s="10" t="s">
        <v>155</v>
      </c>
      <c r="K5" s="23">
        <v>7.4752312685584652</v>
      </c>
    </row>
    <row r="6" spans="2:11" x14ac:dyDescent="0.3">
      <c r="B6" s="10" t="s">
        <v>139</v>
      </c>
      <c r="C6" s="23">
        <v>2.5</v>
      </c>
      <c r="D6" s="23">
        <v>3</v>
      </c>
      <c r="E6" s="23">
        <v>0</v>
      </c>
      <c r="F6" s="23">
        <v>2400</v>
      </c>
      <c r="G6" s="23">
        <v>804.46863483910965</v>
      </c>
      <c r="H6" s="23">
        <v>6000</v>
      </c>
      <c r="I6" s="5"/>
      <c r="J6" s="5"/>
    </row>
    <row r="7" spans="2:11" x14ac:dyDescent="0.3">
      <c r="B7" s="10" t="s">
        <v>140</v>
      </c>
      <c r="C7" s="23">
        <v>1.75</v>
      </c>
      <c r="D7" s="23">
        <v>1.75</v>
      </c>
      <c r="E7" s="23">
        <v>0</v>
      </c>
      <c r="F7" s="23">
        <v>2400</v>
      </c>
      <c r="G7" s="23">
        <v>796.3624127470182</v>
      </c>
      <c r="H7" s="23">
        <v>4200</v>
      </c>
      <c r="I7" s="5"/>
      <c r="J7" s="5"/>
    </row>
    <row r="8" spans="2:11" x14ac:dyDescent="0.3">
      <c r="B8" s="10" t="s">
        <v>141</v>
      </c>
      <c r="C8" s="23">
        <v>1.75</v>
      </c>
      <c r="D8" s="23">
        <v>2.5</v>
      </c>
      <c r="E8" s="23">
        <v>0</v>
      </c>
      <c r="F8" s="23">
        <v>2400</v>
      </c>
      <c r="G8" s="23">
        <v>795.00000000000034</v>
      </c>
      <c r="H8" s="23">
        <v>4200</v>
      </c>
      <c r="I8" s="5"/>
      <c r="J8" s="5"/>
    </row>
    <row r="9" spans="2:11" x14ac:dyDescent="0.3">
      <c r="B9" s="10" t="s">
        <v>142</v>
      </c>
      <c r="C9" s="23">
        <v>1.75</v>
      </c>
      <c r="D9" s="23">
        <v>2.5</v>
      </c>
      <c r="E9" s="23">
        <v>0</v>
      </c>
      <c r="F9" s="23">
        <v>2400</v>
      </c>
      <c r="G9" s="23">
        <v>803.1062220920918</v>
      </c>
      <c r="H9" s="23">
        <v>4200</v>
      </c>
      <c r="I9" s="5"/>
    </row>
    <row r="10" spans="2:11" x14ac:dyDescent="0.3">
      <c r="B10" s="10" t="s">
        <v>143</v>
      </c>
      <c r="C10" s="23">
        <v>3</v>
      </c>
      <c r="D10" s="23">
        <v>3</v>
      </c>
      <c r="E10" s="23">
        <v>2400</v>
      </c>
      <c r="F10" s="23">
        <v>0</v>
      </c>
      <c r="G10" s="23">
        <v>793.00000000000034</v>
      </c>
      <c r="H10" s="23">
        <v>7200</v>
      </c>
      <c r="I10" s="5"/>
    </row>
    <row r="11" spans="2:11" x14ac:dyDescent="0.3">
      <c r="B11" s="10" t="s">
        <v>144</v>
      </c>
      <c r="C11" s="23">
        <v>1.25</v>
      </c>
      <c r="D11" s="23">
        <v>1.75</v>
      </c>
      <c r="E11" s="23">
        <v>307.51626799324345</v>
      </c>
      <c r="F11" s="23">
        <v>2092.4837320067859</v>
      </c>
      <c r="G11" s="23">
        <v>805.65374521894807</v>
      </c>
      <c r="H11" s="23">
        <v>3000.0000000000364</v>
      </c>
      <c r="I11" s="5"/>
    </row>
    <row r="12" spans="2:11" x14ac:dyDescent="0.3">
      <c r="B12" s="10" t="s">
        <v>145</v>
      </c>
      <c r="C12" s="23">
        <v>1.25</v>
      </c>
      <c r="D12" s="23">
        <v>1.75</v>
      </c>
      <c r="E12" s="23">
        <v>713.25309582000955</v>
      </c>
      <c r="F12" s="23">
        <v>1686.7469041800198</v>
      </c>
      <c r="G12" s="23">
        <v>787.00000000000045</v>
      </c>
      <c r="H12" s="23">
        <v>3000.0000000000364</v>
      </c>
      <c r="I12" s="5"/>
    </row>
    <row r="13" spans="2:11" x14ac:dyDescent="0.3">
      <c r="B13" s="10" t="s">
        <v>146</v>
      </c>
      <c r="C13" s="23">
        <v>1.75</v>
      </c>
      <c r="D13" s="23">
        <v>1.75</v>
      </c>
      <c r="E13" s="23">
        <v>0</v>
      </c>
      <c r="F13" s="23">
        <v>2400</v>
      </c>
      <c r="G13" s="31">
        <v>797.54752312685662</v>
      </c>
      <c r="H13" s="23">
        <v>4200</v>
      </c>
      <c r="I13" s="5"/>
    </row>
    <row r="14" spans="2:11" x14ac:dyDescent="0.3">
      <c r="B14" s="10" t="s">
        <v>147</v>
      </c>
      <c r="C14" s="23">
        <v>3</v>
      </c>
      <c r="D14" s="24">
        <v>3</v>
      </c>
      <c r="E14" s="23">
        <v>2400</v>
      </c>
      <c r="F14" s="23">
        <v>0</v>
      </c>
      <c r="G14" s="23">
        <v>797.0000000000008</v>
      </c>
      <c r="H14" s="7">
        <v>7200</v>
      </c>
    </row>
    <row r="16" spans="2:11" x14ac:dyDescent="0.3">
      <c r="G16" s="23" t="s">
        <v>216</v>
      </c>
      <c r="H16" s="7">
        <f>SUM(H4:H14)+K3*380+K5*320</f>
        <v>428222.38156538876</v>
      </c>
    </row>
  </sheetData>
  <mergeCells count="1">
    <mergeCell ref="C2:H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25A9132A5944E9D4A04800BEE5A6E" ma:contentTypeVersion="0" ma:contentTypeDescription="Create a new document." ma:contentTypeScope="" ma:versionID="c6a0a6d7ba1c905f089ff56a028fe8c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75f52c1521d72e95684ed60053a36a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634370-4367-4A2A-8E4A-49FE108CB6DE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19EFB6D-4080-4C3A-966D-4FA3644BF9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D5E9DE-3D38-42DA-9D05-DFE6913413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Problem 2-A</vt:lpstr>
      <vt:lpstr>Problem 2-B Table</vt:lpstr>
      <vt:lpstr>Problem 2-C</vt:lpstr>
      <vt:lpstr>Problem 2-C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David Kridel</dc:creator>
  <cp:lastModifiedBy>Stephen David Kridel</cp:lastModifiedBy>
  <dcterms:created xsi:type="dcterms:W3CDTF">2023-10-10T03:15:44Z</dcterms:created>
  <dcterms:modified xsi:type="dcterms:W3CDTF">2023-10-12T02:58:08Z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0x01010050A25A9132A5944E9D4A04800BEE5A6E</vt:lpwstr>
  </property>
</Properties>
</file>